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21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vladimirpavlik/Downloads/prilohy_358508/"/>
    </mc:Choice>
  </mc:AlternateContent>
  <xr:revisionPtr revIDLastSave="0" documentId="13_ncr:1_{4B588EF6-C9C2-854E-8EC4-CB38EBA84278}" xr6:coauthVersionLast="47" xr6:coauthVersionMax="47" xr10:uidLastSave="{00000000-0000-0000-0000-000000000000}"/>
  <bookViews>
    <workbookView xWindow="0" yWindow="740" windowWidth="20740" windowHeight="11160" tabRatio="946" xr2:uid="{00000000-000D-0000-FFFF-FFFF00000000}"/>
  </bookViews>
  <sheets>
    <sheet name="Specifikace VIS" sheetId="8" r:id="rId1"/>
    <sheet name="Doba instalace" sheetId="2" state="hidden" r:id="rId2"/>
    <sheet name="Kalkulace" sheetId="3" state="hidden" r:id="rId3"/>
  </sheets>
  <definedNames>
    <definedName name="_xlnm._FilterDatabase" localSheetId="0" hidden="1">'Specifikace VIS'!$A$4:$E$25</definedName>
    <definedName name="_xlnm.Print_Titles" localSheetId="2">Kalkulace!$3:$4</definedName>
    <definedName name="_xlnm.Print_Area" localSheetId="2">Kalkulace!$A$1:$K$99</definedName>
    <definedName name="_xlnm.Print_Area" localSheetId="0">'Specifikace VIS'!$A$1:$G$50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8" i="8" l="1"/>
  <c r="D37" i="8"/>
  <c r="E37" i="8" s="1"/>
  <c r="E38" i="8" s="1"/>
  <c r="D23" i="8"/>
  <c r="E23" i="8" s="1"/>
  <c r="C25" i="8"/>
  <c r="D25" i="8" s="1"/>
  <c r="C26" i="8"/>
  <c r="D26" i="8" s="1"/>
  <c r="E26" i="8" s="1"/>
  <c r="C27" i="8"/>
  <c r="D27" i="8" s="1"/>
  <c r="E27" i="8" s="1"/>
  <c r="C28" i="8"/>
  <c r="D28" i="8" s="1"/>
  <c r="E28" i="8" s="1"/>
  <c r="D24" i="8"/>
  <c r="E24" i="8" s="1"/>
  <c r="D32" i="8"/>
  <c r="E32" i="8" s="1"/>
  <c r="E34" i="8" s="1"/>
  <c r="D33" i="8"/>
  <c r="E33" i="8" s="1"/>
  <c r="D14" i="8"/>
  <c r="E14" i="8" s="1"/>
  <c r="D13" i="8"/>
  <c r="E13" i="8" s="1"/>
  <c r="D19" i="8"/>
  <c r="E19" i="8" s="1"/>
  <c r="D10" i="8"/>
  <c r="D7" i="8"/>
  <c r="E7" i="8" s="1"/>
  <c r="D8" i="8"/>
  <c r="E8" i="8" s="1"/>
  <c r="D9" i="8"/>
  <c r="E9" i="8" s="1"/>
  <c r="D11" i="8"/>
  <c r="E11" i="8" s="1"/>
  <c r="D12" i="8"/>
  <c r="E12" i="8" s="1"/>
  <c r="D15" i="8"/>
  <c r="E15" i="8" s="1"/>
  <c r="D16" i="8"/>
  <c r="E16" i="8" s="1"/>
  <c r="D18" i="8"/>
  <c r="E18" i="8" s="1"/>
  <c r="C3" i="2"/>
  <c r="E34" i="2" s="1"/>
  <c r="G34" i="2" s="1"/>
  <c r="C4" i="2"/>
  <c r="E51" i="2" s="1"/>
  <c r="C5" i="2"/>
  <c r="E31" i="2" s="1"/>
  <c r="G31" i="2" s="1"/>
  <c r="C6" i="2"/>
  <c r="C12" i="2"/>
  <c r="E24" i="2" s="1"/>
  <c r="G24" i="2" s="1"/>
  <c r="C13" i="2"/>
  <c r="E25" i="2"/>
  <c r="C16" i="2"/>
  <c r="G20" i="2"/>
  <c r="J20" i="2"/>
  <c r="M20" i="2"/>
  <c r="G21" i="2"/>
  <c r="J21" i="2"/>
  <c r="M21" i="2"/>
  <c r="G22" i="2"/>
  <c r="J22" i="2"/>
  <c r="M22" i="2"/>
  <c r="G23" i="2"/>
  <c r="J23" i="2"/>
  <c r="M23" i="2"/>
  <c r="F24" i="2"/>
  <c r="J24" i="2"/>
  <c r="M24" i="2"/>
  <c r="F25" i="2"/>
  <c r="J25" i="2"/>
  <c r="M25" i="2"/>
  <c r="J26" i="2"/>
  <c r="M26" i="2"/>
  <c r="G27" i="2"/>
  <c r="H27" i="2"/>
  <c r="J27" i="2"/>
  <c r="D28" i="2"/>
  <c r="H28" i="2"/>
  <c r="J28" i="2" s="1"/>
  <c r="D29" i="2"/>
  <c r="G29" i="2"/>
  <c r="J29" i="2"/>
  <c r="D30" i="2"/>
  <c r="F30" i="2" s="1"/>
  <c r="J30" i="2"/>
  <c r="D31" i="2"/>
  <c r="F31" i="2" s="1"/>
  <c r="J31" i="2"/>
  <c r="D32" i="2"/>
  <c r="F32" i="2"/>
  <c r="J32" i="2"/>
  <c r="D33" i="2"/>
  <c r="D34" i="2"/>
  <c r="J34" i="2"/>
  <c r="D35" i="2"/>
  <c r="J35" i="2"/>
  <c r="D36" i="2"/>
  <c r="J36" i="2"/>
  <c r="D37" i="2"/>
  <c r="J37" i="2"/>
  <c r="D38" i="2"/>
  <c r="J38" i="2"/>
  <c r="D39" i="2"/>
  <c r="D40" i="2"/>
  <c r="F40" i="2"/>
  <c r="J40" i="2"/>
  <c r="D41" i="2"/>
  <c r="F41" i="2" s="1"/>
  <c r="J41" i="2"/>
  <c r="D42" i="2"/>
  <c r="F42" i="2" s="1"/>
  <c r="J42" i="2"/>
  <c r="D43" i="2"/>
  <c r="D44" i="2"/>
  <c r="F44" i="2"/>
  <c r="J44" i="2"/>
  <c r="D45" i="2"/>
  <c r="D46" i="2"/>
  <c r="F46" i="2" s="1"/>
  <c r="J46" i="2"/>
  <c r="D47" i="2"/>
  <c r="F47" i="2"/>
  <c r="J47" i="2"/>
  <c r="D48" i="2"/>
  <c r="F48" i="2" s="1"/>
  <c r="J48" i="2"/>
  <c r="D49" i="2"/>
  <c r="D50" i="2"/>
  <c r="F50" i="2"/>
  <c r="J50" i="2"/>
  <c r="D51" i="2"/>
  <c r="D52" i="2"/>
  <c r="F52" i="2" s="1"/>
  <c r="J52" i="2"/>
  <c r="D53" i="2"/>
  <c r="F53" i="2" s="1"/>
  <c r="J53" i="2"/>
  <c r="D54" i="2"/>
  <c r="F54" i="2"/>
  <c r="J54" i="2"/>
  <c r="D55" i="2"/>
  <c r="D56" i="2"/>
  <c r="G56" i="2"/>
  <c r="H56" i="2"/>
  <c r="J56" i="2" s="1"/>
  <c r="G58" i="2"/>
  <c r="L58" i="2" s="1"/>
  <c r="H58" i="2"/>
  <c r="M58" i="2" s="1"/>
  <c r="D59" i="2"/>
  <c r="D60" i="2"/>
  <c r="G60" i="2"/>
  <c r="L60" i="2"/>
  <c r="H60" i="2"/>
  <c r="M60" i="2" s="1"/>
  <c r="G62" i="2"/>
  <c r="L62" i="2" s="1"/>
  <c r="H62" i="2"/>
  <c r="M62" i="2"/>
  <c r="G64" i="2"/>
  <c r="L64" i="2"/>
  <c r="M64" i="2"/>
  <c r="G65" i="2"/>
  <c r="L65" i="2" s="1"/>
  <c r="H65" i="2"/>
  <c r="M65" i="2" s="1"/>
  <c r="J14" i="3"/>
  <c r="K14" i="3" s="1"/>
  <c r="J16" i="3"/>
  <c r="K16" i="3"/>
  <c r="J18" i="3"/>
  <c r="J20" i="3"/>
  <c r="K25" i="3"/>
  <c r="K26" i="3"/>
  <c r="K27" i="3"/>
  <c r="K28" i="3"/>
  <c r="K29" i="3"/>
  <c r="K30" i="3"/>
  <c r="K33" i="3"/>
  <c r="K34" i="3"/>
  <c r="K35" i="3"/>
  <c r="I37" i="3"/>
  <c r="K37" i="3"/>
  <c r="I38" i="3"/>
  <c r="K38" i="3"/>
  <c r="I39" i="3"/>
  <c r="K39" i="3"/>
  <c r="K44" i="3"/>
  <c r="K45" i="3"/>
  <c r="K46" i="3"/>
  <c r="K47" i="3"/>
  <c r="K49" i="3"/>
  <c r="K50" i="3"/>
  <c r="K51" i="3"/>
  <c r="K53" i="3"/>
  <c r="F55" i="3"/>
  <c r="K55" i="3" s="1"/>
  <c r="K57" i="3"/>
  <c r="K58" i="3"/>
  <c r="K59" i="3"/>
  <c r="K64" i="3"/>
  <c r="K76" i="3"/>
  <c r="K65" i="3"/>
  <c r="G79" i="3"/>
  <c r="K79" i="3" s="1"/>
  <c r="K85" i="3" s="1"/>
  <c r="J79" i="3"/>
  <c r="G80" i="3"/>
  <c r="K80" i="3" s="1"/>
  <c r="J80" i="3"/>
  <c r="G81" i="3"/>
  <c r="J81" i="3"/>
  <c r="G82" i="3"/>
  <c r="J82" i="3"/>
  <c r="G83" i="3"/>
  <c r="J83" i="3"/>
  <c r="J88" i="3"/>
  <c r="J90" i="3"/>
  <c r="K97" i="3" s="1"/>
  <c r="K93" i="3"/>
  <c r="E42" i="2"/>
  <c r="G42" i="2" s="1"/>
  <c r="I42" i="2" s="1"/>
  <c r="M28" i="2"/>
  <c r="G25" i="2"/>
  <c r="L23" i="2"/>
  <c r="E33" i="2"/>
  <c r="H33" i="2" s="1"/>
  <c r="J33" i="2" s="1"/>
  <c r="E36" i="2"/>
  <c r="G36" i="2" s="1"/>
  <c r="E50" i="2"/>
  <c r="G50" i="2" s="1"/>
  <c r="I50" i="2" s="1"/>
  <c r="L20" i="2"/>
  <c r="L71" i="2" s="1"/>
  <c r="E47" i="2"/>
  <c r="G47" i="2" s="1"/>
  <c r="I47" i="2" s="1"/>
  <c r="L25" i="2"/>
  <c r="L21" i="2"/>
  <c r="E35" i="2"/>
  <c r="G35" i="2"/>
  <c r="E32" i="2"/>
  <c r="L22" i="2"/>
  <c r="L24" i="2"/>
  <c r="I27" i="2"/>
  <c r="E37" i="2"/>
  <c r="G37" i="2" s="1"/>
  <c r="I31" i="2"/>
  <c r="L26" i="2"/>
  <c r="I20" i="2"/>
  <c r="I71" i="2"/>
  <c r="I29" i="2"/>
  <c r="I30" i="2"/>
  <c r="E68" i="2"/>
  <c r="H68" i="2" s="1"/>
  <c r="M68" i="2" s="1"/>
  <c r="I21" i="2"/>
  <c r="G33" i="2"/>
  <c r="F20" i="3"/>
  <c r="K20" i="3"/>
  <c r="D38" i="8" l="1"/>
  <c r="G38" i="8" s="1"/>
  <c r="I56" i="2"/>
  <c r="I36" i="2"/>
  <c r="K82" i="3"/>
  <c r="I35" i="2"/>
  <c r="J71" i="2"/>
  <c r="I31" i="3" s="1"/>
  <c r="K83" i="3"/>
  <c r="E69" i="2"/>
  <c r="G69" i="2" s="1"/>
  <c r="L69" i="2" s="1"/>
  <c r="G68" i="2"/>
  <c r="L68" i="2" s="1"/>
  <c r="G32" i="2"/>
  <c r="I32" i="2" s="1"/>
  <c r="E67" i="2"/>
  <c r="E38" i="2"/>
  <c r="I72" i="2"/>
  <c r="I73" i="2" s="1"/>
  <c r="K81" i="3"/>
  <c r="I34" i="2"/>
  <c r="I33" i="2"/>
  <c r="D34" i="8"/>
  <c r="G34" i="8" s="1"/>
  <c r="D20" i="8"/>
  <c r="E20" i="8" s="1"/>
  <c r="G20" i="8" s="1"/>
  <c r="E10" i="8"/>
  <c r="F31" i="3"/>
  <c r="F18" i="3"/>
  <c r="K18" i="3" s="1"/>
  <c r="K22" i="3" s="1"/>
  <c r="K94" i="3" s="1"/>
  <c r="F54" i="3"/>
  <c r="K54" i="3" s="1"/>
  <c r="K61" i="3" s="1"/>
  <c r="D29" i="8"/>
  <c r="E29" i="8" s="1"/>
  <c r="G29" i="8" s="1"/>
  <c r="I37" i="2"/>
  <c r="H51" i="2"/>
  <c r="J51" i="2" s="1"/>
  <c r="G51" i="2"/>
  <c r="I51" i="2"/>
  <c r="I28" i="2"/>
  <c r="E30" i="2"/>
  <c r="G30" i="2" s="1"/>
  <c r="I74" i="2"/>
  <c r="F38" i="2"/>
  <c r="E25" i="8"/>
  <c r="E45" i="2"/>
  <c r="E40" i="2"/>
  <c r="G40" i="2" s="1"/>
  <c r="I40" i="2" s="1"/>
  <c r="E53" i="2"/>
  <c r="G53" i="2" s="1"/>
  <c r="I53" i="2" s="1"/>
  <c r="E49" i="2"/>
  <c r="E54" i="2"/>
  <c r="G54" i="2" s="1"/>
  <c r="I54" i="2" s="1"/>
  <c r="E39" i="2"/>
  <c r="G28" i="2"/>
  <c r="E46" i="2"/>
  <c r="G46" i="2" s="1"/>
  <c r="I46" i="2" s="1"/>
  <c r="E44" i="2"/>
  <c r="G44" i="2" s="1"/>
  <c r="I44" i="2" s="1"/>
  <c r="E48" i="2"/>
  <c r="G48" i="2" s="1"/>
  <c r="I48" i="2" s="1"/>
  <c r="E41" i="2"/>
  <c r="G41" i="2" s="1"/>
  <c r="I41" i="2" s="1"/>
  <c r="E59" i="2"/>
  <c r="E52" i="2"/>
  <c r="G52" i="2" s="1"/>
  <c r="I52" i="2" s="1"/>
  <c r="E55" i="2"/>
  <c r="E63" i="2"/>
  <c r="E43" i="2"/>
  <c r="E26" i="2"/>
  <c r="G26" i="2" s="1"/>
  <c r="K96" i="3" l="1"/>
  <c r="K98" i="3" s="1"/>
  <c r="H69" i="2"/>
  <c r="M69" i="2" s="1"/>
  <c r="G38" i="2"/>
  <c r="I38" i="2" s="1"/>
  <c r="H67" i="2"/>
  <c r="M67" i="2" s="1"/>
  <c r="G67" i="2"/>
  <c r="K31" i="3"/>
  <c r="K41" i="3" s="1"/>
  <c r="H55" i="2"/>
  <c r="J55" i="2" s="1"/>
  <c r="G55" i="2"/>
  <c r="I55" i="2" s="1"/>
  <c r="H45" i="2"/>
  <c r="J45" i="2" s="1"/>
  <c r="G45" i="2"/>
  <c r="I45" i="2" s="1"/>
  <c r="G63" i="2"/>
  <c r="H63" i="2"/>
  <c r="M63" i="2" s="1"/>
  <c r="K95" i="3"/>
  <c r="I95" i="3" s="1"/>
  <c r="K99" i="3"/>
  <c r="I99" i="3" s="1"/>
  <c r="H49" i="2"/>
  <c r="J49" i="2" s="1"/>
  <c r="G49" i="2"/>
  <c r="I49" i="2" s="1"/>
  <c r="H43" i="2"/>
  <c r="J43" i="2" s="1"/>
  <c r="G43" i="2"/>
  <c r="I43" i="2" s="1"/>
  <c r="L28" i="2"/>
  <c r="E57" i="2"/>
  <c r="H59" i="2"/>
  <c r="M59" i="2" s="1"/>
  <c r="M71" i="2" s="1"/>
  <c r="I32" i="3" s="1"/>
  <c r="G59" i="2"/>
  <c r="L72" i="2" s="1"/>
  <c r="G39" i="2"/>
  <c r="I39" i="2" s="1"/>
  <c r="H39" i="2"/>
  <c r="J39" i="2" s="1"/>
  <c r="L67" i="2" l="1"/>
  <c r="E70" i="2"/>
  <c r="F32" i="3"/>
  <c r="K32" i="3" s="1"/>
  <c r="L73" i="2"/>
  <c r="E66" i="2"/>
  <c r="L63" i="2"/>
  <c r="J57" i="2"/>
  <c r="I57" i="2"/>
  <c r="L59" i="2"/>
  <c r="E61" i="2"/>
  <c r="L70" i="2" l="1"/>
  <c r="M70" i="2"/>
  <c r="M61" i="2"/>
  <c r="L61" i="2"/>
  <c r="L66" i="2"/>
  <c r="M66" i="2"/>
  <c r="D40" i="8" l="1"/>
  <c r="E40" i="8" s="1"/>
  <c r="G40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PF</author>
  </authors>
  <commentList>
    <comment ref="B22" authorId="0" shapeId="0" xr:uid="{00000000-0006-0000-0100-000001000000}">
      <text>
        <r>
          <rPr>
            <b/>
            <sz val="8"/>
            <color indexed="8"/>
            <rFont val="Times New Roman"/>
            <family val="1"/>
            <charset val="238"/>
          </rPr>
          <t xml:space="preserve">Ing.Vlastimil Knecht:
</t>
        </r>
        <r>
          <rPr>
            <sz val="8"/>
            <color indexed="8"/>
            <rFont val="Times New Roman"/>
            <family val="1"/>
            <charset val="238"/>
          </rPr>
          <t>BP s možností kódování</t>
        </r>
      </text>
    </comment>
    <comment ref="B23" authorId="0" shapeId="0" xr:uid="{00000000-0006-0000-0100-000002000000}">
      <text>
        <r>
          <rPr>
            <b/>
            <sz val="8"/>
            <color indexed="8"/>
            <rFont val="Times New Roman"/>
            <family val="1"/>
            <charset val="238"/>
          </rPr>
          <t xml:space="preserve">Ing.Vlastimil Knecht:
</t>
        </r>
        <r>
          <rPr>
            <sz val="8"/>
            <color indexed="8"/>
            <rFont val="Times New Roman"/>
            <family val="1"/>
            <charset val="238"/>
          </rPr>
          <t>BP s možností kódování</t>
        </r>
      </text>
    </comment>
    <comment ref="B24" authorId="0" shapeId="0" xr:uid="{00000000-0006-0000-0100-000003000000}">
      <text>
        <r>
          <rPr>
            <b/>
            <sz val="8"/>
            <color indexed="8"/>
            <rFont val="Times New Roman"/>
            <family val="1"/>
            <charset val="238"/>
          </rPr>
          <t xml:space="preserve">Ing.Vlastimil Knecht:
</t>
        </r>
        <r>
          <rPr>
            <sz val="8"/>
            <color indexed="8"/>
            <rFont val="Times New Roman"/>
            <family val="1"/>
            <charset val="238"/>
          </rPr>
          <t>BP s možností kódování</t>
        </r>
      </text>
    </comment>
    <comment ref="B25" authorId="0" shapeId="0" xr:uid="{00000000-0006-0000-0100-000004000000}">
      <text>
        <r>
          <rPr>
            <b/>
            <sz val="8"/>
            <color indexed="8"/>
            <rFont val="Times New Roman"/>
            <family val="1"/>
            <charset val="238"/>
          </rPr>
          <t xml:space="preserve">Ing.Vlastimil Knecht:
</t>
        </r>
        <r>
          <rPr>
            <sz val="8"/>
            <color indexed="8"/>
            <rFont val="Times New Roman"/>
            <family val="1"/>
            <charset val="238"/>
          </rPr>
          <t>nastavení skupin pájením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PF</author>
  </authors>
  <commentList>
    <comment ref="J79" authorId="0" shapeId="0" xr:uid="{00000000-0006-0000-0200-000001000000}">
      <text>
        <r>
          <rPr>
            <b/>
            <sz val="8"/>
            <color indexed="8"/>
            <rFont val="Times New Roman"/>
            <family val="1"/>
            <charset val="238"/>
          </rPr>
          <t xml:space="preserve">Ing.Vlastimil Knecht:
</t>
        </r>
        <r>
          <rPr>
            <sz val="8"/>
            <color indexed="8"/>
            <rFont val="Times New Roman"/>
            <family val="1"/>
            <charset val="238"/>
          </rPr>
          <t>siréna, převaděč
akustická studie</t>
        </r>
      </text>
    </comment>
    <comment ref="J83" authorId="0" shapeId="0" xr:uid="{00000000-0006-0000-0200-000002000000}">
      <text>
        <r>
          <rPr>
            <b/>
            <sz val="8"/>
            <color indexed="8"/>
            <rFont val="Times New Roman"/>
            <family val="1"/>
            <charset val="238"/>
          </rPr>
          <t xml:space="preserve">Ing.Vlastimil Knecht:
</t>
        </r>
        <r>
          <rPr>
            <sz val="8"/>
            <color indexed="8"/>
            <rFont val="Times New Roman"/>
            <family val="1"/>
            <charset val="238"/>
          </rPr>
          <t xml:space="preserve">Revize
</t>
        </r>
      </text>
    </comment>
  </commentList>
</comments>
</file>

<file path=xl/sharedStrings.xml><?xml version="1.0" encoding="utf-8"?>
<sst xmlns="http://schemas.openxmlformats.org/spreadsheetml/2006/main" count="344" uniqueCount="215">
  <si>
    <t>Jednotková cena bez DPH</t>
  </si>
  <si>
    <t>ks</t>
  </si>
  <si>
    <t>Celkem s DPH</t>
  </si>
  <si>
    <t>Zaškolení obsluhy</t>
  </si>
  <si>
    <t>Vzdálenost k zákazníkovi:</t>
  </si>
  <si>
    <t>Průměr instalované oblasti:</t>
  </si>
  <si>
    <t>Počet vysílačů  a přijímačů CO:</t>
  </si>
  <si>
    <t>Počet bezdrátových hlásičů:</t>
  </si>
  <si>
    <t>Počet reproduktorů:</t>
  </si>
  <si>
    <t>Počet směrových antén:</t>
  </si>
  <si>
    <t>Průměrná rychlost na cestě k zákazníkovi:</t>
  </si>
  <si>
    <t>Průměrná rychlost přesunu při instalaci:</t>
  </si>
  <si>
    <t>Hodinová sazba montéra:</t>
  </si>
  <si>
    <t>Kilometrová sazba:</t>
  </si>
  <si>
    <t>Počet bytových přijímačů - s DIP přepínačem</t>
  </si>
  <si>
    <t>Počet bytových přijímačů - pájecí</t>
  </si>
  <si>
    <t>Instalace BH včetně napájení</t>
  </si>
  <si>
    <t>Instalace BH napájení zvlášť</t>
  </si>
  <si>
    <t>Instalace SW na stávající PC u zákazníka</t>
  </si>
  <si>
    <t>???</t>
  </si>
  <si>
    <t xml:space="preserve">Časové normování </t>
  </si>
  <si>
    <t>Celkem odpracováno - montér</t>
  </si>
  <si>
    <t>Celkem odpracováno - technik</t>
  </si>
  <si>
    <t>počet osob</t>
  </si>
  <si>
    <t>min/ks</t>
  </si>
  <si>
    <t>hod celkem</t>
  </si>
  <si>
    <t>km</t>
  </si>
  <si>
    <t>hod</t>
  </si>
  <si>
    <t>Seznámení s projektem</t>
  </si>
  <si>
    <t>Vyzvednutí materiálu ze skladu</t>
  </si>
  <si>
    <t>Instalace SW na PC, nastavení skupin podle projektu</t>
  </si>
  <si>
    <t>Nastavení řídicí skříně, kmitočet, výkon, skupiny podle projektu</t>
  </si>
  <si>
    <t>Nastavení hlasitosti BP, přepnutí skupiny a přezkoušení</t>
  </si>
  <si>
    <t>Nast. skupiny a hlasitosti BP, přezkoušení</t>
  </si>
  <si>
    <t>Nastavení BH podle projektu, zapsání výr. č. na disketu</t>
  </si>
  <si>
    <t>Doprava materiálu na stavbu</t>
  </si>
  <si>
    <t>Převzetí staveniště, poučení pracovníků</t>
  </si>
  <si>
    <t>Vykládka materiálu na stavbě</t>
  </si>
  <si>
    <t>Kompletace BH, držák, anténa</t>
  </si>
  <si>
    <t>Kompletace reproduktorů montáž držáku, likvidace obalu</t>
  </si>
  <si>
    <t>Vysílač</t>
  </si>
  <si>
    <t>Nakládka materiálu k montáži</t>
  </si>
  <si>
    <t>Doprava materiálu na místo montáže</t>
  </si>
  <si>
    <t>Příprava pracoviště k instalaci</t>
  </si>
  <si>
    <t>Instalace anténního systému, kabelu</t>
  </si>
  <si>
    <t xml:space="preserve">Instalace řídicí skříně a kabelového propojení s PC </t>
  </si>
  <si>
    <t xml:space="preserve">Likvidace pracoviště </t>
  </si>
  <si>
    <t>BH</t>
  </si>
  <si>
    <t>Nakládka materiálu k montáži 4 BH včetně napájení</t>
  </si>
  <si>
    <t>Doprava materiálu pro 4 BH na místo montáže</t>
  </si>
  <si>
    <t>Příprava pracoviště k instalace</t>
  </si>
  <si>
    <t xml:space="preserve"> </t>
  </si>
  <si>
    <t>Instalace BH a reproduktorů včetně napájení</t>
  </si>
  <si>
    <t xml:space="preserve">Likvidace instalačního pracoviště </t>
  </si>
  <si>
    <t>Návrat na základnu</t>
  </si>
  <si>
    <t>Nakládka materiálu k montáži napájení 5 bodů</t>
  </si>
  <si>
    <t>Doprava materiálu pro 5 bodů na místo montáže</t>
  </si>
  <si>
    <t>Vybudování napájení</t>
  </si>
  <si>
    <t>Nakládka materiálu k montáži 4 BH</t>
  </si>
  <si>
    <t>Instalace BH a reproduktorů</t>
  </si>
  <si>
    <t>Návrat montérů do sídla zhotovitele</t>
  </si>
  <si>
    <t>Opakování cesty na stavbu a zpět (počet týdnů)</t>
  </si>
  <si>
    <t>Doprava ved.stavby/ technika na stavbu</t>
  </si>
  <si>
    <t>Nastavení přijímačů při vysílání z úřadu</t>
  </si>
  <si>
    <t>Doprava ved.stavby/ technika ze stavby</t>
  </si>
  <si>
    <t>Opakování cesty techniků na stavbu a zpět (počet týdnů-1)</t>
  </si>
  <si>
    <t>Provedení revizní zprávy</t>
  </si>
  <si>
    <t>Doprava technika na stavbu pro doladění BP</t>
  </si>
  <si>
    <t>Nastavení BP v domácnostech u 15% dodaných</t>
  </si>
  <si>
    <t>Suma odpracovaných (hod,km)</t>
  </si>
  <si>
    <t>Suma spotřebovaných dnů</t>
  </si>
  <si>
    <t>Suma spotřebovaných týdnů</t>
  </si>
  <si>
    <t>Stavba bude trvat dnů</t>
  </si>
  <si>
    <t>Kalkulace projektu</t>
  </si>
  <si>
    <t>Datum zpracování :</t>
  </si>
  <si>
    <t>Verze kalkulace :</t>
  </si>
  <si>
    <t>Č.p.</t>
  </si>
  <si>
    <t>Označení</t>
  </si>
  <si>
    <t>Zkrácený název</t>
  </si>
  <si>
    <t>M.j.</t>
  </si>
  <si>
    <t>Poč.</t>
  </si>
  <si>
    <t>Jednot. náklad</t>
  </si>
  <si>
    <t>Celkový náklad</t>
  </si>
  <si>
    <t>Název projektu :</t>
  </si>
  <si>
    <t>VISO 2002 Prazdroj - realizace</t>
  </si>
  <si>
    <t>Číslo projektu :</t>
  </si>
  <si>
    <t>V-1183.1705</t>
  </si>
  <si>
    <t>Termín zahájení :</t>
  </si>
  <si>
    <t>XX.XX. 2002</t>
  </si>
  <si>
    <t>Termín ukončení :</t>
  </si>
  <si>
    <t>Zpracoval :</t>
  </si>
  <si>
    <t>Ing. Knecht</t>
  </si>
  <si>
    <t>Montážní práce :</t>
  </si>
  <si>
    <t>Projektový manažer :</t>
  </si>
  <si>
    <t>Počet hodin PM</t>
  </si>
  <si>
    <t>pojišť.</t>
  </si>
  <si>
    <t>Obchodní manažer :</t>
  </si>
  <si>
    <t>Počet hodin OM</t>
  </si>
  <si>
    <t>Pracovníci (mechanici) :</t>
  </si>
  <si>
    <t>Počet hodin montéra</t>
  </si>
  <si>
    <t>Pracovníci (technici) :</t>
  </si>
  <si>
    <t>Mzdové náklady celkem :</t>
  </si>
  <si>
    <t>Doprava osob a materiálu :</t>
  </si>
  <si>
    <t>Ford Transit 100</t>
  </si>
  <si>
    <t>Šedivý</t>
  </si>
  <si>
    <t>den</t>
  </si>
  <si>
    <t>Š Felicia Van Plus</t>
  </si>
  <si>
    <t>Hruška</t>
  </si>
  <si>
    <t>Š 1203 com</t>
  </si>
  <si>
    <t>Vícha, Ambrož</t>
  </si>
  <si>
    <t>Š 1203 mikro</t>
  </si>
  <si>
    <t>Černý, Teplý</t>
  </si>
  <si>
    <t>Š 135 Forman</t>
  </si>
  <si>
    <t>Dlabal, Šebesta</t>
  </si>
  <si>
    <t>Š Felicia B</t>
  </si>
  <si>
    <t>Král, Panc</t>
  </si>
  <si>
    <t>Š Felicia com B</t>
  </si>
  <si>
    <t>Chytil, Ptáček, Kaňkovský, Knecht</t>
  </si>
  <si>
    <t>Š Felicia com D</t>
  </si>
  <si>
    <t>Těšínský, Valenta, Spěváček, Ramba, Bis</t>
  </si>
  <si>
    <t>Š Forman plus</t>
  </si>
  <si>
    <t>Bureš Jiří, Klvaňa Jiří</t>
  </si>
  <si>
    <t>Š Octavia</t>
  </si>
  <si>
    <t>Kýna</t>
  </si>
  <si>
    <t>VW com</t>
  </si>
  <si>
    <t>Vohlídal</t>
  </si>
  <si>
    <t>Soukromé vozidla :</t>
  </si>
  <si>
    <t>----</t>
  </si>
  <si>
    <t>Soukromé vozidlo s spotřebou 6l/100km</t>
  </si>
  <si>
    <t>Soukromé vozidlo s spotřebou 8l/100km</t>
  </si>
  <si>
    <t>Soukromé vozidlo s spotřebou 10l/100km</t>
  </si>
  <si>
    <t>Dopravné náklady celkem :</t>
  </si>
  <si>
    <t>Ubytování :</t>
  </si>
  <si>
    <t>Cena ubytování I</t>
  </si>
  <si>
    <t>os.</t>
  </si>
  <si>
    <t>Cena ubytování II</t>
  </si>
  <si>
    <t>Cena ubytování III</t>
  </si>
  <si>
    <t>Cena ubytování IV</t>
  </si>
  <si>
    <t>Cestovné (stravné) :</t>
  </si>
  <si>
    <t>Cena ubytování I (5-12hod)</t>
  </si>
  <si>
    <t>Cena ubytování II (12-18hod)</t>
  </si>
  <si>
    <t>Cena ubytování III (nad 18hod)</t>
  </si>
  <si>
    <t>Diety (paušál):</t>
  </si>
  <si>
    <t>S použitím veřejné dopravy</t>
  </si>
  <si>
    <t>Vzdálenost 51-100km</t>
  </si>
  <si>
    <t>Vzdálenost 101-200km</t>
  </si>
  <si>
    <t>Vzdálenost 201-400km</t>
  </si>
  <si>
    <t>Bez použití veřejné dopravy</t>
  </si>
  <si>
    <t>Ubytování a cestovné náklady celkem :</t>
  </si>
  <si>
    <t>Zařízení a materiál :</t>
  </si>
  <si>
    <t>Zařízení VISO</t>
  </si>
  <si>
    <t>Montážní materiál (5% ceny dodávaného zařízení)</t>
  </si>
  <si>
    <t>Ostatní</t>
  </si>
  <si>
    <t>Zařízení a materiál celkem :</t>
  </si>
  <si>
    <t>Subdodávky</t>
  </si>
  <si>
    <t>interní</t>
  </si>
  <si>
    <t>externí</t>
  </si>
  <si>
    <t>PPD</t>
  </si>
  <si>
    <t>Instalační práce</t>
  </si>
  <si>
    <t>Zařízení a materiál</t>
  </si>
  <si>
    <t>Inženýring</t>
  </si>
  <si>
    <t>Subdodávky celkem :</t>
  </si>
  <si>
    <t>Rekapitulace</t>
  </si>
  <si>
    <t>Mzdové průměrné měsíční přímé náklady 1610</t>
  </si>
  <si>
    <t>měs.</t>
  </si>
  <si>
    <t>01-03</t>
  </si>
  <si>
    <t>Výrobní průměrné měsíční nepřímé náklady 1610</t>
  </si>
  <si>
    <t>(SAP)</t>
  </si>
  <si>
    <t>Mzdové průměrné měsíční náklady PM</t>
  </si>
  <si>
    <t>Výrobní nepřímé náklady projektového manažera</t>
  </si>
  <si>
    <t>Provozní výnosy celkem (smluvní cena bez DPH)</t>
  </si>
  <si>
    <t>Přímé náklady celkem</t>
  </si>
  <si>
    <t>KP I :</t>
  </si>
  <si>
    <t>%</t>
  </si>
  <si>
    <t>Výrobní nepřímé náklady 1610 rozpuštěné přes mzdy</t>
  </si>
  <si>
    <t>Výrobní nepřímé náklady PM rozpuštěné přes mzdy</t>
  </si>
  <si>
    <t>Výrobní režie 1610 + PM celkem :</t>
  </si>
  <si>
    <t>KP II :</t>
  </si>
  <si>
    <t>Stolní rozhlasový mikrofon pro připojení k PC</t>
  </si>
  <si>
    <t xml:space="preserve">Tlakový reproduktor - 15 W 8 Ohm </t>
  </si>
  <si>
    <t>Přijímací anténa všesměrová (v pásmu 80MHz) 1m koax. přívod BNC</t>
  </si>
  <si>
    <t>Kusů</t>
  </si>
  <si>
    <t>Cena celkem bez DPH</t>
  </si>
  <si>
    <t>Cena celkem</t>
  </si>
  <si>
    <t>DPH</t>
  </si>
  <si>
    <t>Řídící pracoviště</t>
  </si>
  <si>
    <t>Řídící software</t>
  </si>
  <si>
    <t>Serverová aplikace</t>
  </si>
  <si>
    <t>Webový server</t>
  </si>
  <si>
    <t>Třinec</t>
  </si>
  <si>
    <t>Anténa všesměrová tyčová v pásmu 80MHz</t>
  </si>
  <si>
    <t>Celkem Řídící pracoviště</t>
  </si>
  <si>
    <r>
      <t xml:space="preserve">Koncové prvky </t>
    </r>
    <r>
      <rPr>
        <b/>
        <sz val="10"/>
        <rFont val="Arial CE"/>
        <family val="2"/>
        <charset val="238"/>
      </rPr>
      <t>Bezdrátový hlásič</t>
    </r>
  </si>
  <si>
    <r>
      <t xml:space="preserve">Celkem </t>
    </r>
    <r>
      <rPr>
        <b/>
        <sz val="10"/>
        <rFont val="Arial CE"/>
        <family val="2"/>
        <charset val="238"/>
      </rPr>
      <t xml:space="preserve">Koncové prvky </t>
    </r>
    <r>
      <rPr>
        <b/>
        <sz val="10"/>
        <rFont val="Arial CE"/>
        <family val="2"/>
        <charset val="238"/>
      </rPr>
      <t>Bezdrátový hlásič</t>
    </r>
  </si>
  <si>
    <t>Oživení bezdrátového hlásiče</t>
  </si>
  <si>
    <t>Bezdrátový hlásič VIS 2 x 40W, digitální, obousměrný pásmo 80 MHz</t>
  </si>
  <si>
    <t>Oživení řídícího pracoviště</t>
  </si>
  <si>
    <t>Dokumentace skutečného provedení a rádiový projekt</t>
  </si>
  <si>
    <t>Modul telefonního prostupu, GSM bráná, záloha napájení</t>
  </si>
  <si>
    <t>Revize řídícího pracoviště</t>
  </si>
  <si>
    <t>Revize bezdrátového hlásiče</t>
  </si>
  <si>
    <t>Montáž a instalační materiál bezdrátového hlásiče</t>
  </si>
  <si>
    <t>Montáž a instalační materiál řídícího pracoviště</t>
  </si>
  <si>
    <t>Příloha č.1 - Specifikace systému VIS</t>
  </si>
  <si>
    <t>Dokumentace pro školení a obsluhu</t>
  </si>
  <si>
    <t>Sestava řídící pracoviště  včetně digitálního radiového modulu pro pásmo 80 MHz a obousměru</t>
  </si>
  <si>
    <t>Serverové PC umožňující provoz 24/7 365 dní v roce, repro, Full HD monitor, klávesnice myš, Repro, UPS 350VA a OS.</t>
  </si>
  <si>
    <t>KPPS pro připojení na 2. vrstvu JSVV včetně řídící jednotky 1. a 2. vrstvy JSVV - BMIS</t>
  </si>
  <si>
    <t>Anténa KPPS 2</t>
  </si>
  <si>
    <t>Komponenty pro napojení na JSVV (koncový prvek přenosové soustavy - KPPS)</t>
  </si>
  <si>
    <t>Celkem komponenty pro napojení na JSVV (koncový prvek přenosové soustavy - KPPS)</t>
  </si>
  <si>
    <t>Obec Holubice</t>
  </si>
  <si>
    <t>Elektrocentrála 400V, 3 fázová s čistím sinusovým projektem</t>
  </si>
  <si>
    <t>Záložní zdroj</t>
  </si>
  <si>
    <t>Celkem Záložní zdroj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</si>
</sst>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&quot; Kč&quot;"/>
    <numFmt numFmtId="165" formatCode="#,##0&quot; Kč&quot;"/>
    <numFmt numFmtId="166" formatCode="#,##0.0"/>
    <numFmt numFmtId="167" formatCode="0.0"/>
    <numFmt numFmtId="168" formatCode="#,##0\ &quot;Kč&quot;"/>
  </numFmts>
  <fonts count="33">
    <font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4"/>
      <name val="Arial CE"/>
      <family val="2"/>
      <charset val="238"/>
    </font>
    <font>
      <sz val="10"/>
      <color indexed="8"/>
      <name val="Arial CE"/>
      <family val="2"/>
      <charset val="238"/>
    </font>
    <font>
      <i/>
      <sz val="10"/>
      <name val="Arial CE"/>
      <family val="2"/>
      <charset val="238"/>
    </font>
    <font>
      <b/>
      <sz val="12"/>
      <color indexed="10"/>
      <name val="Arial CE"/>
      <family val="2"/>
      <charset val="238"/>
    </font>
    <font>
      <sz val="10"/>
      <color indexed="10"/>
      <name val="Arial CE"/>
      <family val="2"/>
      <charset val="238"/>
    </font>
    <font>
      <sz val="10"/>
      <color indexed="12"/>
      <name val="Arial CE"/>
      <family val="2"/>
      <charset val="238"/>
    </font>
    <font>
      <b/>
      <sz val="8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i/>
      <sz val="12"/>
      <color indexed="8"/>
      <name val="Arial CE"/>
      <family val="2"/>
      <charset val="238"/>
    </font>
    <font>
      <i/>
      <sz val="10"/>
      <color indexed="8"/>
      <name val="Arial CE"/>
      <family val="2"/>
      <charset val="238"/>
    </font>
    <font>
      <i/>
      <sz val="10"/>
      <color indexed="12"/>
      <name val="Arial CE"/>
      <family val="2"/>
      <charset val="238"/>
    </font>
    <font>
      <b/>
      <sz val="10"/>
      <color indexed="8"/>
      <name val="Arial CE"/>
      <family val="2"/>
      <charset val="238"/>
    </font>
    <font>
      <b/>
      <i/>
      <sz val="10"/>
      <color indexed="8"/>
      <name val="Arial CE"/>
      <family val="2"/>
      <charset val="238"/>
    </font>
    <font>
      <b/>
      <sz val="12"/>
      <color indexed="8"/>
      <name val="Arial CE"/>
      <family val="2"/>
      <charset val="238"/>
    </font>
    <font>
      <b/>
      <sz val="11"/>
      <name val="Arial CE"/>
      <family val="2"/>
      <charset val="238"/>
    </font>
    <font>
      <b/>
      <i/>
      <sz val="10"/>
      <name val="Arial CE"/>
      <family val="2"/>
      <charset val="238"/>
    </font>
    <font>
      <sz val="10"/>
      <color indexed="14"/>
      <name val="Arial CE"/>
      <family val="2"/>
      <charset val="238"/>
    </font>
    <font>
      <b/>
      <sz val="10"/>
      <color indexed="12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charset val="238"/>
    </font>
    <font>
      <b/>
      <sz val="12"/>
      <color indexed="12"/>
      <name val="Arial CE"/>
      <charset val="238"/>
    </font>
    <font>
      <b/>
      <sz val="10"/>
      <name val="Arial CE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b/>
      <sz val="12"/>
      <color indexed="10"/>
      <name val="Arial CE"/>
      <charset val="238"/>
    </font>
    <font>
      <sz val="10"/>
      <color indexed="10"/>
      <name val="Arial CE"/>
      <charset val="238"/>
    </font>
    <font>
      <b/>
      <sz val="14"/>
      <name val="Arial CE"/>
      <charset val="238"/>
    </font>
    <font>
      <u/>
      <sz val="10"/>
      <color theme="10"/>
      <name val="Arial CE"/>
      <family val="2"/>
      <charset val="238"/>
    </font>
    <font>
      <u/>
      <sz val="10"/>
      <color theme="11"/>
      <name val="Arial CE"/>
      <family val="2"/>
      <charset val="238"/>
    </font>
    <font>
      <b/>
      <sz val="14"/>
      <color rgb="FFFF0000"/>
      <name val="Arial CE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11"/>
        <bgColor indexed="49"/>
      </patternFill>
    </fill>
    <fill>
      <patternFill patternType="solid">
        <fgColor indexed="10"/>
        <bgColor indexed="60"/>
      </patternFill>
    </fill>
    <fill>
      <patternFill patternType="solid">
        <fgColor indexed="51"/>
        <bgColor indexed="13"/>
      </patternFill>
    </fill>
    <fill>
      <patternFill patternType="solid">
        <fgColor indexed="13"/>
        <bgColor indexed="34"/>
      </patternFill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rgb="FFA2BD90"/>
      </patternFill>
    </fill>
  </fills>
  <borders count="52">
    <border>
      <left/>
      <right/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94">
    <xf numFmtId="0" fontId="0" fillId="0" borderId="0"/>
    <xf numFmtId="0" fontId="21" fillId="0" borderId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</cellStyleXfs>
  <cellXfs count="320">
    <xf numFmtId="0" fontId="0" fillId="0" borderId="0" xfId="0"/>
    <xf numFmtId="3" fontId="0" fillId="0" borderId="0" xfId="0" applyNumberFormat="1"/>
    <xf numFmtId="9" fontId="0" fillId="0" borderId="0" xfId="0" applyNumberFormat="1"/>
    <xf numFmtId="3" fontId="0" fillId="0" borderId="1" xfId="0" applyNumberFormat="1" applyBorder="1"/>
    <xf numFmtId="3" fontId="0" fillId="0" borderId="0" xfId="0" applyNumberFormat="1" applyAlignment="1">
      <alignment horizontal="center"/>
    </xf>
    <xf numFmtId="0" fontId="3" fillId="0" borderId="0" xfId="0" applyFont="1"/>
    <xf numFmtId="0" fontId="3" fillId="0" borderId="0" xfId="0" applyFont="1" applyProtection="1">
      <protection locked="0"/>
    </xf>
    <xf numFmtId="0" fontId="3" fillId="2" borderId="0" xfId="0" applyFont="1" applyFill="1" applyProtection="1">
      <protection locked="0"/>
    </xf>
    <xf numFmtId="0" fontId="3" fillId="0" borderId="2" xfId="0" applyFont="1" applyBorder="1"/>
    <xf numFmtId="3" fontId="0" fillId="3" borderId="0" xfId="0" applyNumberFormat="1" applyFill="1"/>
    <xf numFmtId="0" fontId="0" fillId="3" borderId="0" xfId="0" applyFill="1"/>
    <xf numFmtId="0" fontId="0" fillId="4" borderId="0" xfId="0" applyFill="1"/>
    <xf numFmtId="0" fontId="0" fillId="2" borderId="0" xfId="0" applyFill="1"/>
    <xf numFmtId="0" fontId="0" fillId="5" borderId="3" xfId="0" applyFill="1" applyBorder="1"/>
    <xf numFmtId="0" fontId="0" fillId="5" borderId="4" xfId="0" applyFill="1" applyBorder="1"/>
    <xf numFmtId="0" fontId="0" fillId="5" borderId="5" xfId="0" applyFill="1" applyBorder="1" applyAlignment="1">
      <alignment horizontal="left"/>
    </xf>
    <xf numFmtId="0" fontId="0" fillId="5" borderId="6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9" xfId="0" applyFill="1" applyBorder="1"/>
    <xf numFmtId="0" fontId="0" fillId="5" borderId="6" xfId="0" applyFill="1" applyBorder="1"/>
    <xf numFmtId="0" fontId="0" fillId="5" borderId="5" xfId="0" applyFill="1" applyBorder="1" applyAlignment="1">
      <alignment horizontal="center"/>
    </xf>
    <xf numFmtId="0" fontId="0" fillId="0" borderId="10" xfId="0" applyBorder="1"/>
    <xf numFmtId="0" fontId="0" fillId="2" borderId="11" xfId="0" applyFill="1" applyBorder="1"/>
    <xf numFmtId="4" fontId="0" fillId="0" borderId="0" xfId="0" applyNumberFormat="1"/>
    <xf numFmtId="0" fontId="0" fillId="0" borderId="12" xfId="0" applyBorder="1"/>
    <xf numFmtId="166" fontId="0" fillId="0" borderId="11" xfId="0" applyNumberFormat="1" applyBorder="1"/>
    <xf numFmtId="166" fontId="0" fillId="0" borderId="1" xfId="0" applyNumberFormat="1" applyBorder="1"/>
    <xf numFmtId="166" fontId="0" fillId="0" borderId="0" xfId="0" applyNumberFormat="1"/>
    <xf numFmtId="0" fontId="0" fillId="0" borderId="11" xfId="0" applyBorder="1"/>
    <xf numFmtId="167" fontId="0" fillId="0" borderId="0" xfId="0" applyNumberFormat="1"/>
    <xf numFmtId="0" fontId="0" fillId="0" borderId="13" xfId="0" applyBorder="1"/>
    <xf numFmtId="0" fontId="0" fillId="0" borderId="14" xfId="0" applyBorder="1"/>
    <xf numFmtId="0" fontId="0" fillId="3" borderId="15" xfId="0" applyFill="1" applyBorder="1"/>
    <xf numFmtId="0" fontId="0" fillId="0" borderId="16" xfId="0" applyBorder="1"/>
    <xf numFmtId="166" fontId="0" fillId="0" borderId="15" xfId="0" applyNumberFormat="1" applyBorder="1"/>
    <xf numFmtId="166" fontId="0" fillId="0" borderId="17" xfId="0" applyNumberFormat="1" applyBorder="1"/>
    <xf numFmtId="166" fontId="0" fillId="0" borderId="14" xfId="0" applyNumberFormat="1" applyBorder="1"/>
    <xf numFmtId="3" fontId="0" fillId="0" borderId="14" xfId="0" applyNumberFormat="1" applyBorder="1"/>
    <xf numFmtId="4" fontId="0" fillId="0" borderId="14" xfId="0" applyNumberFormat="1" applyBorder="1"/>
    <xf numFmtId="166" fontId="0" fillId="0" borderId="12" xfId="0" applyNumberFormat="1" applyBorder="1"/>
    <xf numFmtId="167" fontId="0" fillId="0" borderId="12" xfId="0" applyNumberFormat="1" applyBorder="1"/>
    <xf numFmtId="167" fontId="0" fillId="0" borderId="16" xfId="0" applyNumberFormat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166" fontId="0" fillId="0" borderId="21" xfId="0" applyNumberFormat="1" applyBorder="1"/>
    <xf numFmtId="166" fontId="0" fillId="0" borderId="22" xfId="0" applyNumberFormat="1" applyBorder="1"/>
    <xf numFmtId="166" fontId="0" fillId="0" borderId="19" xfId="0" applyNumberFormat="1" applyBorder="1"/>
    <xf numFmtId="0" fontId="0" fillId="0" borderId="21" xfId="0" applyBorder="1"/>
    <xf numFmtId="166" fontId="0" fillId="3" borderId="19" xfId="0" applyNumberFormat="1" applyFill="1" applyBorder="1"/>
    <xf numFmtId="167" fontId="0" fillId="0" borderId="19" xfId="0" applyNumberFormat="1" applyBorder="1"/>
    <xf numFmtId="3" fontId="0" fillId="2" borderId="14" xfId="0" applyNumberFormat="1" applyFill="1" applyBorder="1"/>
    <xf numFmtId="0" fontId="0" fillId="0" borderId="15" xfId="0" applyBorder="1"/>
    <xf numFmtId="0" fontId="1" fillId="0" borderId="0" xfId="0" applyFont="1"/>
    <xf numFmtId="0" fontId="1" fillId="0" borderId="9" xfId="0" applyFont="1" applyBorder="1"/>
    <xf numFmtId="0" fontId="1" fillId="0" borderId="6" xfId="0" applyFont="1" applyBorder="1"/>
    <xf numFmtId="4" fontId="6" fillId="0" borderId="6" xfId="0" applyNumberFormat="1" applyFont="1" applyBorder="1"/>
    <xf numFmtId="3" fontId="6" fillId="0" borderId="8" xfId="0" applyNumberFormat="1" applyFont="1" applyBorder="1"/>
    <xf numFmtId="3" fontId="6" fillId="0" borderId="6" xfId="0" applyNumberFormat="1" applyFont="1" applyBorder="1"/>
    <xf numFmtId="0" fontId="4" fillId="0" borderId="0" xfId="1" applyFont="1" applyProtection="1"/>
    <xf numFmtId="1" fontId="4" fillId="0" borderId="0" xfId="1" applyNumberFormat="1" applyFont="1" applyProtection="1"/>
    <xf numFmtId="0" fontId="4" fillId="0" borderId="0" xfId="1" applyFont="1" applyAlignment="1" applyProtection="1">
      <alignment horizontal="center"/>
    </xf>
    <xf numFmtId="0" fontId="4" fillId="0" borderId="0" xfId="1" applyFont="1" applyAlignment="1" applyProtection="1">
      <alignment horizontal="right"/>
    </xf>
    <xf numFmtId="4" fontId="4" fillId="0" borderId="0" xfId="1" applyNumberFormat="1" applyFont="1" applyProtection="1"/>
    <xf numFmtId="0" fontId="4" fillId="0" borderId="0" xfId="1" applyFont="1" applyAlignment="1" applyProtection="1">
      <alignment horizontal="left" vertical="top" wrapText="1"/>
    </xf>
    <xf numFmtId="1" fontId="12" fillId="0" borderId="0" xfId="1" applyNumberFormat="1" applyFont="1" applyAlignment="1" applyProtection="1">
      <alignment horizontal="left" vertical="top"/>
    </xf>
    <xf numFmtId="0" fontId="4" fillId="0" borderId="0" xfId="1" applyFont="1" applyAlignment="1" applyProtection="1">
      <alignment horizontal="left" vertical="top"/>
    </xf>
    <xf numFmtId="14" fontId="13" fillId="0" borderId="0" xfId="1" applyNumberFormat="1" applyFont="1" applyAlignment="1" applyProtection="1">
      <alignment horizontal="left" vertical="top"/>
      <protection locked="0"/>
    </xf>
    <xf numFmtId="0" fontId="4" fillId="0" borderId="0" xfId="1" applyFont="1" applyAlignment="1" applyProtection="1">
      <alignment horizontal="center" vertical="top"/>
    </xf>
    <xf numFmtId="4" fontId="14" fillId="0" borderId="0" xfId="1" applyNumberFormat="1" applyFont="1" applyAlignment="1" applyProtection="1">
      <alignment horizontal="left" vertical="top"/>
    </xf>
    <xf numFmtId="4" fontId="12" fillId="0" borderId="0" xfId="1" applyNumberFormat="1" applyFont="1" applyAlignment="1" applyProtection="1">
      <alignment horizontal="right" vertical="top"/>
    </xf>
    <xf numFmtId="1" fontId="13" fillId="0" borderId="0" xfId="1" applyNumberFormat="1" applyFont="1" applyAlignment="1" applyProtection="1">
      <alignment horizontal="center" vertical="top"/>
      <protection locked="0"/>
    </xf>
    <xf numFmtId="0" fontId="14" fillId="6" borderId="23" xfId="1" applyFont="1" applyFill="1" applyBorder="1" applyAlignment="1" applyProtection="1">
      <alignment horizontal="center" wrapText="1"/>
    </xf>
    <xf numFmtId="4" fontId="14" fillId="6" borderId="23" xfId="1" applyNumberFormat="1" applyFont="1" applyFill="1" applyBorder="1" applyAlignment="1" applyProtection="1">
      <alignment horizontal="center" wrapText="1"/>
    </xf>
    <xf numFmtId="0" fontId="4" fillId="0" borderId="0" xfId="1" applyFont="1" applyAlignment="1" applyProtection="1">
      <alignment wrapText="1"/>
    </xf>
    <xf numFmtId="49" fontId="14" fillId="0" borderId="0" xfId="1" applyNumberFormat="1" applyFont="1" applyAlignment="1" applyProtection="1">
      <alignment horizontal="center"/>
    </xf>
    <xf numFmtId="49" fontId="14" fillId="0" borderId="0" xfId="1" applyNumberFormat="1" applyFont="1" applyAlignment="1" applyProtection="1">
      <alignment horizontal="right"/>
    </xf>
    <xf numFmtId="4" fontId="14" fillId="0" borderId="0" xfId="1" applyNumberFormat="1" applyFont="1" applyAlignment="1" applyProtection="1">
      <alignment horizontal="center"/>
    </xf>
    <xf numFmtId="1" fontId="15" fillId="0" borderId="0" xfId="1" applyNumberFormat="1" applyFont="1" applyAlignment="1" applyProtection="1">
      <alignment horizontal="left" vertical="top"/>
    </xf>
    <xf numFmtId="49" fontId="14" fillId="0" borderId="0" xfId="1" applyNumberFormat="1" applyFont="1" applyAlignment="1" applyProtection="1">
      <alignment horizontal="left" vertical="top" wrapText="1"/>
    </xf>
    <xf numFmtId="49" fontId="13" fillId="0" borderId="0" xfId="1" applyNumberFormat="1" applyFont="1" applyAlignment="1" applyProtection="1">
      <alignment horizontal="left" vertical="top"/>
      <protection locked="0"/>
    </xf>
    <xf numFmtId="49" fontId="14" fillId="0" borderId="0" xfId="1" applyNumberFormat="1" applyFont="1" applyAlignment="1" applyProtection="1">
      <alignment horizontal="center" vertical="top" wrapText="1"/>
    </xf>
    <xf numFmtId="1" fontId="14" fillId="0" borderId="0" xfId="1" applyNumberFormat="1" applyFont="1" applyAlignment="1" applyProtection="1">
      <alignment horizontal="right" vertical="top" wrapText="1"/>
    </xf>
    <xf numFmtId="4" fontId="14" fillId="0" borderId="0" xfId="1" applyNumberFormat="1" applyFont="1" applyAlignment="1" applyProtection="1">
      <alignment horizontal="right" vertical="top" wrapText="1"/>
    </xf>
    <xf numFmtId="49" fontId="13" fillId="0" borderId="0" xfId="1" applyNumberFormat="1" applyFont="1" applyAlignment="1" applyProtection="1">
      <alignment horizontal="left" vertical="top" wrapText="1"/>
      <protection locked="0"/>
    </xf>
    <xf numFmtId="14" fontId="13" fillId="0" borderId="0" xfId="1" applyNumberFormat="1" applyFont="1" applyAlignment="1" applyProtection="1">
      <alignment horizontal="left" vertical="top" wrapText="1"/>
      <protection locked="0"/>
    </xf>
    <xf numFmtId="1" fontId="11" fillId="0" borderId="0" xfId="1" applyNumberFormat="1" applyFont="1" applyAlignment="1" applyProtection="1">
      <alignment horizontal="left" vertical="top"/>
    </xf>
    <xf numFmtId="49" fontId="16" fillId="0" borderId="0" xfId="1" applyNumberFormat="1" applyFont="1" applyAlignment="1" applyProtection="1">
      <alignment horizontal="left" vertical="top" wrapText="1"/>
    </xf>
    <xf numFmtId="49" fontId="17" fillId="0" borderId="24" xfId="1" applyNumberFormat="1" applyFont="1" applyBorder="1" applyProtection="1"/>
    <xf numFmtId="49" fontId="0" fillId="0" borderId="24" xfId="1" applyNumberFormat="1" applyFont="1" applyBorder="1" applyAlignment="1" applyProtection="1">
      <alignment horizontal="right"/>
    </xf>
    <xf numFmtId="167" fontId="0" fillId="0" borderId="24" xfId="1" applyNumberFormat="1" applyFont="1" applyBorder="1" applyAlignment="1" applyProtection="1">
      <alignment horizontal="center"/>
    </xf>
    <xf numFmtId="0" fontId="0" fillId="0" borderId="24" xfId="1" applyFont="1" applyBorder="1" applyProtection="1"/>
    <xf numFmtId="0" fontId="0" fillId="0" borderId="24" xfId="1" applyFont="1" applyBorder="1" applyAlignment="1" applyProtection="1">
      <alignment horizontal="center"/>
    </xf>
    <xf numFmtId="0" fontId="0" fillId="0" borderId="24" xfId="1" applyFont="1" applyBorder="1" applyAlignment="1" applyProtection="1">
      <alignment horizontal="right"/>
    </xf>
    <xf numFmtId="4" fontId="0" fillId="0" borderId="24" xfId="1" applyNumberFormat="1" applyFont="1" applyBorder="1" applyProtection="1"/>
    <xf numFmtId="4" fontId="0" fillId="0" borderId="0" xfId="1" applyNumberFormat="1" applyFont="1" applyAlignment="1" applyProtection="1">
      <alignment horizontal="right"/>
    </xf>
    <xf numFmtId="0" fontId="0" fillId="0" borderId="0" xfId="1" applyFont="1" applyProtection="1"/>
    <xf numFmtId="49" fontId="17" fillId="0" borderId="0" xfId="1" applyNumberFormat="1" applyFont="1" applyProtection="1"/>
    <xf numFmtId="49" fontId="0" fillId="0" borderId="0" xfId="1" applyNumberFormat="1" applyFont="1" applyAlignment="1" applyProtection="1">
      <alignment horizontal="right"/>
    </xf>
    <xf numFmtId="167" fontId="0" fillId="0" borderId="0" xfId="1" applyNumberFormat="1" applyFont="1" applyAlignment="1" applyProtection="1">
      <alignment horizontal="center"/>
    </xf>
    <xf numFmtId="0" fontId="0" fillId="0" borderId="0" xfId="1" applyFont="1" applyAlignment="1" applyProtection="1">
      <alignment horizontal="center"/>
    </xf>
    <xf numFmtId="0" fontId="0" fillId="0" borderId="0" xfId="1" applyFont="1" applyAlignment="1" applyProtection="1">
      <alignment horizontal="right"/>
    </xf>
    <xf numFmtId="4" fontId="0" fillId="0" borderId="0" xfId="1" applyNumberFormat="1" applyFont="1" applyProtection="1"/>
    <xf numFmtId="0" fontId="18" fillId="0" borderId="0" xfId="1" applyFont="1" applyAlignment="1" applyProtection="1">
      <alignment horizontal="left"/>
    </xf>
    <xf numFmtId="49" fontId="2" fillId="0" borderId="0" xfId="1" applyNumberFormat="1" applyFont="1" applyProtection="1"/>
    <xf numFmtId="0" fontId="0" fillId="0" borderId="0" xfId="1" applyFont="1" applyAlignment="1" applyProtection="1">
      <alignment horizontal="left"/>
    </xf>
    <xf numFmtId="0" fontId="0" fillId="0" borderId="25" xfId="1" applyFont="1" applyBorder="1" applyAlignment="1" applyProtection="1">
      <alignment horizontal="center"/>
    </xf>
    <xf numFmtId="0" fontId="0" fillId="0" borderId="25" xfId="1" applyFont="1" applyBorder="1" applyProtection="1"/>
    <xf numFmtId="4" fontId="0" fillId="0" borderId="25" xfId="1" applyNumberFormat="1" applyFont="1" applyBorder="1" applyAlignment="1" applyProtection="1">
      <alignment horizontal="center"/>
    </xf>
    <xf numFmtId="0" fontId="8" fillId="0" borderId="25" xfId="1" applyFont="1" applyBorder="1" applyAlignment="1" applyProtection="1">
      <alignment horizontal="right"/>
      <protection locked="0"/>
    </xf>
    <xf numFmtId="4" fontId="19" fillId="0" borderId="25" xfId="1" applyNumberFormat="1" applyFont="1" applyBorder="1" applyProtection="1">
      <protection locked="0"/>
    </xf>
    <xf numFmtId="4" fontId="0" fillId="0" borderId="25" xfId="1" applyNumberFormat="1" applyFont="1" applyBorder="1" applyProtection="1"/>
    <xf numFmtId="0" fontId="8" fillId="0" borderId="0" xfId="1" applyFont="1" applyAlignment="1" applyProtection="1">
      <alignment horizontal="right"/>
    </xf>
    <xf numFmtId="4" fontId="0" fillId="0" borderId="0" xfId="1" applyNumberFormat="1" applyFont="1" applyAlignment="1" applyProtection="1">
      <alignment horizontal="center"/>
    </xf>
    <xf numFmtId="4" fontId="19" fillId="0" borderId="25" xfId="1" applyNumberFormat="1" applyFont="1" applyBorder="1" applyProtection="1"/>
    <xf numFmtId="0" fontId="5" fillId="0" borderId="21" xfId="1" applyFont="1" applyBorder="1" applyAlignment="1" applyProtection="1">
      <alignment horizontal="left"/>
    </xf>
    <xf numFmtId="0" fontId="0" fillId="0" borderId="19" xfId="1" applyFont="1" applyBorder="1" applyAlignment="1" applyProtection="1">
      <alignment horizontal="center"/>
    </xf>
    <xf numFmtId="0" fontId="0" fillId="0" borderId="19" xfId="1" applyFont="1" applyBorder="1" applyProtection="1"/>
    <xf numFmtId="4" fontId="0" fillId="0" borderId="19" xfId="1" applyNumberFormat="1" applyFont="1" applyBorder="1" applyAlignment="1" applyProtection="1">
      <alignment horizontal="center"/>
    </xf>
    <xf numFmtId="0" fontId="8" fillId="0" borderId="19" xfId="1" applyFont="1" applyBorder="1" applyAlignment="1" applyProtection="1">
      <alignment horizontal="right"/>
    </xf>
    <xf numFmtId="4" fontId="0" fillId="0" borderId="19" xfId="1" applyNumberFormat="1" applyFont="1" applyBorder="1" applyProtection="1"/>
    <xf numFmtId="4" fontId="18" fillId="0" borderId="20" xfId="1" applyNumberFormat="1" applyFont="1" applyBorder="1" applyProtection="1"/>
    <xf numFmtId="0" fontId="5" fillId="0" borderId="0" xfId="1" applyFont="1" applyAlignment="1" applyProtection="1">
      <alignment horizontal="left"/>
    </xf>
    <xf numFmtId="49" fontId="0" fillId="0" borderId="25" xfId="1" applyNumberFormat="1" applyFont="1" applyBorder="1" applyAlignment="1" applyProtection="1">
      <alignment horizontal="left"/>
    </xf>
    <xf numFmtId="0" fontId="8" fillId="0" borderId="25" xfId="1" applyFont="1" applyBorder="1" applyProtection="1">
      <protection locked="0"/>
    </xf>
    <xf numFmtId="49" fontId="0" fillId="0" borderId="25" xfId="1" applyNumberFormat="1" applyFont="1" applyBorder="1" applyProtection="1"/>
    <xf numFmtId="167" fontId="0" fillId="0" borderId="25" xfId="1" applyNumberFormat="1" applyFont="1" applyBorder="1" applyAlignment="1" applyProtection="1">
      <alignment horizontal="center"/>
    </xf>
    <xf numFmtId="0" fontId="0" fillId="0" borderId="25" xfId="1" applyFont="1" applyBorder="1" applyAlignment="1" applyProtection="1">
      <alignment horizontal="left"/>
    </xf>
    <xf numFmtId="4" fontId="0" fillId="0" borderId="25" xfId="1" applyNumberFormat="1" applyFont="1" applyBorder="1" applyAlignment="1" applyProtection="1">
      <alignment horizontal="right"/>
    </xf>
    <xf numFmtId="0" fontId="18" fillId="0" borderId="0" xfId="1" applyFont="1" applyProtection="1"/>
    <xf numFmtId="0" fontId="0" fillId="0" borderId="21" xfId="1" applyFont="1" applyBorder="1" applyAlignment="1" applyProtection="1">
      <alignment horizontal="center"/>
    </xf>
    <xf numFmtId="49" fontId="0" fillId="0" borderId="20" xfId="1" applyNumberFormat="1" applyFont="1" applyBorder="1" applyProtection="1"/>
    <xf numFmtId="0" fontId="0" fillId="0" borderId="26" xfId="1" applyFont="1" applyBorder="1" applyAlignment="1" applyProtection="1">
      <alignment horizontal="center"/>
    </xf>
    <xf numFmtId="0" fontId="8" fillId="0" borderId="26" xfId="1" applyFont="1" applyBorder="1" applyProtection="1">
      <protection locked="0"/>
    </xf>
    <xf numFmtId="4" fontId="0" fillId="0" borderId="26" xfId="1" applyNumberFormat="1" applyFont="1" applyBorder="1" applyProtection="1"/>
    <xf numFmtId="4" fontId="0" fillId="0" borderId="26" xfId="1" applyNumberFormat="1" applyFont="1" applyBorder="1" applyAlignment="1" applyProtection="1">
      <alignment horizontal="right"/>
    </xf>
    <xf numFmtId="49" fontId="5" fillId="0" borderId="25" xfId="1" applyNumberFormat="1" applyFont="1" applyBorder="1" applyProtection="1"/>
    <xf numFmtId="4" fontId="0" fillId="0" borderId="20" xfId="1" applyNumberFormat="1" applyFont="1" applyBorder="1" applyProtection="1"/>
    <xf numFmtId="0" fontId="0" fillId="0" borderId="27" xfId="1" applyFont="1" applyBorder="1" applyAlignment="1" applyProtection="1">
      <alignment horizontal="center"/>
    </xf>
    <xf numFmtId="0" fontId="8" fillId="0" borderId="27" xfId="1" applyFont="1" applyBorder="1" applyProtection="1">
      <protection locked="0"/>
    </xf>
    <xf numFmtId="4" fontId="0" fillId="0" borderId="27" xfId="1" applyNumberFormat="1" applyFont="1" applyBorder="1" applyProtection="1"/>
    <xf numFmtId="4" fontId="8" fillId="0" borderId="27" xfId="1" applyNumberFormat="1" applyFont="1" applyBorder="1" applyProtection="1">
      <protection locked="0"/>
    </xf>
    <xf numFmtId="4" fontId="8" fillId="0" borderId="25" xfId="1" applyNumberFormat="1" applyFont="1" applyBorder="1" applyProtection="1">
      <protection locked="0"/>
    </xf>
    <xf numFmtId="4" fontId="8" fillId="0" borderId="26" xfId="1" applyNumberFormat="1" applyFont="1" applyBorder="1" applyProtection="1">
      <protection locked="0"/>
    </xf>
    <xf numFmtId="49" fontId="8" fillId="0" borderId="19" xfId="1" applyNumberFormat="1" applyFont="1" applyBorder="1" applyAlignment="1" applyProtection="1">
      <alignment horizontal="center"/>
      <protection locked="0"/>
    </xf>
    <xf numFmtId="49" fontId="8" fillId="0" borderId="20" xfId="1" applyNumberFormat="1" applyFont="1" applyBorder="1" applyAlignment="1" applyProtection="1">
      <alignment horizontal="center"/>
      <protection locked="0"/>
    </xf>
    <xf numFmtId="49" fontId="5" fillId="0" borderId="0" xfId="1" applyNumberFormat="1" applyFont="1" applyProtection="1"/>
    <xf numFmtId="0" fontId="8" fillId="0" borderId="19" xfId="1" applyFont="1" applyBorder="1" applyProtection="1">
      <protection locked="0"/>
    </xf>
    <xf numFmtId="4" fontId="8" fillId="0" borderId="19" xfId="1" applyNumberFormat="1" applyFont="1" applyBorder="1" applyProtection="1">
      <protection locked="0"/>
    </xf>
    <xf numFmtId="4" fontId="7" fillId="0" borderId="0" xfId="1" applyNumberFormat="1" applyFont="1" applyProtection="1"/>
    <xf numFmtId="4" fontId="8" fillId="7" borderId="20" xfId="1" applyNumberFormat="1" applyFont="1" applyFill="1" applyBorder="1" applyProtection="1">
      <protection locked="0"/>
    </xf>
    <xf numFmtId="49" fontId="0" fillId="7" borderId="25" xfId="1" applyNumberFormat="1" applyFont="1" applyFill="1" applyBorder="1" applyAlignment="1" applyProtection="1">
      <alignment horizontal="left"/>
    </xf>
    <xf numFmtId="49" fontId="0" fillId="7" borderId="21" xfId="1" applyNumberFormat="1" applyFont="1" applyFill="1" applyBorder="1" applyAlignment="1" applyProtection="1">
      <alignment horizontal="left"/>
    </xf>
    <xf numFmtId="4" fontId="0" fillId="7" borderId="20" xfId="1" applyNumberFormat="1" applyFont="1" applyFill="1" applyBorder="1" applyProtection="1"/>
    <xf numFmtId="49" fontId="0" fillId="0" borderId="21" xfId="1" applyNumberFormat="1" applyFont="1" applyBorder="1" applyAlignment="1" applyProtection="1">
      <alignment horizontal="left"/>
    </xf>
    <xf numFmtId="49" fontId="0" fillId="0" borderId="19" xfId="1" applyNumberFormat="1" applyFont="1" applyBorder="1" applyAlignment="1" applyProtection="1">
      <alignment horizontal="left"/>
    </xf>
    <xf numFmtId="49" fontId="0" fillId="0" borderId="20" xfId="1" applyNumberFormat="1" applyFont="1" applyBorder="1" applyAlignment="1" applyProtection="1">
      <alignment horizontal="center"/>
    </xf>
    <xf numFmtId="4" fontId="0" fillId="0" borderId="20" xfId="1" applyNumberFormat="1" applyFont="1" applyBorder="1" applyProtection="1">
      <protection hidden="1"/>
    </xf>
    <xf numFmtId="49" fontId="0" fillId="0" borderId="19" xfId="1" applyNumberFormat="1" applyFont="1" applyBorder="1" applyAlignment="1" applyProtection="1">
      <alignment horizontal="center"/>
    </xf>
    <xf numFmtId="4" fontId="19" fillId="0" borderId="20" xfId="1" applyNumberFormat="1" applyFont="1" applyBorder="1" applyProtection="1">
      <protection locked="0"/>
    </xf>
    <xf numFmtId="49" fontId="0" fillId="0" borderId="28" xfId="1" applyNumberFormat="1" applyFont="1" applyBorder="1" applyAlignment="1" applyProtection="1">
      <alignment horizontal="left"/>
    </xf>
    <xf numFmtId="49" fontId="0" fillId="0" borderId="2" xfId="1" applyNumberFormat="1" applyFont="1" applyBorder="1" applyAlignment="1" applyProtection="1">
      <alignment horizontal="left"/>
    </xf>
    <xf numFmtId="49" fontId="0" fillId="0" borderId="2" xfId="1" applyNumberFormat="1" applyFont="1" applyBorder="1" applyAlignment="1" applyProtection="1">
      <alignment horizontal="center"/>
    </xf>
    <xf numFmtId="4" fontId="19" fillId="0" borderId="29" xfId="1" applyNumberFormat="1" applyFont="1" applyBorder="1" applyProtection="1">
      <protection locked="0"/>
    </xf>
    <xf numFmtId="0" fontId="0" fillId="0" borderId="26" xfId="1" applyFont="1" applyBorder="1" applyProtection="1"/>
    <xf numFmtId="0" fontId="0" fillId="0" borderId="19" xfId="1" applyFont="1" applyBorder="1" applyAlignment="1" applyProtection="1">
      <alignment horizontal="left"/>
    </xf>
    <xf numFmtId="0" fontId="0" fillId="0" borderId="20" xfId="1" applyFont="1" applyBorder="1" applyProtection="1"/>
    <xf numFmtId="49" fontId="0" fillId="0" borderId="15" xfId="1" applyNumberFormat="1" applyFont="1" applyBorder="1" applyAlignment="1" applyProtection="1">
      <alignment horizontal="left"/>
    </xf>
    <xf numFmtId="49" fontId="0" fillId="0" borderId="14" xfId="1" applyNumberFormat="1" applyFont="1" applyBorder="1" applyAlignment="1" applyProtection="1">
      <alignment horizontal="left"/>
    </xf>
    <xf numFmtId="49" fontId="0" fillId="0" borderId="14" xfId="1" applyNumberFormat="1" applyFont="1" applyBorder="1" applyAlignment="1" applyProtection="1">
      <alignment horizontal="center"/>
    </xf>
    <xf numFmtId="49" fontId="0" fillId="0" borderId="14" xfId="1" applyNumberFormat="1" applyFont="1" applyBorder="1" applyAlignment="1" applyProtection="1">
      <alignment horizontal="right"/>
    </xf>
    <xf numFmtId="4" fontId="8" fillId="0" borderId="16" xfId="1" applyNumberFormat="1" applyFont="1" applyBorder="1" applyAlignment="1" applyProtection="1">
      <alignment horizontal="right"/>
    </xf>
    <xf numFmtId="4" fontId="8" fillId="7" borderId="16" xfId="1" applyNumberFormat="1" applyFont="1" applyFill="1" applyBorder="1" applyProtection="1">
      <protection locked="0"/>
    </xf>
    <xf numFmtId="49" fontId="0" fillId="0" borderId="20" xfId="1" applyNumberFormat="1" applyFont="1" applyBorder="1" applyAlignment="1" applyProtection="1">
      <alignment horizontal="left"/>
    </xf>
    <xf numFmtId="4" fontId="0" fillId="7" borderId="20" xfId="1" applyNumberFormat="1" applyFont="1" applyFill="1" applyBorder="1" applyProtection="1">
      <protection hidden="1"/>
    </xf>
    <xf numFmtId="167" fontId="2" fillId="0" borderId="20" xfId="1" applyNumberFormat="1" applyFont="1" applyBorder="1" applyAlignment="1" applyProtection="1">
      <alignment horizontal="center"/>
      <protection hidden="1"/>
    </xf>
    <xf numFmtId="4" fontId="18" fillId="0" borderId="25" xfId="1" applyNumberFormat="1" applyFont="1" applyBorder="1" applyProtection="1"/>
    <xf numFmtId="4" fontId="0" fillId="0" borderId="25" xfId="1" applyNumberFormat="1" applyFont="1" applyBorder="1" applyProtection="1">
      <protection hidden="1"/>
    </xf>
    <xf numFmtId="4" fontId="0" fillId="0" borderId="29" xfId="1" applyNumberFormat="1" applyFont="1" applyBorder="1" applyProtection="1"/>
    <xf numFmtId="4" fontId="18" fillId="0" borderId="26" xfId="1" applyNumberFormat="1" applyFont="1" applyBorder="1" applyProtection="1">
      <protection hidden="1"/>
    </xf>
    <xf numFmtId="0" fontId="18" fillId="0" borderId="30" xfId="1" applyFont="1" applyBorder="1" applyAlignment="1" applyProtection="1">
      <alignment horizontal="left"/>
    </xf>
    <xf numFmtId="0" fontId="2" fillId="0" borderId="31" xfId="1" applyFont="1" applyBorder="1" applyAlignment="1" applyProtection="1">
      <alignment horizontal="center"/>
    </xf>
    <xf numFmtId="0" fontId="2" fillId="0" borderId="31" xfId="1" applyFont="1" applyBorder="1" applyProtection="1"/>
    <xf numFmtId="4" fontId="2" fillId="0" borderId="31" xfId="1" applyNumberFormat="1" applyFont="1" applyBorder="1" applyAlignment="1" applyProtection="1">
      <alignment horizontal="center"/>
    </xf>
    <xf numFmtId="0" fontId="20" fillId="0" borderId="31" xfId="1" applyFont="1" applyBorder="1" applyAlignment="1" applyProtection="1">
      <alignment horizontal="right"/>
    </xf>
    <xf numFmtId="4" fontId="2" fillId="0" borderId="31" xfId="1" applyNumberFormat="1" applyFont="1" applyBorder="1" applyProtection="1"/>
    <xf numFmtId="0" fontId="2" fillId="0" borderId="30" xfId="1" applyFont="1" applyBorder="1" applyAlignment="1" applyProtection="1">
      <alignment horizontal="center"/>
    </xf>
    <xf numFmtId="167" fontId="2" fillId="0" borderId="32" xfId="1" applyNumberFormat="1" applyFont="1" applyBorder="1" applyAlignment="1" applyProtection="1">
      <alignment horizontal="center"/>
      <protection hidden="1"/>
    </xf>
    <xf numFmtId="4" fontId="18" fillId="0" borderId="33" xfId="1" applyNumberFormat="1" applyFont="1" applyBorder="1" applyProtection="1"/>
    <xf numFmtId="3" fontId="23" fillId="0" borderId="0" xfId="0" applyNumberFormat="1" applyFont="1"/>
    <xf numFmtId="3" fontId="0" fillId="0" borderId="0" xfId="0" applyNumberFormat="1" applyAlignment="1">
      <alignment horizontal="right" vertical="center" indent="2"/>
    </xf>
    <xf numFmtId="3" fontId="0" fillId="0" borderId="0" xfId="0" applyNumberFormat="1" applyAlignment="1">
      <alignment vertical="top"/>
    </xf>
    <xf numFmtId="3" fontId="23" fillId="0" borderId="0" xfId="0" applyNumberFormat="1" applyFont="1" applyAlignment="1">
      <alignment vertical="top"/>
    </xf>
    <xf numFmtId="3" fontId="2" fillId="0" borderId="34" xfId="0" applyNumberFormat="1" applyFont="1" applyBorder="1" applyAlignment="1">
      <alignment horizontal="center" vertical="center" wrapText="1"/>
    </xf>
    <xf numFmtId="3" fontId="24" fillId="0" borderId="34" xfId="0" applyNumberFormat="1" applyFont="1" applyBorder="1" applyAlignment="1">
      <alignment horizontal="center" vertical="center" wrapText="1"/>
    </xf>
    <xf numFmtId="9" fontId="24" fillId="0" borderId="34" xfId="0" applyNumberFormat="1" applyFont="1" applyBorder="1" applyAlignment="1">
      <alignment horizontal="center" vertical="center"/>
    </xf>
    <xf numFmtId="168" fontId="0" fillId="0" borderId="34" xfId="0" applyNumberFormat="1" applyBorder="1" applyAlignment="1">
      <alignment vertical="center"/>
    </xf>
    <xf numFmtId="3" fontId="0" fillId="0" borderId="0" xfId="0" applyNumberFormat="1" applyAlignment="1">
      <alignment horizontal="right"/>
    </xf>
    <xf numFmtId="3" fontId="24" fillId="0" borderId="0" xfId="0" applyNumberFormat="1" applyFont="1" applyAlignment="1">
      <alignment horizontal="right"/>
    </xf>
    <xf numFmtId="168" fontId="0" fillId="0" borderId="0" xfId="0" applyNumberFormat="1" applyAlignment="1">
      <alignment horizontal="right" vertical="center"/>
    </xf>
    <xf numFmtId="168" fontId="26" fillId="0" borderId="0" xfId="0" applyNumberFormat="1" applyFont="1" applyAlignment="1">
      <alignment horizontal="right" vertical="center"/>
    </xf>
    <xf numFmtId="168" fontId="23" fillId="0" borderId="0" xfId="0" applyNumberFormat="1" applyFont="1" applyAlignment="1">
      <alignment horizontal="right" vertical="center"/>
    </xf>
    <xf numFmtId="168" fontId="24" fillId="0" borderId="0" xfId="0" applyNumberFormat="1" applyFont="1"/>
    <xf numFmtId="168" fontId="27" fillId="0" borderId="0" xfId="0" applyNumberFormat="1" applyFont="1"/>
    <xf numFmtId="3" fontId="29" fillId="0" borderId="0" xfId="0" applyNumberFormat="1" applyFont="1"/>
    <xf numFmtId="3" fontId="22" fillId="0" borderId="0" xfId="0" applyNumberFormat="1" applyFont="1" applyAlignment="1">
      <alignment horizontal="right"/>
    </xf>
    <xf numFmtId="0" fontId="1" fillId="0" borderId="35" xfId="0" applyFont="1" applyBorder="1" applyAlignment="1">
      <alignment horizontal="center" vertical="center"/>
    </xf>
    <xf numFmtId="3" fontId="2" fillId="0" borderId="35" xfId="0" applyNumberFormat="1" applyFont="1" applyBorder="1" applyAlignment="1">
      <alignment horizontal="left" vertical="center" wrapText="1"/>
    </xf>
    <xf numFmtId="3" fontId="0" fillId="0" borderId="0" xfId="0" applyNumberFormat="1" applyAlignment="1">
      <alignment vertical="center"/>
    </xf>
    <xf numFmtId="3" fontId="0" fillId="0" borderId="0" xfId="0" applyNumberFormat="1" applyAlignment="1">
      <alignment horizontal="right" vertical="center"/>
    </xf>
    <xf numFmtId="9" fontId="0" fillId="0" borderId="0" xfId="0" applyNumberFormat="1" applyAlignment="1">
      <alignment vertical="center"/>
    </xf>
    <xf numFmtId="0" fontId="3" fillId="0" borderId="41" xfId="0" applyFont="1" applyBorder="1" applyAlignment="1" applyProtection="1">
      <alignment horizontal="center" vertical="center"/>
      <protection locked="0"/>
    </xf>
    <xf numFmtId="3" fontId="0" fillId="0" borderId="36" xfId="0" applyNumberFormat="1" applyBorder="1" applyAlignment="1" applyProtection="1">
      <alignment horizontal="right" vertical="center"/>
      <protection locked="0"/>
    </xf>
    <xf numFmtId="3" fontId="0" fillId="0" borderId="36" xfId="0" applyNumberFormat="1" applyBorder="1" applyAlignment="1">
      <alignment vertical="center"/>
    </xf>
    <xf numFmtId="9" fontId="0" fillId="0" borderId="36" xfId="0" applyNumberFormat="1" applyBorder="1" applyAlignment="1">
      <alignment vertical="center"/>
    </xf>
    <xf numFmtId="3" fontId="0" fillId="0" borderId="37" xfId="0" applyNumberFormat="1" applyBorder="1" applyAlignment="1">
      <alignment vertical="center"/>
    </xf>
    <xf numFmtId="0" fontId="0" fillId="0" borderId="34" xfId="0" applyBorder="1" applyAlignment="1">
      <alignment horizontal="right" vertical="center"/>
    </xf>
    <xf numFmtId="3" fontId="0" fillId="0" borderId="34" xfId="0" applyNumberFormat="1" applyBorder="1" applyAlignment="1">
      <alignment vertical="center"/>
    </xf>
    <xf numFmtId="9" fontId="0" fillId="0" borderId="34" xfId="0" applyNumberFormat="1" applyBorder="1" applyAlignment="1">
      <alignment vertical="center"/>
    </xf>
    <xf numFmtId="3" fontId="0" fillId="0" borderId="38" xfId="0" applyNumberFormat="1" applyBorder="1" applyAlignment="1">
      <alignment vertical="center"/>
    </xf>
    <xf numFmtId="3" fontId="0" fillId="0" borderId="35" xfId="0" applyNumberFormat="1" applyBorder="1" applyAlignment="1">
      <alignment vertical="center"/>
    </xf>
    <xf numFmtId="3" fontId="0" fillId="0" borderId="34" xfId="0" applyNumberFormat="1" applyBorder="1" applyAlignment="1">
      <alignment horizontal="right" vertical="center"/>
    </xf>
    <xf numFmtId="3" fontId="0" fillId="0" borderId="34" xfId="0" applyNumberFormat="1" applyBorder="1" applyAlignment="1">
      <alignment horizontal="center" vertical="center"/>
    </xf>
    <xf numFmtId="3" fontId="24" fillId="0" borderId="38" xfId="0" applyNumberFormat="1" applyFont="1" applyBorder="1" applyAlignment="1">
      <alignment horizontal="center" vertical="center"/>
    </xf>
    <xf numFmtId="3" fontId="2" fillId="6" borderId="35" xfId="0" applyNumberFormat="1" applyFont="1" applyFill="1" applyBorder="1" applyAlignment="1">
      <alignment vertical="center"/>
    </xf>
    <xf numFmtId="164" fontId="0" fillId="6" borderId="34" xfId="0" applyNumberFormat="1" applyFill="1" applyBorder="1" applyAlignment="1">
      <alignment horizontal="right" vertical="center"/>
    </xf>
    <xf numFmtId="9" fontId="1" fillId="6" borderId="34" xfId="0" applyNumberFormat="1" applyFont="1" applyFill="1" applyBorder="1" applyAlignment="1">
      <alignment vertical="center"/>
    </xf>
    <xf numFmtId="3" fontId="26" fillId="0" borderId="35" xfId="0" applyNumberFormat="1" applyFont="1" applyBorder="1" applyAlignment="1">
      <alignment vertical="center"/>
    </xf>
    <xf numFmtId="9" fontId="0" fillId="0" borderId="38" xfId="0" applyNumberFormat="1" applyBorder="1" applyAlignment="1">
      <alignment vertical="center"/>
    </xf>
    <xf numFmtId="165" fontId="0" fillId="0" borderId="34" xfId="0" applyNumberFormat="1" applyBorder="1" applyAlignment="1">
      <alignment horizontal="right" vertical="center"/>
    </xf>
    <xf numFmtId="3" fontId="24" fillId="8" borderId="35" xfId="0" applyNumberFormat="1" applyFont="1" applyFill="1" applyBorder="1" applyAlignment="1">
      <alignment vertical="center"/>
    </xf>
    <xf numFmtId="168" fontId="24" fillId="8" borderId="34" xfId="0" applyNumberFormat="1" applyFont="1" applyFill="1" applyBorder="1" applyAlignment="1">
      <alignment horizontal="right" vertical="center"/>
    </xf>
    <xf numFmtId="165" fontId="24" fillId="8" borderId="34" xfId="0" applyNumberFormat="1" applyFont="1" applyFill="1" applyBorder="1" applyAlignment="1">
      <alignment horizontal="right" vertical="center"/>
    </xf>
    <xf numFmtId="1" fontId="24" fillId="8" borderId="34" xfId="0" applyNumberFormat="1" applyFont="1" applyFill="1" applyBorder="1" applyAlignment="1">
      <alignment horizontal="right" vertical="center"/>
    </xf>
    <xf numFmtId="3" fontId="24" fillId="8" borderId="34" xfId="0" applyNumberFormat="1" applyFont="1" applyFill="1" applyBorder="1" applyAlignment="1">
      <alignment vertical="center"/>
    </xf>
    <xf numFmtId="9" fontId="24" fillId="8" borderId="38" xfId="0" applyNumberFormat="1" applyFont="1" applyFill="1" applyBorder="1" applyAlignment="1">
      <alignment vertical="center"/>
    </xf>
    <xf numFmtId="165" fontId="24" fillId="8" borderId="38" xfId="0" applyNumberFormat="1" applyFont="1" applyFill="1" applyBorder="1" applyAlignment="1">
      <alignment horizontal="right" vertical="center"/>
    </xf>
    <xf numFmtId="168" fontId="26" fillId="0" borderId="34" xfId="0" applyNumberFormat="1" applyFont="1" applyBorder="1" applyAlignment="1">
      <alignment vertical="center"/>
    </xf>
    <xf numFmtId="1" fontId="26" fillId="0" borderId="34" xfId="0" applyNumberFormat="1" applyFont="1" applyBorder="1" applyAlignment="1">
      <alignment vertical="center"/>
    </xf>
    <xf numFmtId="3" fontId="22" fillId="0" borderId="42" xfId="0" applyNumberFormat="1" applyFont="1" applyBorder="1" applyAlignment="1">
      <alignment vertical="center"/>
    </xf>
    <xf numFmtId="3" fontId="22" fillId="0" borderId="39" xfId="0" applyNumberFormat="1" applyFont="1" applyBorder="1" applyAlignment="1">
      <alignment horizontal="right" vertical="center"/>
    </xf>
    <xf numFmtId="9" fontId="22" fillId="0" borderId="39" xfId="0" applyNumberFormat="1" applyFont="1" applyBorder="1" applyAlignment="1">
      <alignment vertical="center"/>
    </xf>
    <xf numFmtId="168" fontId="27" fillId="0" borderId="39" xfId="0" applyNumberFormat="1" applyFont="1" applyBorder="1" applyAlignment="1">
      <alignment vertical="center"/>
    </xf>
    <xf numFmtId="3" fontId="28" fillId="0" borderId="39" xfId="0" applyNumberFormat="1" applyFont="1" applyBorder="1" applyAlignment="1">
      <alignment vertical="center"/>
    </xf>
    <xf numFmtId="168" fontId="27" fillId="0" borderId="43" xfId="0" applyNumberFormat="1" applyFont="1" applyBorder="1" applyAlignment="1">
      <alignment vertical="center"/>
    </xf>
    <xf numFmtId="3" fontId="0" fillId="0" borderId="35" xfId="0" applyNumberFormat="1" applyBorder="1" applyAlignment="1">
      <alignment vertical="top"/>
    </xf>
    <xf numFmtId="168" fontId="0" fillId="0" borderId="34" xfId="0" applyNumberFormat="1" applyBorder="1" applyAlignment="1">
      <alignment horizontal="right" vertical="top"/>
    </xf>
    <xf numFmtId="1" fontId="0" fillId="0" borderId="34" xfId="0" applyNumberFormat="1" applyBorder="1" applyAlignment="1">
      <alignment horizontal="right" vertical="top"/>
    </xf>
    <xf numFmtId="165" fontId="0" fillId="0" borderId="34" xfId="0" applyNumberFormat="1" applyBorder="1" applyAlignment="1">
      <alignment horizontal="right" vertical="top"/>
    </xf>
    <xf numFmtId="9" fontId="0" fillId="0" borderId="38" xfId="0" applyNumberFormat="1" applyBorder="1" applyAlignment="1">
      <alignment vertical="top"/>
    </xf>
    <xf numFmtId="168" fontId="0" fillId="0" borderId="34" xfId="0" applyNumberFormat="1" applyBorder="1"/>
    <xf numFmtId="3" fontId="26" fillId="0" borderId="34" xfId="0" applyNumberFormat="1" applyFont="1" applyBorder="1"/>
    <xf numFmtId="3" fontId="0" fillId="0" borderId="34" xfId="0" applyNumberFormat="1" applyBorder="1"/>
    <xf numFmtId="3" fontId="0" fillId="0" borderId="34" xfId="0" applyNumberFormat="1" applyBorder="1" applyAlignment="1">
      <alignment vertical="top"/>
    </xf>
    <xf numFmtId="3" fontId="2" fillId="0" borderId="35" xfId="0" applyNumberFormat="1" applyFont="1" applyBorder="1" applyAlignment="1">
      <alignment vertical="center"/>
    </xf>
    <xf numFmtId="164" fontId="0" fillId="0" borderId="34" xfId="0" applyNumberFormat="1" applyBorder="1" applyAlignment="1">
      <alignment horizontal="right" vertical="center"/>
    </xf>
    <xf numFmtId="9" fontId="1" fillId="0" borderId="34" xfId="0" applyNumberFormat="1" applyFont="1" applyBorder="1" applyAlignment="1">
      <alignment vertical="center"/>
    </xf>
    <xf numFmtId="165" fontId="0" fillId="0" borderId="34" xfId="0" applyNumberFormat="1" applyBorder="1" applyAlignment="1">
      <alignment vertical="center"/>
    </xf>
    <xf numFmtId="165" fontId="0" fillId="0" borderId="38" xfId="0" applyNumberFormat="1" applyBorder="1" applyAlignment="1">
      <alignment vertical="center"/>
    </xf>
    <xf numFmtId="3" fontId="2" fillId="8" borderId="35" xfId="0" applyNumberFormat="1" applyFont="1" applyFill="1" applyBorder="1" applyAlignment="1">
      <alignment vertical="center"/>
    </xf>
    <xf numFmtId="168" fontId="0" fillId="6" borderId="34" xfId="0" applyNumberFormat="1" applyFill="1" applyBorder="1" applyAlignment="1">
      <alignment vertical="center"/>
    </xf>
    <xf numFmtId="168" fontId="0" fillId="6" borderId="38" xfId="0" applyNumberFormat="1" applyFill="1" applyBorder="1" applyAlignment="1">
      <alignment vertical="center"/>
    </xf>
    <xf numFmtId="3" fontId="17" fillId="0" borderId="35" xfId="0" applyNumberFormat="1" applyFont="1" applyBorder="1" applyAlignment="1">
      <alignment horizontal="center" vertical="center"/>
    </xf>
    <xf numFmtId="168" fontId="32" fillId="0" borderId="44" xfId="0" applyNumberFormat="1" applyFont="1" applyBorder="1" applyAlignment="1">
      <alignment vertical="center"/>
    </xf>
    <xf numFmtId="168" fontId="32" fillId="0" borderId="0" xfId="0" applyNumberFormat="1" applyFont="1" applyAlignment="1">
      <alignment vertical="center"/>
    </xf>
    <xf numFmtId="3" fontId="0" fillId="0" borderId="45" xfId="0" applyNumberFormat="1" applyBorder="1" applyAlignment="1">
      <alignment vertical="top" wrapText="1"/>
    </xf>
    <xf numFmtId="168" fontId="0" fillId="0" borderId="46" xfId="0" applyNumberFormat="1" applyBorder="1" applyAlignment="1">
      <alignment vertical="center"/>
    </xf>
    <xf numFmtId="3" fontId="26" fillId="0" borderId="46" xfId="0" applyNumberFormat="1" applyFont="1" applyBorder="1"/>
    <xf numFmtId="168" fontId="0" fillId="0" borderId="46" xfId="0" applyNumberFormat="1" applyBorder="1"/>
    <xf numFmtId="3" fontId="0" fillId="0" borderId="46" xfId="0" applyNumberFormat="1" applyBorder="1"/>
    <xf numFmtId="9" fontId="0" fillId="0" borderId="47" xfId="0" applyNumberFormat="1" applyBorder="1" applyAlignment="1">
      <alignment vertical="top"/>
    </xf>
    <xf numFmtId="3" fontId="2" fillId="6" borderId="42" xfId="0" applyNumberFormat="1" applyFont="1" applyFill="1" applyBorder="1" applyAlignment="1">
      <alignment vertical="center"/>
    </xf>
    <xf numFmtId="164" fontId="0" fillId="6" borderId="39" xfId="0" applyNumberFormat="1" applyFill="1" applyBorder="1" applyAlignment="1">
      <alignment horizontal="right" vertical="center"/>
    </xf>
    <xf numFmtId="9" fontId="1" fillId="6" borderId="39" xfId="0" applyNumberFormat="1" applyFont="1" applyFill="1" applyBorder="1" applyAlignment="1">
      <alignment vertical="center"/>
    </xf>
    <xf numFmtId="3" fontId="0" fillId="6" borderId="39" xfId="0" applyNumberFormat="1" applyFill="1" applyBorder="1" applyAlignment="1">
      <alignment vertical="center"/>
    </xf>
    <xf numFmtId="165" fontId="0" fillId="6" borderId="39" xfId="0" applyNumberFormat="1" applyFill="1" applyBorder="1" applyAlignment="1">
      <alignment vertical="center"/>
    </xf>
    <xf numFmtId="3" fontId="0" fillId="0" borderId="39" xfId="0" applyNumberFormat="1" applyBorder="1" applyAlignment="1">
      <alignment vertical="center"/>
    </xf>
    <xf numFmtId="165" fontId="0" fillId="6" borderId="43" xfId="0" applyNumberFormat="1" applyFill="1" applyBorder="1" applyAlignment="1">
      <alignment vertical="center"/>
    </xf>
    <xf numFmtId="168" fontId="24" fillId="0" borderId="34" xfId="0" applyNumberFormat="1" applyFont="1" applyBorder="1" applyAlignment="1">
      <alignment horizontal="right" vertical="center"/>
    </xf>
    <xf numFmtId="1" fontId="24" fillId="0" borderId="34" xfId="0" applyNumberFormat="1" applyFont="1" applyBorder="1" applyAlignment="1">
      <alignment horizontal="right" vertical="center"/>
    </xf>
    <xf numFmtId="165" fontId="24" fillId="0" borderId="34" xfId="0" applyNumberFormat="1" applyFont="1" applyBorder="1" applyAlignment="1">
      <alignment horizontal="right" vertical="center"/>
    </xf>
    <xf numFmtId="3" fontId="24" fillId="0" borderId="34" xfId="0" applyNumberFormat="1" applyFont="1" applyBorder="1" applyAlignment="1">
      <alignment vertical="center"/>
    </xf>
    <xf numFmtId="165" fontId="24" fillId="0" borderId="38" xfId="0" applyNumberFormat="1" applyFont="1" applyBorder="1" applyAlignment="1">
      <alignment horizontal="right" vertical="center"/>
    </xf>
    <xf numFmtId="3" fontId="0" fillId="0" borderId="35" xfId="0" applyNumberFormat="1" applyBorder="1" applyAlignment="1">
      <alignment vertical="top" wrapText="1"/>
    </xf>
    <xf numFmtId="1" fontId="0" fillId="0" borderId="34" xfId="0" applyNumberFormat="1" applyBorder="1" applyAlignment="1">
      <alignment horizontal="right" vertical="center"/>
    </xf>
    <xf numFmtId="3" fontId="2" fillId="9" borderId="35" xfId="0" applyNumberFormat="1" applyFont="1" applyFill="1" applyBorder="1" applyAlignment="1">
      <alignment vertical="center"/>
    </xf>
    <xf numFmtId="164" fontId="0" fillId="9" borderId="48" xfId="0" applyNumberFormat="1" applyFill="1" applyBorder="1" applyAlignment="1">
      <alignment horizontal="right" vertical="center"/>
    </xf>
    <xf numFmtId="9" fontId="1" fillId="9" borderId="48" xfId="0" applyNumberFormat="1" applyFont="1" applyFill="1" applyBorder="1" applyAlignment="1">
      <alignment vertical="center"/>
    </xf>
    <xf numFmtId="3" fontId="0" fillId="9" borderId="48" xfId="0" applyNumberFormat="1" applyFill="1" applyBorder="1" applyAlignment="1">
      <alignment vertical="center"/>
    </xf>
    <xf numFmtId="165" fontId="0" fillId="9" borderId="48" xfId="0" applyNumberFormat="1" applyFill="1" applyBorder="1" applyAlignment="1">
      <alignment vertical="center"/>
    </xf>
    <xf numFmtId="165" fontId="0" fillId="9" borderId="49" xfId="0" applyNumberFormat="1" applyFill="1" applyBorder="1" applyAlignment="1">
      <alignment vertical="center"/>
    </xf>
    <xf numFmtId="3" fontId="0" fillId="0" borderId="45" xfId="0" applyNumberFormat="1" applyBorder="1" applyAlignment="1">
      <alignment vertical="top"/>
    </xf>
    <xf numFmtId="168" fontId="0" fillId="0" borderId="50" xfId="0" applyNumberFormat="1" applyBorder="1" applyAlignment="1">
      <alignment horizontal="right" vertical="top"/>
    </xf>
    <xf numFmtId="1" fontId="0" fillId="0" borderId="50" xfId="0" applyNumberFormat="1" applyBorder="1" applyAlignment="1">
      <alignment horizontal="right" vertical="top"/>
    </xf>
    <xf numFmtId="165" fontId="0" fillId="0" borderId="50" xfId="0" applyNumberFormat="1" applyBorder="1" applyAlignment="1">
      <alignment horizontal="right" vertical="top"/>
    </xf>
    <xf numFmtId="9" fontId="0" fillId="0" borderId="51" xfId="0" applyNumberFormat="1" applyBorder="1" applyAlignment="1">
      <alignment vertical="top"/>
    </xf>
    <xf numFmtId="3" fontId="2" fillId="9" borderId="45" xfId="0" applyNumberFormat="1" applyFont="1" applyFill="1" applyBorder="1" applyAlignment="1">
      <alignment vertical="center"/>
    </xf>
    <xf numFmtId="164" fontId="0" fillId="9" borderId="50" xfId="0" applyNumberFormat="1" applyFill="1" applyBorder="1" applyAlignment="1">
      <alignment horizontal="right" vertical="center"/>
    </xf>
    <xf numFmtId="9" fontId="1" fillId="9" borderId="50" xfId="0" applyNumberFormat="1" applyFont="1" applyFill="1" applyBorder="1" applyAlignment="1">
      <alignment vertical="center"/>
    </xf>
    <xf numFmtId="165" fontId="0" fillId="9" borderId="50" xfId="0" applyNumberFormat="1" applyFill="1" applyBorder="1" applyAlignment="1">
      <alignment vertical="center"/>
    </xf>
    <xf numFmtId="0" fontId="0" fillId="5" borderId="40" xfId="0" applyFill="1" applyBorder="1" applyAlignment="1">
      <alignment horizontal="center"/>
    </xf>
    <xf numFmtId="0" fontId="0" fillId="0" borderId="25" xfId="1" applyFont="1" applyBorder="1" applyAlignment="1" applyProtection="1">
      <alignment horizontal="center"/>
    </xf>
    <xf numFmtId="1" fontId="11" fillId="0" borderId="0" xfId="1" applyNumberFormat="1" applyFont="1" applyAlignment="1" applyProtection="1">
      <alignment horizontal="center"/>
    </xf>
    <xf numFmtId="0" fontId="14" fillId="6" borderId="23" xfId="1" applyFont="1" applyFill="1" applyBorder="1" applyAlignment="1" applyProtection="1">
      <alignment horizontal="center" wrapText="1"/>
    </xf>
    <xf numFmtId="49" fontId="8" fillId="0" borderId="25" xfId="1" applyNumberFormat="1" applyFont="1" applyBorder="1" applyAlignment="1" applyProtection="1">
      <alignment horizontal="center"/>
      <protection locked="0"/>
    </xf>
    <xf numFmtId="0" fontId="0" fillId="0" borderId="25" xfId="1" applyFont="1" applyBorder="1" applyAlignment="1" applyProtection="1">
      <alignment horizontal="left"/>
    </xf>
    <xf numFmtId="49" fontId="0" fillId="0" borderId="25" xfId="1" applyNumberFormat="1" applyFont="1" applyBorder="1" applyAlignment="1" applyProtection="1">
      <alignment horizontal="left"/>
    </xf>
    <xf numFmtId="49" fontId="8" fillId="0" borderId="27" xfId="1" applyNumberFormat="1" applyFont="1" applyBorder="1" applyAlignment="1" applyProtection="1">
      <alignment horizontal="center"/>
      <protection locked="0"/>
    </xf>
    <xf numFmtId="49" fontId="8" fillId="0" borderId="26" xfId="1" applyNumberFormat="1" applyFont="1" applyBorder="1" applyAlignment="1" applyProtection="1">
      <alignment horizontal="center"/>
      <protection locked="0"/>
    </xf>
    <xf numFmtId="49" fontId="8" fillId="7" borderId="25" xfId="1" applyNumberFormat="1" applyFont="1" applyFill="1" applyBorder="1" applyAlignment="1" applyProtection="1">
      <alignment horizontal="left"/>
      <protection locked="0"/>
    </xf>
    <xf numFmtId="0" fontId="0" fillId="0" borderId="21" xfId="1" applyFont="1" applyBorder="1" applyAlignment="1" applyProtection="1">
      <alignment horizontal="center"/>
    </xf>
    <xf numFmtId="0" fontId="0" fillId="0" borderId="19" xfId="1" applyFont="1" applyBorder="1" applyAlignment="1" applyProtection="1">
      <alignment horizontal="center"/>
    </xf>
    <xf numFmtId="49" fontId="0" fillId="7" borderId="25" xfId="1" applyNumberFormat="1" applyFont="1" applyFill="1" applyBorder="1" applyAlignment="1" applyProtection="1">
      <alignment horizontal="left"/>
    </xf>
    <xf numFmtId="0" fontId="0" fillId="7" borderId="21" xfId="1" applyFont="1" applyFill="1" applyBorder="1" applyAlignment="1" applyProtection="1">
      <alignment horizontal="left"/>
    </xf>
    <xf numFmtId="0" fontId="5" fillId="0" borderId="28" xfId="1" applyFont="1" applyBorder="1" applyAlignment="1" applyProtection="1">
      <alignment horizontal="left"/>
    </xf>
    <xf numFmtId="0" fontId="5" fillId="0" borderId="25" xfId="1" applyFont="1" applyBorder="1" applyAlignment="1" applyProtection="1">
      <alignment horizontal="center"/>
    </xf>
    <xf numFmtId="0" fontId="0" fillId="7" borderId="28" xfId="1" applyFont="1" applyFill="1" applyBorder="1" applyAlignment="1" applyProtection="1">
      <alignment horizontal="left"/>
    </xf>
    <xf numFmtId="0" fontId="0" fillId="7" borderId="15" xfId="1" applyFont="1" applyFill="1" applyBorder="1" applyAlignment="1" applyProtection="1">
      <alignment horizontal="left"/>
    </xf>
  </cellXfs>
  <cellStyles count="94">
    <cellStyle name="Hypertextový odkaz" xfId="2" builtinId="8" hidden="1"/>
    <cellStyle name="Hypertextový odkaz" xfId="4" builtinId="8" hidden="1"/>
    <cellStyle name="Hypertextový odkaz" xfId="6" builtinId="8" hidden="1"/>
    <cellStyle name="Hypertextový odkaz" xfId="8" builtinId="8" hidden="1"/>
    <cellStyle name="Hypertextový odkaz" xfId="10" builtinId="8" hidden="1"/>
    <cellStyle name="Hypertextový odkaz" xfId="12" builtinId="8" hidden="1"/>
    <cellStyle name="Hypertextový odkaz" xfId="14" builtinId="8" hidden="1"/>
    <cellStyle name="Hypertextový odkaz" xfId="16" builtinId="8" hidden="1"/>
    <cellStyle name="Hypertextový odkaz" xfId="18" builtinId="8" hidden="1"/>
    <cellStyle name="Hypertextový odkaz" xfId="20" builtinId="8" hidden="1"/>
    <cellStyle name="Hypertextový odkaz" xfId="22" builtinId="8" hidden="1"/>
    <cellStyle name="Hypertextový odkaz" xfId="24" builtinId="8" hidden="1"/>
    <cellStyle name="Hypertextový odkaz" xfId="26" builtinId="8" hidden="1"/>
    <cellStyle name="Hypertextový odkaz" xfId="28" builtinId="8" hidden="1"/>
    <cellStyle name="Hypertextový odkaz" xfId="30" builtinId="8" hidden="1"/>
    <cellStyle name="Hypertextový odkaz" xfId="32" builtinId="8" hidden="1"/>
    <cellStyle name="Hypertextový odkaz" xfId="34" builtinId="8" hidden="1"/>
    <cellStyle name="Hypertextový odkaz" xfId="36" builtinId="8" hidden="1"/>
    <cellStyle name="Hypertextový odkaz" xfId="38" builtinId="8" hidden="1"/>
    <cellStyle name="Hypertextový odkaz" xfId="40" builtinId="8" hidden="1"/>
    <cellStyle name="Hypertextový odkaz" xfId="42" builtinId="8" hidden="1"/>
    <cellStyle name="Hypertextový odkaz" xfId="44" builtinId="8" hidden="1"/>
    <cellStyle name="Hypertextový odkaz" xfId="46" builtinId="8" hidden="1"/>
    <cellStyle name="Hypertextový odkaz" xfId="48" builtinId="8" hidden="1"/>
    <cellStyle name="Hypertextový odkaz" xfId="50" builtinId="8" hidden="1"/>
    <cellStyle name="Hypertextový odkaz" xfId="52" builtinId="8" hidden="1"/>
    <cellStyle name="Hypertextový odkaz" xfId="54" builtinId="8" hidden="1"/>
    <cellStyle name="Hypertextový odkaz" xfId="56" builtinId="8" hidden="1"/>
    <cellStyle name="Hypertextový odkaz" xfId="58" builtinId="8" hidden="1"/>
    <cellStyle name="Hypertextový odkaz" xfId="60" builtinId="8" hidden="1"/>
    <cellStyle name="Hypertextový odkaz" xfId="62" builtinId="8" hidden="1"/>
    <cellStyle name="Hypertextový odkaz" xfId="64" builtinId="8" hidden="1"/>
    <cellStyle name="Hypertextový odkaz" xfId="66" builtinId="8" hidden="1"/>
    <cellStyle name="Hypertextový odkaz" xfId="68" builtinId="8" hidden="1"/>
    <cellStyle name="Hypertextový odkaz" xfId="70" builtinId="8" hidden="1"/>
    <cellStyle name="Hypertextový odkaz" xfId="72" builtinId="8" hidden="1"/>
    <cellStyle name="Hypertextový odkaz" xfId="74" builtinId="8" hidden="1"/>
    <cellStyle name="Hypertextový odkaz" xfId="76" builtinId="8" hidden="1"/>
    <cellStyle name="Hypertextový odkaz" xfId="78" builtinId="8" hidden="1"/>
    <cellStyle name="Hypertextový odkaz" xfId="80" builtinId="8" hidden="1"/>
    <cellStyle name="Hypertextový odkaz" xfId="82" builtinId="8" hidden="1"/>
    <cellStyle name="Hypertextový odkaz" xfId="84" builtinId="8" hidden="1"/>
    <cellStyle name="Hypertextový odkaz" xfId="86" builtinId="8" hidden="1"/>
    <cellStyle name="Hypertextový odkaz" xfId="88" builtinId="8" hidden="1"/>
    <cellStyle name="Hypertextový odkaz" xfId="90" builtinId="8" hidden="1"/>
    <cellStyle name="Hypertextový odkaz" xfId="92" builtinId="8" hidden="1"/>
    <cellStyle name="Normální" xfId="0" builtinId="0"/>
    <cellStyle name="normální_kalkul~1" xfId="1" xr:uid="{00000000-0005-0000-0000-00005D000000}"/>
    <cellStyle name="Použitý hypertextový odkaz" xfId="3" builtinId="9" hidden="1"/>
    <cellStyle name="Použitý hypertextový odkaz" xfId="5" builtinId="9" hidden="1"/>
    <cellStyle name="Použitý hypertextový odkaz" xfId="7" builtinId="9" hidden="1"/>
    <cellStyle name="Použitý hypertextový odkaz" xfId="9" builtinId="9" hidden="1"/>
    <cellStyle name="Použitý hypertextový odkaz" xfId="11" builtinId="9" hidden="1"/>
    <cellStyle name="Použitý hypertextový odkaz" xfId="13" builtinId="9" hidden="1"/>
    <cellStyle name="Použitý hypertextový odkaz" xfId="15" builtinId="9" hidden="1"/>
    <cellStyle name="Použitý hypertextový odkaz" xfId="17" builtinId="9" hidden="1"/>
    <cellStyle name="Použitý hypertextový odkaz" xfId="19" builtinId="9" hidden="1"/>
    <cellStyle name="Použitý hypertextový odkaz" xfId="21" builtinId="9" hidden="1"/>
    <cellStyle name="Použitý hypertextový odkaz" xfId="23" builtinId="9" hidden="1"/>
    <cellStyle name="Použitý hypertextový odkaz" xfId="25" builtinId="9" hidden="1"/>
    <cellStyle name="Použitý hypertextový odkaz" xfId="27" builtinId="9" hidden="1"/>
    <cellStyle name="Použitý hypertextový odkaz" xfId="29" builtinId="9" hidden="1"/>
    <cellStyle name="Použitý hypertextový odkaz" xfId="31" builtinId="9" hidden="1"/>
    <cellStyle name="Použitý hypertextový odkaz" xfId="33" builtinId="9" hidden="1"/>
    <cellStyle name="Použitý hypertextový odkaz" xfId="35" builtinId="9" hidden="1"/>
    <cellStyle name="Použitý hypertextový odkaz" xfId="37" builtinId="9" hidden="1"/>
    <cellStyle name="Použitý hypertextový odkaz" xfId="39" builtinId="9" hidden="1"/>
    <cellStyle name="Použitý hypertextový odkaz" xfId="41" builtinId="9" hidden="1"/>
    <cellStyle name="Použitý hypertextový odkaz" xfId="43" builtinId="9" hidden="1"/>
    <cellStyle name="Použitý hypertextový odkaz" xfId="45" builtinId="9" hidden="1"/>
    <cellStyle name="Použitý hypertextový odkaz" xfId="47" builtinId="9" hidden="1"/>
    <cellStyle name="Použitý hypertextový odkaz" xfId="49" builtinId="9" hidden="1"/>
    <cellStyle name="Použitý hypertextový odkaz" xfId="51" builtinId="9" hidden="1"/>
    <cellStyle name="Použitý hypertextový odkaz" xfId="53" builtinId="9" hidden="1"/>
    <cellStyle name="Použitý hypertextový odkaz" xfId="55" builtinId="9" hidden="1"/>
    <cellStyle name="Použitý hypertextový odkaz" xfId="57" builtinId="9" hidden="1"/>
    <cellStyle name="Použitý hypertextový odkaz" xfId="59" builtinId="9" hidden="1"/>
    <cellStyle name="Použitý hypertextový odkaz" xfId="61" builtinId="9" hidden="1"/>
    <cellStyle name="Použitý hypertextový odkaz" xfId="63" builtinId="9" hidden="1"/>
    <cellStyle name="Použitý hypertextový odkaz" xfId="65" builtinId="9" hidden="1"/>
    <cellStyle name="Použitý hypertextový odkaz" xfId="67" builtinId="9" hidden="1"/>
    <cellStyle name="Použitý hypertextový odkaz" xfId="69" builtinId="9" hidden="1"/>
    <cellStyle name="Použitý hypertextový odkaz" xfId="71" builtinId="9" hidden="1"/>
    <cellStyle name="Použitý hypertextový odkaz" xfId="73" builtinId="9" hidden="1"/>
    <cellStyle name="Použitý hypertextový odkaz" xfId="75" builtinId="9" hidden="1"/>
    <cellStyle name="Použitý hypertextový odkaz" xfId="77" builtinId="9" hidden="1"/>
    <cellStyle name="Použitý hypertextový odkaz" xfId="79" builtinId="9" hidden="1"/>
    <cellStyle name="Použitý hypertextový odkaz" xfId="81" builtinId="9" hidden="1"/>
    <cellStyle name="Použitý hypertextový odkaz" xfId="83" builtinId="9" hidden="1"/>
    <cellStyle name="Použitý hypertextový odkaz" xfId="85" builtinId="9" hidden="1"/>
    <cellStyle name="Použitý hypertextový odkaz" xfId="87" builtinId="9" hidden="1"/>
    <cellStyle name="Použitý hypertextový odkaz" xfId="89" builtinId="9" hidden="1"/>
    <cellStyle name="Použitý hypertextový odkaz" xfId="91" builtinId="9" hidden="1"/>
    <cellStyle name="Použitý hypertextový odkaz" xfId="93" builtinId="9" hidde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28575</xdr:rowOff>
    </xdr:from>
    <xdr:to>
      <xdr:col>3</xdr:col>
      <xdr:colOff>400050</xdr:colOff>
      <xdr:row>0</xdr:row>
      <xdr:rowOff>438150</xdr:rowOff>
    </xdr:to>
    <xdr:pic>
      <xdr:nvPicPr>
        <xdr:cNvPr id="3179" name="Picture 3">
          <a:extLst>
            <a:ext uri="{FF2B5EF4-FFF2-40B4-BE49-F238E27FC236}">
              <a16:creationId xmlns:a16="http://schemas.microsoft.com/office/drawing/2014/main" id="{00000000-0008-0000-0200-00006B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8575"/>
          <a:ext cx="1657350" cy="4095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L48"/>
  <sheetViews>
    <sheetView tabSelected="1" zoomScaleSheetLayoutView="75" workbookViewId="0">
      <selection activeCell="A27" sqref="A27"/>
    </sheetView>
  </sheetViews>
  <sheetFormatPr baseColWidth="10" defaultColWidth="8.6640625" defaultRowHeight="13"/>
  <cols>
    <col min="1" max="1" width="68.6640625" style="1" customWidth="1"/>
    <col min="2" max="2" width="16.5" style="192" customWidth="1"/>
    <col min="3" max="3" width="7.5" style="2" customWidth="1"/>
    <col min="4" max="4" width="16.5" style="1" customWidth="1"/>
    <col min="5" max="5" width="17.5" style="1" customWidth="1"/>
    <col min="6" max="6" width="1.5" style="1" hidden="1" customWidth="1"/>
    <col min="7" max="7" width="15.5" style="1" customWidth="1"/>
    <col min="8" max="8" width="20.1640625" style="199" customWidth="1"/>
    <col min="9" max="9" width="16.1640625" style="199" customWidth="1"/>
    <col min="10" max="16384" width="8.6640625" style="1"/>
  </cols>
  <sheetData>
    <row r="1" spans="1:9" ht="28.5" customHeight="1" thickBot="1">
      <c r="A1" s="210"/>
      <c r="B1" s="211"/>
      <c r="C1" s="212"/>
      <c r="D1" s="210"/>
      <c r="E1" s="210"/>
      <c r="F1" s="210"/>
      <c r="G1" s="210"/>
    </row>
    <row r="2" spans="1:9" ht="12.75" customHeight="1">
      <c r="A2" s="213" t="s">
        <v>203</v>
      </c>
      <c r="B2" s="214"/>
      <c r="C2" s="216"/>
      <c r="D2" s="215"/>
      <c r="E2" s="215"/>
      <c r="F2" s="215"/>
      <c r="G2" s="217"/>
    </row>
    <row r="3" spans="1:9" ht="12.75" hidden="1" customHeight="1">
      <c r="A3" s="208" t="s">
        <v>189</v>
      </c>
      <c r="B3" s="218"/>
      <c r="C3" s="220"/>
      <c r="D3" s="219"/>
      <c r="E3" s="219"/>
      <c r="F3" s="219"/>
      <c r="G3" s="221"/>
    </row>
    <row r="4" spans="1:9" s="4" customFormat="1" ht="14">
      <c r="A4" s="264" t="s">
        <v>211</v>
      </c>
      <c r="B4" s="223"/>
      <c r="C4" s="220"/>
      <c r="D4" s="219"/>
      <c r="E4" s="219"/>
      <c r="F4" s="219"/>
      <c r="G4" s="221"/>
      <c r="H4" s="200"/>
      <c r="I4" s="200"/>
    </row>
    <row r="5" spans="1:9" ht="28">
      <c r="A5" s="209"/>
      <c r="B5" s="195" t="s">
        <v>0</v>
      </c>
      <c r="C5" s="197" t="s">
        <v>181</v>
      </c>
      <c r="D5" s="196" t="s">
        <v>182</v>
      </c>
      <c r="E5" s="196" t="s">
        <v>2</v>
      </c>
      <c r="F5" s="224"/>
      <c r="G5" s="225" t="s">
        <v>184</v>
      </c>
    </row>
    <row r="6" spans="1:9" ht="17" thickBot="1">
      <c r="A6" s="273" t="s">
        <v>185</v>
      </c>
      <c r="B6" s="274"/>
      <c r="C6" s="275"/>
      <c r="D6" s="276"/>
      <c r="E6" s="277"/>
      <c r="F6" s="278"/>
      <c r="G6" s="279"/>
      <c r="H6" s="201"/>
      <c r="I6" s="201"/>
    </row>
    <row r="7" spans="1:9" ht="13.5" customHeight="1">
      <c r="A7" s="267" t="s">
        <v>205</v>
      </c>
      <c r="B7" s="268"/>
      <c r="C7" s="269">
        <v>1</v>
      </c>
      <c r="D7" s="270">
        <f t="shared" ref="D7:D16" si="0">B7*C7</f>
        <v>0</v>
      </c>
      <c r="E7" s="270">
        <f t="shared" ref="E7:E16" si="1">D7*1.21</f>
        <v>0</v>
      </c>
      <c r="F7" s="271"/>
      <c r="G7" s="272">
        <v>0.21</v>
      </c>
      <c r="H7" s="201"/>
      <c r="I7" s="201"/>
    </row>
    <row r="8" spans="1:9" ht="13.5" customHeight="1">
      <c r="A8" s="247" t="s">
        <v>198</v>
      </c>
      <c r="B8" s="198"/>
      <c r="C8" s="253">
        <v>1</v>
      </c>
      <c r="D8" s="252">
        <f t="shared" si="0"/>
        <v>0</v>
      </c>
      <c r="E8" s="252">
        <f t="shared" si="1"/>
        <v>0</v>
      </c>
      <c r="F8" s="254"/>
      <c r="G8" s="251">
        <v>0.21</v>
      </c>
      <c r="H8" s="201"/>
      <c r="I8" s="201"/>
    </row>
    <row r="9" spans="1:9" ht="13.5" customHeight="1">
      <c r="A9" s="247" t="s">
        <v>190</v>
      </c>
      <c r="B9" s="198"/>
      <c r="C9" s="253">
        <v>1</v>
      </c>
      <c r="D9" s="252">
        <f t="shared" si="0"/>
        <v>0</v>
      </c>
      <c r="E9" s="252">
        <f t="shared" si="1"/>
        <v>0</v>
      </c>
      <c r="F9" s="254"/>
      <c r="G9" s="251">
        <v>0.21</v>
      </c>
      <c r="H9" s="201"/>
      <c r="I9" s="201"/>
    </row>
    <row r="10" spans="1:9">
      <c r="A10" s="247" t="s">
        <v>178</v>
      </c>
      <c r="B10" s="248"/>
      <c r="C10" s="249">
        <v>1</v>
      </c>
      <c r="D10" s="250">
        <f t="shared" si="0"/>
        <v>0</v>
      </c>
      <c r="E10" s="250">
        <f t="shared" si="1"/>
        <v>0</v>
      </c>
      <c r="F10" s="255"/>
      <c r="G10" s="251">
        <v>0.21</v>
      </c>
      <c r="H10" s="201"/>
      <c r="I10" s="201"/>
    </row>
    <row r="11" spans="1:9" s="193" customFormat="1" ht="32" customHeight="1">
      <c r="A11" s="285" t="s">
        <v>206</v>
      </c>
      <c r="B11" s="248"/>
      <c r="C11" s="249">
        <v>1</v>
      </c>
      <c r="D11" s="250">
        <f t="shared" si="0"/>
        <v>0</v>
      </c>
      <c r="E11" s="250">
        <f t="shared" si="1"/>
        <v>0</v>
      </c>
      <c r="F11" s="255"/>
      <c r="G11" s="251">
        <v>0.21</v>
      </c>
      <c r="H11" s="201"/>
      <c r="I11" s="201"/>
    </row>
    <row r="12" spans="1:9" s="193" customFormat="1" ht="15" customHeight="1">
      <c r="A12" s="247" t="s">
        <v>204</v>
      </c>
      <c r="B12" s="248"/>
      <c r="C12" s="249">
        <v>1</v>
      </c>
      <c r="D12" s="250">
        <f t="shared" si="0"/>
        <v>0</v>
      </c>
      <c r="E12" s="250">
        <f t="shared" si="1"/>
        <v>0</v>
      </c>
      <c r="F12" s="255"/>
      <c r="G12" s="251">
        <v>0.21</v>
      </c>
      <c r="H12" s="201"/>
      <c r="I12" s="201"/>
    </row>
    <row r="13" spans="1:9" s="193" customFormat="1" ht="15" customHeight="1">
      <c r="A13" s="247" t="s">
        <v>202</v>
      </c>
      <c r="B13" s="248"/>
      <c r="C13" s="249">
        <v>1</v>
      </c>
      <c r="D13" s="250">
        <f t="shared" si="0"/>
        <v>0</v>
      </c>
      <c r="E13" s="250">
        <f t="shared" si="1"/>
        <v>0</v>
      </c>
      <c r="F13" s="255"/>
      <c r="G13" s="251">
        <v>0.21</v>
      </c>
      <c r="H13" s="201"/>
      <c r="I13" s="201"/>
    </row>
    <row r="14" spans="1:9" s="193" customFormat="1" ht="15" customHeight="1">
      <c r="A14" s="247" t="s">
        <v>196</v>
      </c>
      <c r="B14" s="248"/>
      <c r="C14" s="249">
        <v>1</v>
      </c>
      <c r="D14" s="250">
        <f t="shared" si="0"/>
        <v>0</v>
      </c>
      <c r="E14" s="250">
        <f t="shared" si="1"/>
        <v>0</v>
      </c>
      <c r="F14" s="255"/>
      <c r="G14" s="251">
        <v>0.21</v>
      </c>
      <c r="H14" s="201"/>
      <c r="I14" s="201"/>
    </row>
    <row r="15" spans="1:9" s="193" customFormat="1" ht="15" customHeight="1">
      <c r="A15" s="247" t="s">
        <v>199</v>
      </c>
      <c r="B15" s="248"/>
      <c r="C15" s="249">
        <v>1</v>
      </c>
      <c r="D15" s="250">
        <f t="shared" si="0"/>
        <v>0</v>
      </c>
      <c r="E15" s="250">
        <f t="shared" si="1"/>
        <v>0</v>
      </c>
      <c r="F15" s="255"/>
      <c r="G15" s="251">
        <v>0.21</v>
      </c>
      <c r="H15" s="201"/>
      <c r="I15" s="201"/>
    </row>
    <row r="16" spans="1:9" s="193" customFormat="1" ht="15" customHeight="1">
      <c r="A16" s="247" t="s">
        <v>197</v>
      </c>
      <c r="B16" s="248"/>
      <c r="C16" s="249">
        <v>1</v>
      </c>
      <c r="D16" s="250">
        <f t="shared" si="0"/>
        <v>0</v>
      </c>
      <c r="E16" s="250">
        <f t="shared" si="1"/>
        <v>0</v>
      </c>
      <c r="F16" s="255"/>
      <c r="G16" s="251">
        <v>0.21</v>
      </c>
      <c r="H16" s="201"/>
      <c r="I16" s="201"/>
    </row>
    <row r="17" spans="1:12" s="193" customFormat="1" ht="15" customHeight="1">
      <c r="A17" s="232" t="s">
        <v>186</v>
      </c>
      <c r="B17" s="233"/>
      <c r="C17" s="235"/>
      <c r="D17" s="234"/>
      <c r="E17" s="234"/>
      <c r="F17" s="234"/>
      <c r="G17" s="238"/>
      <c r="H17" s="201"/>
      <c r="I17" s="201"/>
    </row>
    <row r="18" spans="1:12" s="193" customFormat="1" ht="15" customHeight="1">
      <c r="A18" s="229" t="s">
        <v>187</v>
      </c>
      <c r="B18" s="239"/>
      <c r="C18" s="240">
        <v>1</v>
      </c>
      <c r="D18" s="198">
        <f>B18*C18</f>
        <v>0</v>
      </c>
      <c r="E18" s="239">
        <f>D18*1.21</f>
        <v>0</v>
      </c>
      <c r="F18" s="198"/>
      <c r="G18" s="230">
        <v>0.21</v>
      </c>
      <c r="H18" s="265"/>
      <c r="I18" s="266"/>
      <c r="J18" s="266"/>
      <c r="K18" s="266"/>
      <c r="L18" s="266"/>
    </row>
    <row r="19" spans="1:12" s="193" customFormat="1" ht="15" customHeight="1">
      <c r="A19" s="229" t="s">
        <v>188</v>
      </c>
      <c r="B19" s="239"/>
      <c r="C19" s="240">
        <v>1</v>
      </c>
      <c r="D19" s="198">
        <f>B19*C19</f>
        <v>0</v>
      </c>
      <c r="E19" s="239">
        <f>D19*1.21</f>
        <v>0</v>
      </c>
      <c r="F19" s="198"/>
      <c r="G19" s="230">
        <v>0.21</v>
      </c>
      <c r="H19" s="201"/>
      <c r="I19" s="201"/>
    </row>
    <row r="20" spans="1:12" s="193" customFormat="1" ht="15" customHeight="1">
      <c r="A20" s="226" t="s">
        <v>191</v>
      </c>
      <c r="B20" s="227"/>
      <c r="C20" s="228"/>
      <c r="D20" s="262">
        <f>SUM(D7:D19)</f>
        <v>0</v>
      </c>
      <c r="E20" s="262">
        <f>D20*1.21</f>
        <v>0</v>
      </c>
      <c r="F20" s="198"/>
      <c r="G20" s="263">
        <f>E20-D20</f>
        <v>0</v>
      </c>
      <c r="H20" s="201"/>
      <c r="I20" s="201"/>
    </row>
    <row r="21" spans="1:12" s="193" customFormat="1" ht="15" customHeight="1">
      <c r="A21" s="256"/>
      <c r="B21" s="257"/>
      <c r="C21" s="258"/>
      <c r="D21" s="219"/>
      <c r="E21" s="259"/>
      <c r="F21" s="219"/>
      <c r="G21" s="260"/>
      <c r="H21" s="201"/>
      <c r="I21" s="201"/>
    </row>
    <row r="22" spans="1:12" s="193" customFormat="1">
      <c r="A22" s="261" t="s">
        <v>192</v>
      </c>
      <c r="B22" s="233"/>
      <c r="C22" s="235"/>
      <c r="D22" s="234"/>
      <c r="E22" s="234"/>
      <c r="F22" s="236"/>
      <c r="G22" s="237"/>
      <c r="H22" s="201"/>
      <c r="I22" s="201"/>
    </row>
    <row r="23" spans="1:12" s="193" customFormat="1">
      <c r="A23" s="222" t="s">
        <v>195</v>
      </c>
      <c r="B23" s="248"/>
      <c r="C23" s="286">
        <v>62</v>
      </c>
      <c r="D23" s="231">
        <f t="shared" ref="D23:D27" si="2">B23*C23</f>
        <v>0</v>
      </c>
      <c r="E23" s="231">
        <f>D23*1.21</f>
        <v>0</v>
      </c>
      <c r="F23" s="219"/>
      <c r="G23" s="230">
        <v>0.21</v>
      </c>
      <c r="H23" s="201"/>
      <c r="I23" s="201"/>
    </row>
    <row r="24" spans="1:12" s="193" customFormat="1">
      <c r="A24" s="222" t="s">
        <v>179</v>
      </c>
      <c r="B24" s="248"/>
      <c r="C24" s="286">
        <v>149</v>
      </c>
      <c r="D24" s="231">
        <f t="shared" si="2"/>
        <v>0</v>
      </c>
      <c r="E24" s="231">
        <f>D24*1.21</f>
        <v>0</v>
      </c>
      <c r="F24" s="219"/>
      <c r="G24" s="230">
        <v>0.21</v>
      </c>
      <c r="H24" s="201"/>
      <c r="I24" s="201"/>
    </row>
    <row r="25" spans="1:12" s="193" customFormat="1">
      <c r="A25" s="222" t="s">
        <v>180</v>
      </c>
      <c r="B25" s="248"/>
      <c r="C25" s="286">
        <f>C23</f>
        <v>62</v>
      </c>
      <c r="D25" s="231">
        <f t="shared" si="2"/>
        <v>0</v>
      </c>
      <c r="E25" s="231">
        <f>D25*1.21</f>
        <v>0</v>
      </c>
      <c r="F25" s="219"/>
      <c r="G25" s="230">
        <v>0.21</v>
      </c>
      <c r="H25" s="201"/>
      <c r="I25" s="201"/>
    </row>
    <row r="26" spans="1:12" s="193" customFormat="1">
      <c r="A26" s="222" t="s">
        <v>194</v>
      </c>
      <c r="B26" s="248"/>
      <c r="C26" s="286">
        <f>C23</f>
        <v>62</v>
      </c>
      <c r="D26" s="231">
        <f t="shared" si="2"/>
        <v>0</v>
      </c>
      <c r="E26" s="231">
        <f t="shared" ref="E26:E27" si="3">D26*1.21</f>
        <v>0</v>
      </c>
      <c r="F26" s="219"/>
      <c r="G26" s="230">
        <v>0.21</v>
      </c>
      <c r="H26" s="201"/>
      <c r="I26" s="201"/>
    </row>
    <row r="27" spans="1:12" s="193" customFormat="1">
      <c r="A27" s="222" t="s">
        <v>201</v>
      </c>
      <c r="B27" s="248"/>
      <c r="C27" s="286">
        <f>C23</f>
        <v>62</v>
      </c>
      <c r="D27" s="231">
        <f t="shared" si="2"/>
        <v>0</v>
      </c>
      <c r="E27" s="231">
        <f t="shared" si="3"/>
        <v>0</v>
      </c>
      <c r="F27" s="219"/>
      <c r="G27" s="230">
        <v>0.21</v>
      </c>
      <c r="H27" s="201"/>
      <c r="I27" s="201"/>
    </row>
    <row r="28" spans="1:12" s="193" customFormat="1">
      <c r="A28" s="222" t="s">
        <v>200</v>
      </c>
      <c r="B28" s="248"/>
      <c r="C28" s="286">
        <f>C23</f>
        <v>62</v>
      </c>
      <c r="D28" s="231">
        <f>B28*C28</f>
        <v>0</v>
      </c>
      <c r="E28" s="231">
        <f>D28*1.21</f>
        <v>0</v>
      </c>
      <c r="F28" s="219"/>
      <c r="G28" s="230">
        <v>0.21</v>
      </c>
      <c r="H28" s="201"/>
      <c r="I28" s="201"/>
    </row>
    <row r="29" spans="1:12" s="193" customFormat="1">
      <c r="A29" s="261" t="s">
        <v>193</v>
      </c>
      <c r="B29" s="233"/>
      <c r="C29" s="235"/>
      <c r="D29" s="234">
        <f>SUM(D23:D28)</f>
        <v>0</v>
      </c>
      <c r="E29" s="234">
        <f>D29*1.21</f>
        <v>0</v>
      </c>
      <c r="F29" s="236"/>
      <c r="G29" s="238">
        <f>E29-D29</f>
        <v>0</v>
      </c>
      <c r="H29" s="201"/>
      <c r="I29" s="201"/>
    </row>
    <row r="30" spans="1:12" s="193" customFormat="1">
      <c r="A30" s="256"/>
      <c r="B30" s="280"/>
      <c r="C30" s="281"/>
      <c r="D30" s="282"/>
      <c r="E30" s="282"/>
      <c r="F30" s="283"/>
      <c r="G30" s="284"/>
      <c r="H30" s="201"/>
      <c r="I30" s="201"/>
    </row>
    <row r="31" spans="1:12" s="194" customFormat="1" ht="16">
      <c r="A31" s="261" t="s">
        <v>209</v>
      </c>
      <c r="B31" s="233"/>
      <c r="C31" s="235"/>
      <c r="D31" s="234"/>
      <c r="E31" s="234"/>
      <c r="F31" s="236"/>
      <c r="G31" s="237"/>
      <c r="H31" s="203"/>
      <c r="I31" s="201"/>
    </row>
    <row r="32" spans="1:12" s="194" customFormat="1" ht="16">
      <c r="A32" s="247" t="s">
        <v>207</v>
      </c>
      <c r="B32" s="198"/>
      <c r="C32" s="253">
        <v>1</v>
      </c>
      <c r="D32" s="252">
        <f t="shared" ref="D32:D33" si="4">B32*C32</f>
        <v>0</v>
      </c>
      <c r="E32" s="252">
        <f t="shared" ref="E32:E33" si="5">D32*1.21</f>
        <v>0</v>
      </c>
      <c r="F32" s="254"/>
      <c r="G32" s="251">
        <v>0.21</v>
      </c>
      <c r="H32" s="203"/>
      <c r="I32" s="201"/>
    </row>
    <row r="33" spans="1:246" s="194" customFormat="1" ht="16">
      <c r="A33" s="247" t="s">
        <v>208</v>
      </c>
      <c r="B33" s="198"/>
      <c r="C33" s="253">
        <v>1</v>
      </c>
      <c r="D33" s="252">
        <f t="shared" si="4"/>
        <v>0</v>
      </c>
      <c r="E33" s="252">
        <f t="shared" si="5"/>
        <v>0</v>
      </c>
      <c r="F33" s="254"/>
      <c r="G33" s="251">
        <v>0.21</v>
      </c>
      <c r="H33" s="203"/>
      <c r="I33" s="201"/>
    </row>
    <row r="34" spans="1:246" s="191" customFormat="1" ht="16">
      <c r="A34" s="261" t="s">
        <v>210</v>
      </c>
      <c r="B34" s="233"/>
      <c r="C34" s="235"/>
      <c r="D34" s="234">
        <f>SUM(D32:D33)</f>
        <v>0</v>
      </c>
      <c r="E34" s="234">
        <f>SUM(E32:E32)</f>
        <v>0</v>
      </c>
      <c r="F34" s="236"/>
      <c r="G34" s="238">
        <f>E34-D34</f>
        <v>0</v>
      </c>
      <c r="H34" s="203"/>
      <c r="I34" s="201"/>
    </row>
    <row r="35" spans="1:246" s="193" customFormat="1">
      <c r="A35" s="256"/>
      <c r="B35" s="280"/>
      <c r="C35" s="281"/>
      <c r="D35" s="282"/>
      <c r="E35" s="282"/>
      <c r="F35" s="283"/>
      <c r="G35" s="284"/>
      <c r="H35" s="201"/>
      <c r="I35" s="201"/>
    </row>
    <row r="36" spans="1:246" s="193" customFormat="1" ht="16">
      <c r="A36" s="287" t="s">
        <v>213</v>
      </c>
      <c r="B36" s="288"/>
      <c r="C36" s="289"/>
      <c r="D36" s="290"/>
      <c r="E36" s="291"/>
      <c r="F36" s="292"/>
      <c r="G36" s="237"/>
      <c r="H36" s="201"/>
      <c r="I36" s="201"/>
    </row>
    <row r="37" spans="1:246" s="193" customFormat="1">
      <c r="A37" s="293" t="s">
        <v>212</v>
      </c>
      <c r="B37" s="294"/>
      <c r="C37" s="295">
        <v>1</v>
      </c>
      <c r="D37" s="231">
        <f>B37*C37</f>
        <v>0</v>
      </c>
      <c r="E37" s="296">
        <f>D37*1.21</f>
        <v>0</v>
      </c>
      <c r="F37" s="297">
        <v>0.21</v>
      </c>
      <c r="G37" s="230">
        <v>0.21</v>
      </c>
      <c r="H37" s="201"/>
      <c r="I37" s="201"/>
    </row>
    <row r="38" spans="1:246" s="193" customFormat="1" ht="16">
      <c r="A38" s="298" t="s">
        <v>214</v>
      </c>
      <c r="B38" s="299"/>
      <c r="C38" s="300"/>
      <c r="D38" s="301">
        <f>SUM(D37)</f>
        <v>0</v>
      </c>
      <c r="E38" s="301">
        <f t="shared" ref="E38:F38" si="6">SUM(E37)</f>
        <v>0</v>
      </c>
      <c r="F38" s="301">
        <f t="shared" si="6"/>
        <v>0.21</v>
      </c>
      <c r="G38" s="238">
        <f>E38-D38</f>
        <v>0</v>
      </c>
      <c r="H38" s="201"/>
      <c r="I38" s="201"/>
    </row>
    <row r="39" spans="1:246" s="191" customFormat="1" ht="16">
      <c r="A39" s="222"/>
      <c r="B39" s="219"/>
      <c r="C39" s="219"/>
      <c r="D39" s="219"/>
      <c r="E39" s="219"/>
      <c r="F39" s="219"/>
      <c r="G39" s="221"/>
      <c r="H39" s="202"/>
      <c r="I39" s="20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</row>
    <row r="40" spans="1:246" s="191" customFormat="1" ht="17" thickBot="1">
      <c r="A40" s="241" t="s">
        <v>183</v>
      </c>
      <c r="B40" s="242"/>
      <c r="C40" s="243"/>
      <c r="D40" s="244">
        <f>D20+D29+D34+D38</f>
        <v>0</v>
      </c>
      <c r="E40" s="244">
        <f>D40*1.21</f>
        <v>0</v>
      </c>
      <c r="F40" s="245"/>
      <c r="G40" s="246">
        <f>E40-D40</f>
        <v>0</v>
      </c>
      <c r="H40" s="202"/>
      <c r="I40" s="20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</row>
    <row r="41" spans="1:246" s="191" customFormat="1" ht="18">
      <c r="A41" s="1"/>
      <c r="B41" s="192"/>
      <c r="C41" s="2"/>
      <c r="D41" s="206"/>
      <c r="E41" s="1"/>
      <c r="F41" s="1"/>
      <c r="G41" s="1"/>
      <c r="H41" s="204"/>
      <c r="I41" s="204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</row>
    <row r="42" spans="1:246">
      <c r="H42" s="201"/>
      <c r="I42" s="201"/>
    </row>
    <row r="43" spans="1:246" ht="16">
      <c r="H43" s="205"/>
      <c r="I43" s="205"/>
    </row>
    <row r="47" spans="1:246">
      <c r="H47" s="200"/>
      <c r="I47" s="200"/>
    </row>
    <row r="48" spans="1:246" ht="16">
      <c r="I48" s="207"/>
    </row>
  </sheetData>
  <phoneticPr fontId="25" type="noConversion"/>
  <printOptions horizontalCentered="1" verticalCentered="1"/>
  <pageMargins left="0.79000000000000015" right="0.75000000000000011" top="0.51" bottom="0.47" header="0.51" footer="0.28000000000000003"/>
  <pageSetup paperSize="9" scale="48" firstPageNumber="0" orientation="portrait" horizontalDpi="300" verticalDpi="300"/>
  <headerFooter alignWithMargins="0"/>
  <legacyDrawingHF r:id="rId1"/>
  <extLst>
    <ext xmlns:mx="http://schemas.microsoft.com/office/mac/excel/2008/main" uri="{64002731-A6B0-56B0-2670-7721B7C09600}">
      <mx:PLV Mode="0" OnePage="0" WScale="8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4"/>
  <dimension ref="A1:M74"/>
  <sheetViews>
    <sheetView topLeftCell="A40" zoomScale="75" zoomScaleNormal="75" zoomScaleSheetLayoutView="75" zoomScalePageLayoutView="75" workbookViewId="0">
      <selection activeCell="E32" sqref="E32"/>
    </sheetView>
  </sheetViews>
  <sheetFormatPr baseColWidth="10" defaultColWidth="8.6640625" defaultRowHeight="13"/>
  <cols>
    <col min="2" max="2" width="61" customWidth="1"/>
    <col min="3" max="3" width="13.33203125" customWidth="1"/>
    <col min="4" max="8" width="10.6640625" customWidth="1"/>
    <col min="9" max="9" width="11.5" customWidth="1"/>
    <col min="10" max="10" width="18.5" customWidth="1"/>
    <col min="11" max="11" width="3.1640625" customWidth="1"/>
    <col min="12" max="12" width="10.6640625" customWidth="1"/>
    <col min="13" max="13" width="19.33203125" customWidth="1"/>
  </cols>
  <sheetData>
    <row r="1" spans="2:13" s="5" customFormat="1" ht="18">
      <c r="B1" s="6" t="s">
        <v>4</v>
      </c>
      <c r="C1" s="7">
        <v>150</v>
      </c>
      <c r="I1" s="8"/>
      <c r="J1" s="8"/>
      <c r="K1" s="8"/>
      <c r="L1" s="8"/>
      <c r="M1" s="8"/>
    </row>
    <row r="2" spans="2:13" s="5" customFormat="1" ht="18">
      <c r="B2" s="6" t="s">
        <v>5</v>
      </c>
      <c r="C2" s="7">
        <v>5</v>
      </c>
    </row>
    <row r="3" spans="2:13">
      <c r="B3" t="s">
        <v>6</v>
      </c>
      <c r="C3" s="9" t="e">
        <f>SUM(#REF!)+SUM(#REF!)+SUM(#REF!)</f>
        <v>#REF!</v>
      </c>
    </row>
    <row r="4" spans="2:13">
      <c r="B4" t="s">
        <v>7</v>
      </c>
      <c r="C4" s="9" t="e">
        <f>SUM(#REF!)+#REF!</f>
        <v>#REF!</v>
      </c>
    </row>
    <row r="5" spans="2:13">
      <c r="B5" t="s">
        <v>8</v>
      </c>
      <c r="C5" s="9" t="e">
        <f>SUM(#REF!)</f>
        <v>#REF!</v>
      </c>
    </row>
    <row r="6" spans="2:13">
      <c r="B6" t="s">
        <v>9</v>
      </c>
      <c r="C6" s="9" t="e">
        <f>SUM(#REF!)</f>
        <v>#REF!</v>
      </c>
    </row>
    <row r="7" spans="2:13">
      <c r="B7" t="s">
        <v>10</v>
      </c>
      <c r="C7" s="10">
        <v>70</v>
      </c>
    </row>
    <row r="8" spans="2:13">
      <c r="B8" t="s">
        <v>11</v>
      </c>
      <c r="C8" s="10">
        <v>40</v>
      </c>
    </row>
    <row r="9" spans="2:13">
      <c r="B9" t="s">
        <v>12</v>
      </c>
      <c r="C9" s="11">
        <v>350</v>
      </c>
    </row>
    <row r="10" spans="2:13">
      <c r="B10" t="s">
        <v>13</v>
      </c>
      <c r="C10" s="11">
        <v>10</v>
      </c>
    </row>
    <row r="11" spans="2:13">
      <c r="C11" s="1"/>
    </row>
    <row r="12" spans="2:13">
      <c r="B12" t="s">
        <v>14</v>
      </c>
      <c r="C12" s="1" t="e">
        <f>SUM(#REF!)</f>
        <v>#REF!</v>
      </c>
    </row>
    <row r="13" spans="2:13">
      <c r="B13" t="s">
        <v>15</v>
      </c>
      <c r="C13" s="1" t="e">
        <f>SUM(#REF!)</f>
        <v>#REF!</v>
      </c>
    </row>
    <row r="14" spans="2:13">
      <c r="B14" t="s">
        <v>16</v>
      </c>
      <c r="C14" s="12">
        <v>0</v>
      </c>
    </row>
    <row r="15" spans="2:13">
      <c r="B15" t="s">
        <v>17</v>
      </c>
      <c r="C15" s="12">
        <v>1</v>
      </c>
    </row>
    <row r="16" spans="2:13">
      <c r="B16" t="s">
        <v>18</v>
      </c>
      <c r="C16" t="e">
        <f>IF(#REF!,ABS(IF(SUM(#REF!)-SUM(#REF!),(SUM(#REF!)-SUM(#REF!))*1.5+SUM(#REF!),SUM(#REF!))),0.2*SUM(#REF!))</f>
        <v>#REF!</v>
      </c>
      <c r="D16" t="s">
        <v>19</v>
      </c>
    </row>
    <row r="18" spans="1:13">
      <c r="B18" s="13"/>
      <c r="C18" s="14"/>
      <c r="D18" s="15" t="s">
        <v>20</v>
      </c>
      <c r="E18" s="16"/>
      <c r="F18" s="16"/>
      <c r="G18" s="16"/>
      <c r="H18" s="17"/>
      <c r="I18" s="302" t="s">
        <v>21</v>
      </c>
      <c r="J18" s="302"/>
      <c r="K18" s="18"/>
      <c r="L18" s="15" t="s">
        <v>22</v>
      </c>
      <c r="M18" s="19"/>
    </row>
    <row r="19" spans="1:13">
      <c r="B19" s="20"/>
      <c r="C19" s="21"/>
      <c r="D19" s="22" t="s">
        <v>23</v>
      </c>
      <c r="E19" s="16" t="s">
        <v>1</v>
      </c>
      <c r="F19" s="16" t="s">
        <v>24</v>
      </c>
      <c r="G19" s="16" t="s">
        <v>25</v>
      </c>
      <c r="H19" s="17" t="s">
        <v>26</v>
      </c>
      <c r="I19" s="22" t="s">
        <v>27</v>
      </c>
      <c r="J19" s="19" t="s">
        <v>26</v>
      </c>
      <c r="K19" s="16"/>
      <c r="L19" s="22" t="s">
        <v>27</v>
      </c>
      <c r="M19" s="19" t="s">
        <v>26</v>
      </c>
    </row>
    <row r="20" spans="1:13">
      <c r="B20" s="23" t="s">
        <v>28</v>
      </c>
      <c r="D20" s="24">
        <v>2</v>
      </c>
      <c r="E20">
        <v>1</v>
      </c>
      <c r="F20">
        <v>60</v>
      </c>
      <c r="G20" s="25">
        <f t="shared" ref="G20:G26" si="0">E20*F20/60</f>
        <v>1</v>
      </c>
      <c r="H20" s="26">
        <v>0</v>
      </c>
      <c r="I20" s="27" t="e">
        <f>IF(SUM(C$3:C$6)+SUM(C$12:C$13),D20*G20,0)</f>
        <v>#REF!</v>
      </c>
      <c r="J20" s="28">
        <f t="shared" ref="J20:J37" si="1">H20</f>
        <v>0</v>
      </c>
      <c r="K20" s="29"/>
      <c r="L20" s="27" t="e">
        <f>IF(SUM(C$3:C$6)+SUM(C$12:C$13),D20*G20,0)</f>
        <v>#REF!</v>
      </c>
      <c r="M20" s="28">
        <f t="shared" ref="M20:M26" si="2">H20</f>
        <v>0</v>
      </c>
    </row>
    <row r="21" spans="1:13">
      <c r="B21" s="23" t="s">
        <v>29</v>
      </c>
      <c r="D21" s="24">
        <v>2</v>
      </c>
      <c r="E21">
        <v>1</v>
      </c>
      <c r="F21">
        <v>60</v>
      </c>
      <c r="G21" s="25">
        <f t="shared" si="0"/>
        <v>1</v>
      </c>
      <c r="H21" s="26">
        <v>0</v>
      </c>
      <c r="I21" s="27" t="e">
        <f>IF(SUM(C$3:C$6)+SUM(C$12:C$13),D21*G21,0)</f>
        <v>#REF!</v>
      </c>
      <c r="J21" s="28">
        <f t="shared" si="1"/>
        <v>0</v>
      </c>
      <c r="K21" s="29"/>
      <c r="L21" s="27" t="e">
        <f>IF(SUM(C$3:C$6)+SUM(C$12:C$13),D21*G21,0)</f>
        <v>#REF!</v>
      </c>
      <c r="M21" s="28">
        <f t="shared" si="2"/>
        <v>0</v>
      </c>
    </row>
    <row r="22" spans="1:13">
      <c r="B22" s="23" t="s">
        <v>30</v>
      </c>
      <c r="D22" s="30">
        <v>1</v>
      </c>
      <c r="E22" s="1">
        <v>1</v>
      </c>
      <c r="F22">
        <v>45</v>
      </c>
      <c r="G22" s="25">
        <f t="shared" si="0"/>
        <v>0.75</v>
      </c>
      <c r="H22" s="26"/>
      <c r="I22" s="27"/>
      <c r="J22" s="28">
        <f t="shared" si="1"/>
        <v>0</v>
      </c>
      <c r="K22" s="29"/>
      <c r="L22" s="27" t="e">
        <f>IF(SUM(C$3:C$6),D22*G22,0)</f>
        <v>#REF!</v>
      </c>
      <c r="M22" s="28">
        <f t="shared" si="2"/>
        <v>0</v>
      </c>
    </row>
    <row r="23" spans="1:13">
      <c r="B23" s="23" t="s">
        <v>31</v>
      </c>
      <c r="D23" s="30">
        <v>1</v>
      </c>
      <c r="E23" s="1">
        <v>1</v>
      </c>
      <c r="F23">
        <v>45</v>
      </c>
      <c r="G23" s="25">
        <f t="shared" si="0"/>
        <v>0.75</v>
      </c>
      <c r="H23" s="26"/>
      <c r="I23" s="27"/>
      <c r="J23" s="28">
        <f t="shared" si="1"/>
        <v>0</v>
      </c>
      <c r="K23" s="29"/>
      <c r="L23" s="27" t="e">
        <f>IF(SUM(C$3:C$6),D23*G23,0)</f>
        <v>#REF!</v>
      </c>
      <c r="M23" s="28">
        <f t="shared" si="2"/>
        <v>0</v>
      </c>
    </row>
    <row r="24" spans="1:13">
      <c r="B24" s="23" t="s">
        <v>32</v>
      </c>
      <c r="D24" s="24">
        <v>1</v>
      </c>
      <c r="E24" s="1" t="e">
        <f>C12</f>
        <v>#REF!</v>
      </c>
      <c r="F24">
        <f>10/D24</f>
        <v>10</v>
      </c>
      <c r="G24" s="25" t="e">
        <f t="shared" si="0"/>
        <v>#REF!</v>
      </c>
      <c r="H24" s="26"/>
      <c r="I24" s="27"/>
      <c r="J24" s="28">
        <f t="shared" si="1"/>
        <v>0</v>
      </c>
      <c r="K24" s="29"/>
      <c r="L24" s="27" t="e">
        <f>IF(SUM(C$3:C$6),D24*G24,0)</f>
        <v>#REF!</v>
      </c>
      <c r="M24" s="28">
        <f t="shared" si="2"/>
        <v>0</v>
      </c>
    </row>
    <row r="25" spans="1:13">
      <c r="B25" s="23" t="s">
        <v>33</v>
      </c>
      <c r="D25" s="24">
        <v>1</v>
      </c>
      <c r="E25" s="1" t="e">
        <f>C13</f>
        <v>#REF!</v>
      </c>
      <c r="F25">
        <f>15/D25</f>
        <v>15</v>
      </c>
      <c r="G25" s="25" t="e">
        <f t="shared" si="0"/>
        <v>#REF!</v>
      </c>
      <c r="H25" s="26"/>
      <c r="I25" s="27"/>
      <c r="J25" s="28">
        <f t="shared" si="1"/>
        <v>0</v>
      </c>
      <c r="K25" s="29"/>
      <c r="L25" s="27" t="e">
        <f>IF(SUM(C$3:C$6),D25*G25,0)</f>
        <v>#REF!</v>
      </c>
      <c r="M25" s="28">
        <f t="shared" si="2"/>
        <v>0</v>
      </c>
    </row>
    <row r="26" spans="1:13">
      <c r="B26" s="23" t="s">
        <v>34</v>
      </c>
      <c r="D26" s="24">
        <v>2</v>
      </c>
      <c r="E26" s="1" t="e">
        <f>C4</f>
        <v>#REF!</v>
      </c>
      <c r="F26">
        <v>7</v>
      </c>
      <c r="G26" s="25" t="e">
        <f t="shared" si="0"/>
        <v>#REF!</v>
      </c>
      <c r="H26" s="26"/>
      <c r="I26" s="27"/>
      <c r="J26" s="28">
        <f t="shared" si="1"/>
        <v>0</v>
      </c>
      <c r="K26" s="29"/>
      <c r="L26" s="27" t="e">
        <f>IF(SUM(C$3:C$6),D26*G26,0)</f>
        <v>#REF!</v>
      </c>
      <c r="M26" s="28">
        <f t="shared" si="2"/>
        <v>0</v>
      </c>
    </row>
    <row r="27" spans="1:13">
      <c r="B27" s="23" t="s">
        <v>35</v>
      </c>
      <c r="D27" s="24">
        <v>2</v>
      </c>
      <c r="E27">
        <v>1</v>
      </c>
      <c r="G27" s="31">
        <f>E27*($C$1/$C$7)</f>
        <v>2.1428571428571428</v>
      </c>
      <c r="H27" s="26">
        <f>E27*$C$1</f>
        <v>150</v>
      </c>
      <c r="I27" s="27" t="e">
        <f>IF(SUM(C$3:C$6)+SUM(C$12:C$13),D27*G27,0)</f>
        <v>#REF!</v>
      </c>
      <c r="J27" s="28">
        <f t="shared" si="1"/>
        <v>150</v>
      </c>
      <c r="K27" s="29"/>
      <c r="L27" s="27"/>
      <c r="M27" s="28"/>
    </row>
    <row r="28" spans="1:13">
      <c r="B28" s="32" t="s">
        <v>36</v>
      </c>
      <c r="C28" s="33"/>
      <c r="D28" s="34">
        <f>$D$27</f>
        <v>2</v>
      </c>
      <c r="E28" s="33">
        <v>1</v>
      </c>
      <c r="F28" s="33"/>
      <c r="G28" s="25" t="e">
        <f>E28*($C$2/3/$C$8+$C$4*0.1)</f>
        <v>#REF!</v>
      </c>
      <c r="H28" s="35">
        <f>E28*$C$2*4</f>
        <v>20</v>
      </c>
      <c r="I28" s="36" t="e">
        <f>D28*G28</f>
        <v>#REF!</v>
      </c>
      <c r="J28" s="37">
        <f t="shared" si="1"/>
        <v>20</v>
      </c>
      <c r="K28" s="38"/>
      <c r="L28" s="36" t="e">
        <f>D28*G28</f>
        <v>#REF!</v>
      </c>
      <c r="M28" s="28">
        <f>H28</f>
        <v>20</v>
      </c>
    </row>
    <row r="29" spans="1:13">
      <c r="B29" s="23" t="s">
        <v>37</v>
      </c>
      <c r="D29" s="34">
        <f t="shared" ref="D29:D56" si="3">$D$27</f>
        <v>2</v>
      </c>
      <c r="E29">
        <v>1</v>
      </c>
      <c r="F29">
        <v>30</v>
      </c>
      <c r="G29" s="25">
        <f>E29*F29/60</f>
        <v>0.5</v>
      </c>
      <c r="H29" s="26">
        <v>0</v>
      </c>
      <c r="I29" s="27" t="e">
        <f>IF(SUM(C$3:C$6)+SUM(C$12:C$13),D29*G29,0)</f>
        <v>#REF!</v>
      </c>
      <c r="J29" s="28">
        <f t="shared" si="1"/>
        <v>0</v>
      </c>
      <c r="K29" s="29"/>
      <c r="L29" s="27"/>
      <c r="M29" s="28"/>
    </row>
    <row r="30" spans="1:13">
      <c r="B30" s="23" t="s">
        <v>38</v>
      </c>
      <c r="D30" s="34">
        <f t="shared" si="3"/>
        <v>2</v>
      </c>
      <c r="E30" s="1" t="e">
        <f>C4</f>
        <v>#REF!</v>
      </c>
      <c r="F30">
        <f>10/D30</f>
        <v>5</v>
      </c>
      <c r="G30" s="25" t="e">
        <f>E30*F30/60</f>
        <v>#REF!</v>
      </c>
      <c r="H30" s="26">
        <v>0</v>
      </c>
      <c r="I30" s="27" t="e">
        <f>IF(SUM(C$3:C$6)+SUM(C$12:C$13),D30*G30,0)</f>
        <v>#REF!</v>
      </c>
      <c r="J30" s="28">
        <f t="shared" si="1"/>
        <v>0</v>
      </c>
      <c r="K30" s="29"/>
      <c r="L30" s="27"/>
      <c r="M30" s="28"/>
    </row>
    <row r="31" spans="1:13">
      <c r="B31" s="32" t="s">
        <v>39</v>
      </c>
      <c r="C31" s="33"/>
      <c r="D31" s="34">
        <f t="shared" si="3"/>
        <v>2</v>
      </c>
      <c r="E31" s="39" t="e">
        <f>C5</f>
        <v>#REF!</v>
      </c>
      <c r="F31" s="33">
        <f>5/D31</f>
        <v>2.5</v>
      </c>
      <c r="G31" s="40" t="e">
        <f>E31*F31/60</f>
        <v>#REF!</v>
      </c>
      <c r="H31" s="35">
        <v>0</v>
      </c>
      <c r="I31" s="27" t="e">
        <f>IF(SUM(C$3:C$6)+SUM(C$12:C$13),D31*G31,0)</f>
        <v>#REF!</v>
      </c>
      <c r="J31" s="28">
        <f t="shared" si="1"/>
        <v>0</v>
      </c>
      <c r="K31" s="29"/>
      <c r="L31" s="27"/>
      <c r="M31" s="28"/>
    </row>
    <row r="32" spans="1:13">
      <c r="A32" t="s">
        <v>40</v>
      </c>
      <c r="B32" s="23" t="s">
        <v>41</v>
      </c>
      <c r="D32" s="34">
        <f t="shared" si="3"/>
        <v>2</v>
      </c>
      <c r="E32" s="1" t="e">
        <f t="shared" ref="E32:E37" si="4">$C$3</f>
        <v>#REF!</v>
      </c>
      <c r="F32">
        <f>10/D32</f>
        <v>5</v>
      </c>
      <c r="G32" s="25" t="e">
        <f t="shared" ref="G32:G37" si="5">E32*F32/60</f>
        <v>#REF!</v>
      </c>
      <c r="H32" s="26">
        <v>0</v>
      </c>
      <c r="I32" s="27" t="e">
        <f t="shared" ref="I32:I56" si="6">D32*G32</f>
        <v>#REF!</v>
      </c>
      <c r="J32" s="28">
        <f t="shared" si="1"/>
        <v>0</v>
      </c>
      <c r="K32" s="29"/>
      <c r="L32" s="27"/>
      <c r="M32" s="28"/>
    </row>
    <row r="33" spans="1:13">
      <c r="B33" s="23" t="s">
        <v>42</v>
      </c>
      <c r="D33" s="34">
        <f t="shared" si="3"/>
        <v>2</v>
      </c>
      <c r="E33" s="1" t="e">
        <f t="shared" si="4"/>
        <v>#REF!</v>
      </c>
      <c r="G33" s="25" t="e">
        <f>E33*($C$2/3/$C$8)</f>
        <v>#REF!</v>
      </c>
      <c r="H33" s="41" t="e">
        <f>E33*$C$2/3</f>
        <v>#REF!</v>
      </c>
      <c r="I33" s="27" t="e">
        <f t="shared" si="6"/>
        <v>#REF!</v>
      </c>
      <c r="J33" s="28" t="e">
        <f t="shared" si="1"/>
        <v>#REF!</v>
      </c>
      <c r="K33" s="29"/>
      <c r="L33" s="27"/>
      <c r="M33" s="28"/>
    </row>
    <row r="34" spans="1:13">
      <c r="B34" s="23" t="s">
        <v>43</v>
      </c>
      <c r="D34" s="34">
        <f t="shared" si="3"/>
        <v>2</v>
      </c>
      <c r="E34" s="1" t="e">
        <f t="shared" si="4"/>
        <v>#REF!</v>
      </c>
      <c r="F34">
        <v>30</v>
      </c>
      <c r="G34" s="25" t="e">
        <f t="shared" si="5"/>
        <v>#REF!</v>
      </c>
      <c r="H34" s="26">
        <v>0</v>
      </c>
      <c r="I34" s="27" t="e">
        <f t="shared" si="6"/>
        <v>#REF!</v>
      </c>
      <c r="J34" s="28">
        <f t="shared" si="1"/>
        <v>0</v>
      </c>
      <c r="K34" s="29"/>
      <c r="L34" s="27"/>
      <c r="M34" s="28"/>
    </row>
    <row r="35" spans="1:13">
      <c r="B35" s="23" t="s">
        <v>44</v>
      </c>
      <c r="D35" s="34">
        <f t="shared" si="3"/>
        <v>2</v>
      </c>
      <c r="E35" s="1" t="e">
        <f t="shared" si="4"/>
        <v>#REF!</v>
      </c>
      <c r="F35">
        <v>300</v>
      </c>
      <c r="G35" s="25" t="e">
        <f t="shared" si="5"/>
        <v>#REF!</v>
      </c>
      <c r="H35" s="26">
        <v>0</v>
      </c>
      <c r="I35" s="27" t="e">
        <f t="shared" si="6"/>
        <v>#REF!</v>
      </c>
      <c r="J35" s="28">
        <f t="shared" si="1"/>
        <v>0</v>
      </c>
      <c r="K35" s="29"/>
      <c r="L35" s="27"/>
      <c r="M35" s="28"/>
    </row>
    <row r="36" spans="1:13">
      <c r="B36" s="23" t="s">
        <v>45</v>
      </c>
      <c r="D36" s="34">
        <f t="shared" si="3"/>
        <v>2</v>
      </c>
      <c r="E36" s="1" t="e">
        <f t="shared" si="4"/>
        <v>#REF!</v>
      </c>
      <c r="F36">
        <v>120</v>
      </c>
      <c r="G36" s="25" t="e">
        <f t="shared" si="5"/>
        <v>#REF!</v>
      </c>
      <c r="H36" s="26">
        <v>0</v>
      </c>
      <c r="I36" s="27" t="e">
        <f t="shared" si="6"/>
        <v>#REF!</v>
      </c>
      <c r="J36" s="28">
        <f t="shared" si="1"/>
        <v>0</v>
      </c>
      <c r="K36" s="29"/>
      <c r="L36" s="27"/>
      <c r="M36" s="28"/>
    </row>
    <row r="37" spans="1:13">
      <c r="B37" s="32" t="s">
        <v>46</v>
      </c>
      <c r="C37" s="33"/>
      <c r="D37" s="34">
        <f t="shared" si="3"/>
        <v>2</v>
      </c>
      <c r="E37" s="1" t="e">
        <f t="shared" si="4"/>
        <v>#REF!</v>
      </c>
      <c r="F37">
        <v>30</v>
      </c>
      <c r="G37" s="25" t="e">
        <f t="shared" si="5"/>
        <v>#REF!</v>
      </c>
      <c r="H37" s="35">
        <v>0</v>
      </c>
      <c r="I37" s="27" t="e">
        <f t="shared" si="6"/>
        <v>#REF!</v>
      </c>
      <c r="J37" s="28">
        <f t="shared" si="1"/>
        <v>0</v>
      </c>
      <c r="K37" s="29"/>
      <c r="L37" s="27"/>
      <c r="M37" s="28"/>
    </row>
    <row r="38" spans="1:13">
      <c r="A38" t="s">
        <v>47</v>
      </c>
      <c r="B38" s="23" t="s">
        <v>48</v>
      </c>
      <c r="D38" s="34">
        <f t="shared" si="3"/>
        <v>2</v>
      </c>
      <c r="E38" s="1" t="e">
        <f>$C$14*$C$4/4</f>
        <v>#REF!</v>
      </c>
      <c r="F38">
        <f>10/D38</f>
        <v>5</v>
      </c>
      <c r="G38" s="25" t="e">
        <f>E38*F38/60</f>
        <v>#REF!</v>
      </c>
      <c r="H38" s="26">
        <v>0</v>
      </c>
      <c r="I38" s="27" t="e">
        <f t="shared" si="6"/>
        <v>#REF!</v>
      </c>
      <c r="J38" s="28">
        <f t="shared" ref="J38:J49" si="7">H38</f>
        <v>0</v>
      </c>
      <c r="K38" s="29"/>
      <c r="L38" s="27"/>
      <c r="M38" s="28"/>
    </row>
    <row r="39" spans="1:13">
      <c r="B39" s="23" t="s">
        <v>49</v>
      </c>
      <c r="D39" s="34">
        <f t="shared" si="3"/>
        <v>2</v>
      </c>
      <c r="E39" s="1" t="e">
        <f>$C$14*$C$4/4</f>
        <v>#REF!</v>
      </c>
      <c r="G39" s="25" t="e">
        <f>E39*$C$2/3/$C$8</f>
        <v>#REF!</v>
      </c>
      <c r="H39" s="42" t="e">
        <f>E39*$C$2/2</f>
        <v>#REF!</v>
      </c>
      <c r="I39" s="27" t="e">
        <f t="shared" si="6"/>
        <v>#REF!</v>
      </c>
      <c r="J39" s="28" t="e">
        <f t="shared" si="7"/>
        <v>#REF!</v>
      </c>
      <c r="K39" s="29"/>
      <c r="L39" s="27"/>
      <c r="M39" s="28"/>
    </row>
    <row r="40" spans="1:13">
      <c r="B40" s="23" t="s">
        <v>50</v>
      </c>
      <c r="C40" t="s">
        <v>51</v>
      </c>
      <c r="D40" s="34">
        <f t="shared" si="3"/>
        <v>2</v>
      </c>
      <c r="E40" s="1" t="e">
        <f>$C$14*$C$4</f>
        <v>#REF!</v>
      </c>
      <c r="F40">
        <f>10/D40</f>
        <v>5</v>
      </c>
      <c r="G40" s="25" t="e">
        <f>E40*F40/60</f>
        <v>#REF!</v>
      </c>
      <c r="H40" s="26">
        <v>0</v>
      </c>
      <c r="I40" s="27" t="e">
        <f t="shared" si="6"/>
        <v>#REF!</v>
      </c>
      <c r="J40" s="28">
        <f t="shared" si="7"/>
        <v>0</v>
      </c>
      <c r="K40" s="29"/>
      <c r="L40" s="27"/>
      <c r="M40" s="28"/>
    </row>
    <row r="41" spans="1:13">
      <c r="B41" s="23" t="s">
        <v>52</v>
      </c>
      <c r="D41" s="34">
        <f t="shared" si="3"/>
        <v>2</v>
      </c>
      <c r="E41" s="1" t="e">
        <f>$C$14*$C$4</f>
        <v>#REF!</v>
      </c>
      <c r="F41">
        <f>240/D41</f>
        <v>120</v>
      </c>
      <c r="G41" s="25" t="e">
        <f>E41*F41/60</f>
        <v>#REF!</v>
      </c>
      <c r="H41" s="26">
        <v>0</v>
      </c>
      <c r="I41" s="27" t="e">
        <f t="shared" si="6"/>
        <v>#REF!</v>
      </c>
      <c r="J41" s="28">
        <f t="shared" si="7"/>
        <v>0</v>
      </c>
      <c r="K41" s="29"/>
      <c r="L41" s="27"/>
      <c r="M41" s="28"/>
    </row>
    <row r="42" spans="1:13">
      <c r="B42" s="23" t="s">
        <v>53</v>
      </c>
      <c r="D42" s="34">
        <f t="shared" si="3"/>
        <v>2</v>
      </c>
      <c r="E42" s="1" t="e">
        <f>$C$14*$C$4</f>
        <v>#REF!</v>
      </c>
      <c r="F42">
        <f>10/D42</f>
        <v>5</v>
      </c>
      <c r="G42" s="25" t="e">
        <f>E42*F42/60</f>
        <v>#REF!</v>
      </c>
      <c r="H42" s="26">
        <v>0</v>
      </c>
      <c r="I42" s="27" t="e">
        <f t="shared" si="6"/>
        <v>#REF!</v>
      </c>
      <c r="J42" s="28">
        <f t="shared" si="7"/>
        <v>0</v>
      </c>
      <c r="K42" s="29"/>
      <c r="L42" s="27"/>
      <c r="M42" s="28"/>
    </row>
    <row r="43" spans="1:13">
      <c r="B43" s="32" t="s">
        <v>54</v>
      </c>
      <c r="C43" s="33"/>
      <c r="D43" s="34">
        <f t="shared" si="3"/>
        <v>2</v>
      </c>
      <c r="E43" s="1" t="e">
        <f>$C$14*$C$4/4</f>
        <v>#REF!</v>
      </c>
      <c r="F43" s="33"/>
      <c r="G43" s="25" t="e">
        <f>E43*$C$2/3/$C$8</f>
        <v>#REF!</v>
      </c>
      <c r="H43" s="43" t="e">
        <f>E43*$C$2/2</f>
        <v>#REF!</v>
      </c>
      <c r="I43" s="27" t="e">
        <f t="shared" si="6"/>
        <v>#REF!</v>
      </c>
      <c r="J43" s="37" t="e">
        <f t="shared" si="7"/>
        <v>#REF!</v>
      </c>
      <c r="K43" s="38"/>
      <c r="L43" s="36"/>
      <c r="M43" s="28"/>
    </row>
    <row r="44" spans="1:13">
      <c r="A44" t="s">
        <v>47</v>
      </c>
      <c r="B44" s="23" t="s">
        <v>55</v>
      </c>
      <c r="D44" s="34">
        <f t="shared" si="3"/>
        <v>2</v>
      </c>
      <c r="E44" s="1" t="e">
        <f>$C$15*$C$4/5</f>
        <v>#REF!</v>
      </c>
      <c r="F44">
        <f>10/D44</f>
        <v>5</v>
      </c>
      <c r="G44" s="25" t="e">
        <f>E44*F44/60</f>
        <v>#REF!</v>
      </c>
      <c r="H44" s="26">
        <v>0</v>
      </c>
      <c r="I44" s="27" t="e">
        <f t="shared" si="6"/>
        <v>#REF!</v>
      </c>
      <c r="J44" s="28">
        <f t="shared" si="7"/>
        <v>0</v>
      </c>
      <c r="K44" s="29"/>
      <c r="L44" s="27"/>
      <c r="M44" s="28"/>
    </row>
    <row r="45" spans="1:13">
      <c r="B45" s="23" t="s">
        <v>56</v>
      </c>
      <c r="D45" s="34">
        <f t="shared" si="3"/>
        <v>2</v>
      </c>
      <c r="E45" s="1" t="e">
        <f>$C$15*$C$4/5</f>
        <v>#REF!</v>
      </c>
      <c r="G45" s="25" t="e">
        <f>E45*$C$2/3/$C$8</f>
        <v>#REF!</v>
      </c>
      <c r="H45" s="42" t="e">
        <f>E45*$C$2/2</f>
        <v>#REF!</v>
      </c>
      <c r="I45" s="27" t="e">
        <f t="shared" si="6"/>
        <v>#REF!</v>
      </c>
      <c r="J45" s="28" t="e">
        <f t="shared" si="7"/>
        <v>#REF!</v>
      </c>
      <c r="K45" s="29"/>
      <c r="L45" s="27"/>
      <c r="M45" s="28"/>
    </row>
    <row r="46" spans="1:13">
      <c r="B46" s="23" t="s">
        <v>50</v>
      </c>
      <c r="C46" t="s">
        <v>51</v>
      </c>
      <c r="D46" s="34">
        <f t="shared" si="3"/>
        <v>2</v>
      </c>
      <c r="E46" s="1" t="e">
        <f>$C$15*$C$4</f>
        <v>#REF!</v>
      </c>
      <c r="F46">
        <f>10/D46</f>
        <v>5</v>
      </c>
      <c r="G46" s="25" t="e">
        <f>E46*F46/60</f>
        <v>#REF!</v>
      </c>
      <c r="H46" s="26">
        <v>0</v>
      </c>
      <c r="I46" s="27" t="e">
        <f t="shared" si="6"/>
        <v>#REF!</v>
      </c>
      <c r="J46" s="28">
        <f t="shared" si="7"/>
        <v>0</v>
      </c>
      <c r="K46" s="29"/>
      <c r="L46" s="27"/>
      <c r="M46" s="28"/>
    </row>
    <row r="47" spans="1:13">
      <c r="B47" s="23" t="s">
        <v>57</v>
      </c>
      <c r="D47" s="34">
        <f t="shared" si="3"/>
        <v>2</v>
      </c>
      <c r="E47" s="1" t="e">
        <f>$C$15*$C$4</f>
        <v>#REF!</v>
      </c>
      <c r="F47">
        <f>180/D47</f>
        <v>90</v>
      </c>
      <c r="G47" s="25" t="e">
        <f>E47*F47/60</f>
        <v>#REF!</v>
      </c>
      <c r="H47" s="26">
        <v>0</v>
      </c>
      <c r="I47" s="27" t="e">
        <f t="shared" si="6"/>
        <v>#REF!</v>
      </c>
      <c r="J47" s="28">
        <f t="shared" si="7"/>
        <v>0</v>
      </c>
      <c r="K47" s="29"/>
      <c r="L47" s="27"/>
      <c r="M47" s="28"/>
    </row>
    <row r="48" spans="1:13">
      <c r="B48" s="23" t="s">
        <v>53</v>
      </c>
      <c r="D48" s="34">
        <f t="shared" si="3"/>
        <v>2</v>
      </c>
      <c r="E48" s="1" t="e">
        <f>$C$15*$C$4</f>
        <v>#REF!</v>
      </c>
      <c r="F48">
        <f>10/D48</f>
        <v>5</v>
      </c>
      <c r="G48" s="25" t="e">
        <f>E48*F48/60</f>
        <v>#REF!</v>
      </c>
      <c r="H48" s="26">
        <v>0</v>
      </c>
      <c r="I48" s="27" t="e">
        <f t="shared" si="6"/>
        <v>#REF!</v>
      </c>
      <c r="J48" s="28">
        <f t="shared" si="7"/>
        <v>0</v>
      </c>
      <c r="K48" s="29"/>
      <c r="L48" s="27"/>
      <c r="M48" s="28"/>
    </row>
    <row r="49" spans="1:13">
      <c r="B49" s="32" t="s">
        <v>54</v>
      </c>
      <c r="C49" s="33"/>
      <c r="D49" s="34">
        <f t="shared" si="3"/>
        <v>2</v>
      </c>
      <c r="E49" s="1" t="e">
        <f>$C$15*$C$4/5</f>
        <v>#REF!</v>
      </c>
      <c r="F49" s="33"/>
      <c r="G49" s="25" t="e">
        <f>E49*$C$2/3/$C$8</f>
        <v>#REF!</v>
      </c>
      <c r="H49" s="43" t="e">
        <f>E49*$C$2/2</f>
        <v>#REF!</v>
      </c>
      <c r="I49" s="27" t="e">
        <f t="shared" si="6"/>
        <v>#REF!</v>
      </c>
      <c r="J49" s="37" t="e">
        <f t="shared" si="7"/>
        <v>#REF!</v>
      </c>
      <c r="K49" s="38"/>
      <c r="L49" s="36"/>
      <c r="M49" s="28"/>
    </row>
    <row r="50" spans="1:13">
      <c r="A50" t="s">
        <v>47</v>
      </c>
      <c r="B50" s="23" t="s">
        <v>58</v>
      </c>
      <c r="D50" s="34">
        <f t="shared" si="3"/>
        <v>2</v>
      </c>
      <c r="E50" s="1" t="e">
        <f>$C$15*$C$4/4</f>
        <v>#REF!</v>
      </c>
      <c r="F50">
        <f>10/D50</f>
        <v>5</v>
      </c>
      <c r="G50" s="25" t="e">
        <f>E50*F50/60</f>
        <v>#REF!</v>
      </c>
      <c r="H50" s="26">
        <v>0</v>
      </c>
      <c r="I50" s="27" t="e">
        <f t="shared" si="6"/>
        <v>#REF!</v>
      </c>
      <c r="J50" s="28">
        <f t="shared" ref="J50:J56" si="8">H50</f>
        <v>0</v>
      </c>
      <c r="K50" s="29"/>
      <c r="L50" s="27"/>
      <c r="M50" s="28"/>
    </row>
    <row r="51" spans="1:13">
      <c r="B51" s="23" t="s">
        <v>49</v>
      </c>
      <c r="D51" s="34">
        <f t="shared" si="3"/>
        <v>2</v>
      </c>
      <c r="E51" s="1" t="e">
        <f>$C$15*$C$4/4</f>
        <v>#REF!</v>
      </c>
      <c r="G51" s="25" t="e">
        <f>E51*$C$2/3/$C$8</f>
        <v>#REF!</v>
      </c>
      <c r="H51" s="42" t="e">
        <f>E51*$C$2/2</f>
        <v>#REF!</v>
      </c>
      <c r="I51" s="27" t="e">
        <f t="shared" si="6"/>
        <v>#REF!</v>
      </c>
      <c r="J51" s="28" t="e">
        <f t="shared" si="8"/>
        <v>#REF!</v>
      </c>
      <c r="K51" s="29"/>
      <c r="L51" s="27"/>
      <c r="M51" s="28"/>
    </row>
    <row r="52" spans="1:13">
      <c r="B52" s="23" t="s">
        <v>50</v>
      </c>
      <c r="C52" t="s">
        <v>51</v>
      </c>
      <c r="D52" s="34">
        <f t="shared" si="3"/>
        <v>2</v>
      </c>
      <c r="E52" s="1" t="e">
        <f>$C$15*$C$4</f>
        <v>#REF!</v>
      </c>
      <c r="F52">
        <f>10/D52</f>
        <v>5</v>
      </c>
      <c r="G52" s="25" t="e">
        <f>E52*F52/60</f>
        <v>#REF!</v>
      </c>
      <c r="H52" s="26">
        <v>0</v>
      </c>
      <c r="I52" s="27" t="e">
        <f t="shared" si="6"/>
        <v>#REF!</v>
      </c>
      <c r="J52" s="28">
        <f t="shared" si="8"/>
        <v>0</v>
      </c>
      <c r="K52" s="29"/>
      <c r="L52" s="27"/>
      <c r="M52" s="28"/>
    </row>
    <row r="53" spans="1:13">
      <c r="B53" s="23" t="s">
        <v>59</v>
      </c>
      <c r="D53" s="34">
        <f t="shared" si="3"/>
        <v>2</v>
      </c>
      <c r="E53" s="1" t="e">
        <f>$C$15*$C$4</f>
        <v>#REF!</v>
      </c>
      <c r="F53">
        <f>120/D53</f>
        <v>60</v>
      </c>
      <c r="G53" s="25" t="e">
        <f>E53*F53/60</f>
        <v>#REF!</v>
      </c>
      <c r="H53" s="26">
        <v>0</v>
      </c>
      <c r="I53" s="27" t="e">
        <f t="shared" si="6"/>
        <v>#REF!</v>
      </c>
      <c r="J53" s="28">
        <f t="shared" si="8"/>
        <v>0</v>
      </c>
      <c r="K53" s="29"/>
      <c r="L53" s="27"/>
      <c r="M53" s="28"/>
    </row>
    <row r="54" spans="1:13">
      <c r="B54" s="32" t="s">
        <v>53</v>
      </c>
      <c r="C54" s="33"/>
      <c r="D54" s="34">
        <f t="shared" si="3"/>
        <v>2</v>
      </c>
      <c r="E54" s="39" t="e">
        <f>$C$15*$C$4</f>
        <v>#REF!</v>
      </c>
      <c r="F54" s="33">
        <f>10/D54</f>
        <v>5</v>
      </c>
      <c r="G54" s="40" t="e">
        <f>E54*F54/60</f>
        <v>#REF!</v>
      </c>
      <c r="H54" s="35">
        <v>0</v>
      </c>
      <c r="I54" s="36" t="e">
        <f t="shared" si="6"/>
        <v>#REF!</v>
      </c>
      <c r="J54" s="37">
        <f t="shared" si="8"/>
        <v>0</v>
      </c>
      <c r="K54" s="29"/>
      <c r="L54" s="27"/>
      <c r="M54" s="28"/>
    </row>
    <row r="55" spans="1:13">
      <c r="B55" s="32" t="s">
        <v>54</v>
      </c>
      <c r="C55" s="33"/>
      <c r="D55" s="34">
        <f t="shared" si="3"/>
        <v>2</v>
      </c>
      <c r="E55" s="1" t="e">
        <f>$C$15*$C$4/4</f>
        <v>#REF!</v>
      </c>
      <c r="F55" s="33"/>
      <c r="G55" s="25" t="e">
        <f>E55*$C$2/3/$C$8</f>
        <v>#REF!</v>
      </c>
      <c r="H55" s="43" t="e">
        <f>E55*$C$2/2</f>
        <v>#REF!</v>
      </c>
      <c r="I55" s="27" t="e">
        <f t="shared" si="6"/>
        <v>#REF!</v>
      </c>
      <c r="J55" s="37" t="e">
        <f t="shared" si="8"/>
        <v>#REF!</v>
      </c>
      <c r="K55" s="38"/>
      <c r="L55" s="36"/>
      <c r="M55" s="28"/>
    </row>
    <row r="56" spans="1:13">
      <c r="B56" s="44" t="s">
        <v>60</v>
      </c>
      <c r="C56" s="45"/>
      <c r="D56" s="34">
        <f t="shared" si="3"/>
        <v>2</v>
      </c>
      <c r="E56" s="45"/>
      <c r="F56" s="45"/>
      <c r="G56" s="25">
        <f>$C$1/$C$7</f>
        <v>2.1428571428571428</v>
      </c>
      <c r="H56" s="46">
        <f>$C$1</f>
        <v>150</v>
      </c>
      <c r="I56" s="47">
        <f t="shared" si="6"/>
        <v>4.2857142857142856</v>
      </c>
      <c r="J56" s="48">
        <f t="shared" si="8"/>
        <v>150</v>
      </c>
      <c r="K56" s="49"/>
      <c r="L56" s="47"/>
      <c r="M56" s="28"/>
    </row>
    <row r="57" spans="1:13">
      <c r="B57" s="44" t="s">
        <v>61</v>
      </c>
      <c r="C57" s="45"/>
      <c r="D57" s="50"/>
      <c r="E57" s="51" t="e">
        <f>IF((CEILING((SUM(G27:G56)+SUM(G20:G21))/7.5/5,1)-1),CEILING((SUM(G27:G56)+SUM(G20:G21))/7.5/5-1,1),0)</f>
        <v>#REF!</v>
      </c>
      <c r="F57" s="45"/>
      <c r="G57" s="52"/>
      <c r="H57" s="46"/>
      <c r="I57" s="47" t="e">
        <f>E57*G56*2</f>
        <v>#REF!</v>
      </c>
      <c r="J57" s="47" t="e">
        <f>E57*H56*2</f>
        <v>#REF!</v>
      </c>
      <c r="K57" s="47"/>
      <c r="L57" s="47"/>
      <c r="M57" s="28"/>
    </row>
    <row r="58" spans="1:13">
      <c r="B58" s="23" t="s">
        <v>62</v>
      </c>
      <c r="D58" s="24">
        <v>2</v>
      </c>
      <c r="E58">
        <v>1</v>
      </c>
      <c r="G58" s="25">
        <f>E58*$C$1/$C$7</f>
        <v>2.1428571428571428</v>
      </c>
      <c r="H58" s="26">
        <f>E58*$C$1</f>
        <v>150</v>
      </c>
      <c r="I58" s="27"/>
      <c r="J58" s="28"/>
      <c r="K58" s="29"/>
      <c r="L58" s="27">
        <f>D58*G58</f>
        <v>4.2857142857142856</v>
      </c>
      <c r="M58" s="28">
        <f>H58</f>
        <v>150</v>
      </c>
    </row>
    <row r="59" spans="1:13">
      <c r="B59" s="32" t="s">
        <v>63</v>
      </c>
      <c r="C59" s="33"/>
      <c r="D59" s="34">
        <f>D58</f>
        <v>2</v>
      </c>
      <c r="E59" s="39" t="e">
        <f>IF((D59-1),$C$4/(D59-1),$C$4)</f>
        <v>#REF!</v>
      </c>
      <c r="F59">
        <v>10</v>
      </c>
      <c r="G59" s="40" t="e">
        <f>$C$2*4*2/$C$8+E59*F59/60</f>
        <v>#REF!</v>
      </c>
      <c r="H59" s="41" t="e">
        <f>E59*$C$2/3</f>
        <v>#REF!</v>
      </c>
      <c r="I59" s="36"/>
      <c r="J59" s="37"/>
      <c r="K59" s="29"/>
      <c r="L59" s="27" t="e">
        <f>D59*G59</f>
        <v>#REF!</v>
      </c>
      <c r="M59" s="28" t="e">
        <f>IF((D59-1),H59*(D59-1),H59)</f>
        <v>#REF!</v>
      </c>
    </row>
    <row r="60" spans="1:13">
      <c r="B60" s="23" t="s">
        <v>64</v>
      </c>
      <c r="D60" s="34">
        <f>D59</f>
        <v>2</v>
      </c>
      <c r="E60" s="1">
        <v>1</v>
      </c>
      <c r="G60" s="25">
        <f>E60*$C$1/$C$7</f>
        <v>2.1428571428571428</v>
      </c>
      <c r="H60" s="26">
        <f>E60*$C$1</f>
        <v>150</v>
      </c>
      <c r="I60" s="27"/>
      <c r="J60" s="28"/>
      <c r="K60" s="29"/>
      <c r="L60" s="27">
        <f>D60*G60</f>
        <v>4.2857142857142856</v>
      </c>
      <c r="M60" s="28">
        <f>H60</f>
        <v>150</v>
      </c>
    </row>
    <row r="61" spans="1:13">
      <c r="B61" s="44" t="s">
        <v>65</v>
      </c>
      <c r="C61" s="45"/>
      <c r="D61" s="50"/>
      <c r="E61" s="51" t="e">
        <f>IF((CEILING(SUM(G58:G60)/7.5/5,1)-1),CEILING(SUM(G58:G60)/7.5/5,1)-1,0)</f>
        <v>#REF!</v>
      </c>
      <c r="F61" s="45"/>
      <c r="G61" s="52"/>
      <c r="H61" s="46"/>
      <c r="I61" s="47"/>
      <c r="J61" s="47"/>
      <c r="K61" s="47"/>
      <c r="L61" s="47" t="e">
        <f>E61*G60*2</f>
        <v>#REF!</v>
      </c>
      <c r="M61" s="28" t="e">
        <f>E61*H60*2</f>
        <v>#REF!</v>
      </c>
    </row>
    <row r="62" spans="1:13">
      <c r="B62" s="23" t="s">
        <v>62</v>
      </c>
      <c r="D62" s="30">
        <v>1</v>
      </c>
      <c r="E62">
        <v>1</v>
      </c>
      <c r="G62" s="25">
        <f>E62*$C$1/$C$7</f>
        <v>2.1428571428571428</v>
      </c>
      <c r="H62" s="26">
        <f>E62*$C$1</f>
        <v>150</v>
      </c>
      <c r="I62" s="27"/>
      <c r="J62" s="28"/>
      <c r="K62" s="29"/>
      <c r="L62" s="27">
        <f>D62*G62</f>
        <v>2.1428571428571428</v>
      </c>
      <c r="M62" s="28">
        <f>H62</f>
        <v>150</v>
      </c>
    </row>
    <row r="63" spans="1:13">
      <c r="B63" s="44" t="s">
        <v>66</v>
      </c>
      <c r="C63" s="45"/>
      <c r="D63" s="50">
        <v>1</v>
      </c>
      <c r="E63" s="39" t="e">
        <f>$C$4</f>
        <v>#REF!</v>
      </c>
      <c r="F63" s="45">
        <v>20</v>
      </c>
      <c r="G63" s="40" t="e">
        <f>$C$2*4*2/$C$8+E63*F63/60</f>
        <v>#REF!</v>
      </c>
      <c r="H63" s="41" t="e">
        <f>E63*$C$2/3</f>
        <v>#REF!</v>
      </c>
      <c r="I63" s="47"/>
      <c r="J63" s="48"/>
      <c r="K63" s="29"/>
      <c r="L63" s="27" t="e">
        <f>D63*G63</f>
        <v>#REF!</v>
      </c>
      <c r="M63" s="28" t="e">
        <f>H63</f>
        <v>#REF!</v>
      </c>
    </row>
    <row r="64" spans="1:13">
      <c r="B64" s="44" t="s">
        <v>3</v>
      </c>
      <c r="C64" s="45"/>
      <c r="D64" s="50">
        <v>1</v>
      </c>
      <c r="E64" s="53">
        <v>1</v>
      </c>
      <c r="F64" s="45">
        <v>240</v>
      </c>
      <c r="G64" s="25">
        <f>E64*F64/60</f>
        <v>4</v>
      </c>
      <c r="H64" s="41"/>
      <c r="I64" s="47"/>
      <c r="J64" s="48"/>
      <c r="K64" s="29"/>
      <c r="L64" s="27">
        <f>D64*G64</f>
        <v>4</v>
      </c>
      <c r="M64" s="28">
        <f>H64</f>
        <v>0</v>
      </c>
    </row>
    <row r="65" spans="2:13">
      <c r="B65" s="23" t="s">
        <v>64</v>
      </c>
      <c r="D65" s="54">
        <v>1</v>
      </c>
      <c r="E65" s="1">
        <v>1</v>
      </c>
      <c r="G65" s="25">
        <f>E65*$C$1/$C$7</f>
        <v>2.1428571428571428</v>
      </c>
      <c r="H65" s="26">
        <f>E65*$C$1</f>
        <v>150</v>
      </c>
      <c r="I65" s="27"/>
      <c r="J65" s="28"/>
      <c r="K65" s="29"/>
      <c r="L65" s="27">
        <f>D65*G65</f>
        <v>2.1428571428571428</v>
      </c>
      <c r="M65" s="28">
        <f>H65</f>
        <v>150</v>
      </c>
    </row>
    <row r="66" spans="2:13">
      <c r="B66" s="44" t="s">
        <v>65</v>
      </c>
      <c r="C66" s="45"/>
      <c r="D66" s="50"/>
      <c r="E66" s="51" t="e">
        <f>IF((CEILING(SUM(G62:G65)/7.5/5,1)-1),CEILING(SUM(G62:G65)/7.5/5,1)-1,0)</f>
        <v>#REF!</v>
      </c>
      <c r="F66" s="45"/>
      <c r="G66" s="52"/>
      <c r="H66" s="46"/>
      <c r="I66" s="47"/>
      <c r="J66" s="47"/>
      <c r="K66" s="47"/>
      <c r="L66" s="47" t="e">
        <f>E66*G65*2</f>
        <v>#REF!</v>
      </c>
      <c r="M66" s="28" t="e">
        <f>E66*H65*2</f>
        <v>#REF!</v>
      </c>
    </row>
    <row r="67" spans="2:13">
      <c r="B67" s="23" t="s">
        <v>67</v>
      </c>
      <c r="D67" s="30">
        <v>2</v>
      </c>
      <c r="E67" t="e">
        <f>IF(E68,1,0)</f>
        <v>#REF!</v>
      </c>
      <c r="G67" s="25" t="e">
        <f>E67*$C$1/$C$7</f>
        <v>#REF!</v>
      </c>
      <c r="H67" s="26" t="e">
        <f>E67*$C$1</f>
        <v>#REF!</v>
      </c>
      <c r="I67" s="27"/>
      <c r="J67" s="28"/>
      <c r="K67" s="29"/>
      <c r="L67" s="27" t="e">
        <f>D67*G67</f>
        <v>#REF!</v>
      </c>
      <c r="M67" s="28" t="e">
        <f>H67</f>
        <v>#REF!</v>
      </c>
    </row>
    <row r="68" spans="2:13">
      <c r="B68" s="44" t="s">
        <v>68</v>
      </c>
      <c r="C68" s="45"/>
      <c r="D68" s="30">
        <v>2</v>
      </c>
      <c r="E68" s="39" t="e">
        <f>SUM(C12:C13)*0.15</f>
        <v>#REF!</v>
      </c>
      <c r="F68" s="45">
        <v>20</v>
      </c>
      <c r="G68" s="25" t="e">
        <f>E68*F68/60</f>
        <v>#REF!</v>
      </c>
      <c r="H68" s="41" t="e">
        <f>E68*$C$2/3</f>
        <v>#REF!</v>
      </c>
      <c r="I68" s="47"/>
      <c r="J68" s="48"/>
      <c r="K68" s="29"/>
      <c r="L68" s="27" t="e">
        <f>D68*G68</f>
        <v>#REF!</v>
      </c>
      <c r="M68" s="28" t="e">
        <f>H68</f>
        <v>#REF!</v>
      </c>
    </row>
    <row r="69" spans="2:13">
      <c r="B69" s="23" t="s">
        <v>64</v>
      </c>
      <c r="D69" s="30">
        <v>2</v>
      </c>
      <c r="E69" s="1" t="e">
        <f>IF(E68,1,0)</f>
        <v>#REF!</v>
      </c>
      <c r="G69" s="25" t="e">
        <f>E69*$C$1/$C$7</f>
        <v>#REF!</v>
      </c>
      <c r="H69" s="26" t="e">
        <f>E69*$C$1</f>
        <v>#REF!</v>
      </c>
      <c r="I69" s="27"/>
      <c r="J69" s="28"/>
      <c r="K69" s="29"/>
      <c r="L69" s="27" t="e">
        <f>D69*G69</f>
        <v>#REF!</v>
      </c>
      <c r="M69" s="28" t="e">
        <f>H69</f>
        <v>#REF!</v>
      </c>
    </row>
    <row r="70" spans="2:13">
      <c r="B70" s="44" t="s">
        <v>65</v>
      </c>
      <c r="C70" s="45"/>
      <c r="D70" s="50"/>
      <c r="E70" s="51" t="e">
        <f>IF((CEILING(SUM(G67:G69)/7.5/5,1)-1),CEILING(SUM(G67:G69)/7.5/5,1)-1,0)</f>
        <v>#REF!</v>
      </c>
      <c r="F70" s="45"/>
      <c r="G70" s="52"/>
      <c r="H70" s="46"/>
      <c r="I70" s="47"/>
      <c r="J70" s="47"/>
      <c r="K70" s="47"/>
      <c r="L70" s="47" t="e">
        <f>E70*G69*2</f>
        <v>#REF!</v>
      </c>
      <c r="M70" s="28" t="e">
        <f>E70*H69*2</f>
        <v>#REF!</v>
      </c>
    </row>
    <row r="71" spans="2:13">
      <c r="B71" s="23" t="s">
        <v>69</v>
      </c>
      <c r="I71" s="29" t="e">
        <f>SUM(I20:I66)</f>
        <v>#REF!</v>
      </c>
      <c r="J71" s="28" t="e">
        <f>SUM(J20:J66)</f>
        <v>#REF!</v>
      </c>
      <c r="K71" s="29"/>
      <c r="L71" s="29" t="e">
        <f>SUM(L20:L66)</f>
        <v>#REF!</v>
      </c>
      <c r="M71" s="28" t="e">
        <f>SUM(M20:M66)</f>
        <v>#REF!</v>
      </c>
    </row>
    <row r="72" spans="2:13">
      <c r="B72" s="23" t="s">
        <v>70</v>
      </c>
      <c r="I72" s="29" t="e">
        <f>CEILING(SUM(G20:G56)/7.5,1)</f>
        <v>#REF!</v>
      </c>
      <c r="J72" s="28"/>
      <c r="K72" s="29"/>
      <c r="L72" s="29" t="e">
        <f>CEILING((SUM(G58:G65)+SUM(G20:G26)+G28)/7.5,1)</f>
        <v>#REF!</v>
      </c>
      <c r="M72" s="28"/>
    </row>
    <row r="73" spans="2:13">
      <c r="B73" s="23" t="s">
        <v>71</v>
      </c>
      <c r="I73" s="29" t="e">
        <f>I72/5</f>
        <v>#REF!</v>
      </c>
      <c r="J73" s="3"/>
      <c r="K73" s="1"/>
      <c r="L73" s="29" t="e">
        <f>L72/5</f>
        <v>#REF!</v>
      </c>
      <c r="M73" s="3"/>
    </row>
    <row r="74" spans="2:13" s="55" customFormat="1" ht="16">
      <c r="B74" s="56" t="s">
        <v>72</v>
      </c>
      <c r="C74" s="57"/>
      <c r="D74" s="57"/>
      <c r="E74" s="57"/>
      <c r="F74" s="57"/>
      <c r="G74" s="57"/>
      <c r="H74" s="57"/>
      <c r="I74" s="58" t="e">
        <f>CEILING(SUM(G20:G66)/7.5,1)</f>
        <v>#REF!</v>
      </c>
      <c r="J74" s="59"/>
      <c r="K74" s="60"/>
      <c r="L74" s="57"/>
      <c r="M74" s="59"/>
    </row>
  </sheetData>
  <mergeCells count="1">
    <mergeCell ref="I18:J18"/>
  </mergeCells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85"/>
  <sheetViews>
    <sheetView zoomScale="75" zoomScaleNormal="75" zoomScaleSheetLayoutView="75" zoomScalePageLayoutView="75" workbookViewId="0">
      <pane ySplit="3" topLeftCell="A76" activePane="bottomLeft" state="frozen"/>
      <selection pane="bottomLeft" activeCell="E32" sqref="E32"/>
    </sheetView>
  </sheetViews>
  <sheetFormatPr baseColWidth="10" defaultColWidth="8.6640625" defaultRowHeight="13"/>
  <cols>
    <col min="1" max="1" width="4" style="61" customWidth="1"/>
    <col min="2" max="2" width="11" style="61" customWidth="1"/>
    <col min="3" max="3" width="3.83203125" style="62" customWidth="1"/>
    <col min="4" max="4" width="38.1640625" style="61" customWidth="1"/>
    <col min="5" max="5" width="4.5" style="63" customWidth="1"/>
    <col min="6" max="6" width="6.5" style="64" customWidth="1"/>
    <col min="7" max="7" width="10.6640625" style="65" customWidth="1"/>
    <col min="8" max="8" width="4.5" style="61" customWidth="1"/>
    <col min="9" max="9" width="6.83203125" style="64" customWidth="1"/>
    <col min="10" max="11" width="12.5" style="65" customWidth="1"/>
    <col min="12" max="16384" width="8.6640625" style="61"/>
  </cols>
  <sheetData>
    <row r="1" spans="1:12" s="66" customFormat="1" ht="37.5" customHeight="1">
      <c r="A1" s="304" t="s">
        <v>73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</row>
    <row r="2" spans="1:12" s="68" customFormat="1" ht="12.75" customHeight="1">
      <c r="A2" s="67" t="s">
        <v>74</v>
      </c>
      <c r="D2" s="69">
        <v>37503</v>
      </c>
      <c r="E2" s="70"/>
      <c r="F2" s="71"/>
      <c r="I2" s="71"/>
      <c r="J2" s="72" t="s">
        <v>75</v>
      </c>
      <c r="K2" s="73">
        <v>0</v>
      </c>
    </row>
    <row r="3" spans="1:12" s="76" customFormat="1" ht="39" customHeight="1">
      <c r="A3" s="74" t="s">
        <v>76</v>
      </c>
      <c r="B3" s="305" t="s">
        <v>77</v>
      </c>
      <c r="C3" s="305"/>
      <c r="D3" s="74" t="s">
        <v>78</v>
      </c>
      <c r="E3" s="74" t="s">
        <v>79</v>
      </c>
      <c r="F3" s="74" t="s">
        <v>80</v>
      </c>
      <c r="G3" s="75" t="s">
        <v>81</v>
      </c>
      <c r="H3" s="74" t="s">
        <v>79</v>
      </c>
      <c r="I3" s="74" t="s">
        <v>80</v>
      </c>
      <c r="J3" s="75" t="s">
        <v>81</v>
      </c>
      <c r="K3" s="75" t="s">
        <v>82</v>
      </c>
    </row>
    <row r="4" spans="1:12" ht="12.75" customHeight="1">
      <c r="A4" s="77"/>
      <c r="B4" s="77"/>
      <c r="C4" s="77"/>
      <c r="D4" s="77"/>
      <c r="E4" s="77"/>
      <c r="F4" s="78"/>
      <c r="G4" s="79"/>
      <c r="H4" s="77"/>
      <c r="I4" s="78"/>
      <c r="J4" s="79"/>
      <c r="K4" s="79"/>
    </row>
    <row r="5" spans="1:12" s="66" customFormat="1">
      <c r="A5" s="80" t="s">
        <v>83</v>
      </c>
      <c r="B5" s="81"/>
      <c r="C5" s="81"/>
      <c r="D5" s="82" t="s">
        <v>84</v>
      </c>
      <c r="E5" s="83"/>
      <c r="F5" s="84"/>
      <c r="G5" s="85"/>
      <c r="H5" s="83"/>
      <c r="I5" s="84"/>
      <c r="J5" s="85"/>
      <c r="K5" s="85"/>
    </row>
    <row r="6" spans="1:12" s="66" customFormat="1" ht="14">
      <c r="A6" s="80" t="s">
        <v>85</v>
      </c>
      <c r="B6" s="81"/>
      <c r="C6" s="81"/>
      <c r="D6" s="86" t="s">
        <v>86</v>
      </c>
      <c r="E6" s="83"/>
      <c r="F6" s="84"/>
      <c r="G6" s="85"/>
      <c r="H6" s="83"/>
      <c r="I6" s="84"/>
      <c r="J6" s="85"/>
      <c r="K6" s="85"/>
    </row>
    <row r="7" spans="1:12" s="66" customFormat="1" ht="14">
      <c r="A7" s="80" t="s">
        <v>87</v>
      </c>
      <c r="B7" s="81"/>
      <c r="C7" s="81"/>
      <c r="D7" s="87" t="s">
        <v>88</v>
      </c>
      <c r="E7" s="83"/>
      <c r="F7" s="84"/>
      <c r="G7" s="85"/>
      <c r="H7" s="83"/>
      <c r="I7" s="84"/>
      <c r="J7" s="85"/>
      <c r="K7" s="85"/>
    </row>
    <row r="8" spans="1:12" s="66" customFormat="1" ht="14">
      <c r="A8" s="80" t="s">
        <v>89</v>
      </c>
      <c r="B8" s="81"/>
      <c r="C8" s="81"/>
      <c r="D8" s="87" t="s">
        <v>88</v>
      </c>
      <c r="E8" s="83"/>
      <c r="F8" s="84"/>
      <c r="G8" s="85"/>
      <c r="H8" s="83"/>
      <c r="I8" s="84"/>
      <c r="J8" s="85"/>
      <c r="K8" s="85"/>
    </row>
    <row r="9" spans="1:12" s="66" customFormat="1" ht="14">
      <c r="A9" s="80" t="s">
        <v>90</v>
      </c>
      <c r="B9" s="81"/>
      <c r="C9" s="81"/>
      <c r="D9" s="86" t="s">
        <v>91</v>
      </c>
      <c r="E9" s="83"/>
      <c r="F9" s="84"/>
      <c r="G9" s="85"/>
      <c r="H9" s="83"/>
      <c r="I9" s="84"/>
      <c r="J9" s="85"/>
      <c r="K9" s="85"/>
    </row>
    <row r="10" spans="1:12" s="66" customFormat="1" ht="15" customHeight="1">
      <c r="A10" s="88"/>
      <c r="B10" s="81"/>
      <c r="C10" s="81"/>
      <c r="D10" s="89"/>
      <c r="E10" s="83"/>
      <c r="F10" s="84"/>
      <c r="G10" s="85"/>
      <c r="H10" s="83"/>
      <c r="I10" s="84"/>
      <c r="J10" s="85"/>
      <c r="K10" s="85"/>
    </row>
    <row r="11" spans="1:12" s="98" customFormat="1" ht="15" customHeight="1">
      <c r="A11" s="90" t="s">
        <v>92</v>
      </c>
      <c r="B11" s="91"/>
      <c r="C11" s="92"/>
      <c r="D11" s="93"/>
      <c r="E11" s="94"/>
      <c r="F11" s="95"/>
      <c r="G11" s="96"/>
      <c r="H11" s="94"/>
      <c r="I11" s="95"/>
      <c r="J11" s="96"/>
      <c r="K11" s="96"/>
      <c r="L11" s="97"/>
    </row>
    <row r="12" spans="1:12" s="98" customFormat="1" ht="15" customHeight="1">
      <c r="A12" s="99"/>
      <c r="B12" s="100"/>
      <c r="C12" s="101"/>
      <c r="E12" s="102"/>
      <c r="F12" s="103"/>
      <c r="G12" s="104"/>
      <c r="H12" s="102"/>
      <c r="I12" s="103"/>
      <c r="J12" s="104"/>
      <c r="K12" s="104"/>
      <c r="L12" s="97"/>
    </row>
    <row r="13" spans="1:12" s="98" customFormat="1">
      <c r="A13" s="105" t="s">
        <v>93</v>
      </c>
      <c r="B13" s="103"/>
      <c r="C13" s="101"/>
      <c r="D13" s="106"/>
      <c r="E13" s="102"/>
      <c r="F13" s="103"/>
      <c r="G13" s="104"/>
      <c r="H13" s="107"/>
      <c r="I13" s="103"/>
      <c r="J13" s="104"/>
      <c r="K13" s="104"/>
      <c r="L13" s="97"/>
    </row>
    <row r="14" spans="1:12" s="98" customFormat="1" ht="13" customHeight="1">
      <c r="A14" s="108">
        <v>1</v>
      </c>
      <c r="B14" s="303"/>
      <c r="C14" s="303"/>
      <c r="D14" s="109" t="s">
        <v>94</v>
      </c>
      <c r="E14" s="110" t="s">
        <v>27</v>
      </c>
      <c r="F14" s="111">
        <v>30</v>
      </c>
      <c r="G14" s="112">
        <v>203</v>
      </c>
      <c r="H14" s="108"/>
      <c r="I14" s="109" t="s">
        <v>95</v>
      </c>
      <c r="J14" s="113">
        <f>(G14*0.35)</f>
        <v>71.05</v>
      </c>
      <c r="K14" s="113">
        <f>(F14*G14)+(F14*J14)</f>
        <v>8221.5</v>
      </c>
      <c r="L14" s="97"/>
    </row>
    <row r="15" spans="1:12" s="98" customFormat="1">
      <c r="A15" s="105" t="s">
        <v>96</v>
      </c>
      <c r="B15" s="103"/>
      <c r="C15" s="101"/>
      <c r="D15" s="106"/>
      <c r="E15" s="102"/>
      <c r="F15" s="114"/>
      <c r="G15" s="104"/>
      <c r="H15" s="107"/>
      <c r="I15" s="103"/>
      <c r="J15" s="104"/>
      <c r="K15" s="104"/>
      <c r="L15" s="97"/>
    </row>
    <row r="16" spans="1:12" s="98" customFormat="1" ht="13" customHeight="1">
      <c r="A16" s="108">
        <v>2</v>
      </c>
      <c r="B16" s="303"/>
      <c r="C16" s="303"/>
      <c r="D16" s="109" t="s">
        <v>97</v>
      </c>
      <c r="E16" s="110" t="s">
        <v>27</v>
      </c>
      <c r="F16" s="111">
        <v>0</v>
      </c>
      <c r="G16" s="113">
        <v>114.3</v>
      </c>
      <c r="H16" s="108"/>
      <c r="I16" s="109" t="s">
        <v>95</v>
      </c>
      <c r="J16" s="113">
        <f>(G16*0.35)</f>
        <v>40.004999999999995</v>
      </c>
      <c r="K16" s="113">
        <f>(F16*G16)+(F16*J16)</f>
        <v>0</v>
      </c>
      <c r="L16" s="97"/>
    </row>
    <row r="17" spans="1:12" s="98" customFormat="1">
      <c r="A17" s="105" t="s">
        <v>98</v>
      </c>
      <c r="B17" s="100"/>
      <c r="C17" s="101"/>
      <c r="E17" s="115"/>
      <c r="F17" s="114"/>
      <c r="G17" s="104"/>
      <c r="H17" s="102"/>
      <c r="I17" s="103"/>
      <c r="J17" s="104"/>
      <c r="K17" s="104"/>
      <c r="L17" s="97"/>
    </row>
    <row r="18" spans="1:12" s="98" customFormat="1" ht="13" customHeight="1">
      <c r="A18" s="108">
        <v>3</v>
      </c>
      <c r="B18" s="303"/>
      <c r="C18" s="303"/>
      <c r="D18" s="109" t="s">
        <v>99</v>
      </c>
      <c r="E18" s="110" t="s">
        <v>27</v>
      </c>
      <c r="F18" s="111" t="e">
        <f>'Doba instalace'!L71</f>
        <v>#REF!</v>
      </c>
      <c r="G18" s="116">
        <v>89</v>
      </c>
      <c r="H18" s="108"/>
      <c r="I18" s="109" t="s">
        <v>95</v>
      </c>
      <c r="J18" s="113">
        <f>(G18*0.35)</f>
        <v>31.15</v>
      </c>
      <c r="K18" s="113" t="e">
        <f>(F18*G18)+(F18*J18)</f>
        <v>#REF!</v>
      </c>
      <c r="L18" s="97"/>
    </row>
    <row r="19" spans="1:12" s="98" customFormat="1">
      <c r="A19" s="105" t="s">
        <v>100</v>
      </c>
      <c r="B19" s="100"/>
      <c r="C19" s="101"/>
      <c r="E19" s="115"/>
      <c r="F19" s="114"/>
      <c r="G19" s="104"/>
      <c r="H19" s="102"/>
      <c r="I19" s="103"/>
      <c r="J19" s="104"/>
      <c r="K19" s="104"/>
      <c r="L19" s="97"/>
    </row>
    <row r="20" spans="1:12" s="98" customFormat="1" ht="13" customHeight="1">
      <c r="A20" s="108"/>
      <c r="B20" s="303"/>
      <c r="C20" s="303"/>
      <c r="D20" s="109" t="s">
        <v>99</v>
      </c>
      <c r="E20" s="110" t="s">
        <v>27</v>
      </c>
      <c r="F20" s="111" t="e">
        <f>'Doba instalace'!I71</f>
        <v>#REF!</v>
      </c>
      <c r="G20" s="116">
        <v>127</v>
      </c>
      <c r="H20" s="108"/>
      <c r="I20" s="109" t="s">
        <v>95</v>
      </c>
      <c r="J20" s="113">
        <f>(G20*0.35)</f>
        <v>44.449999999999996</v>
      </c>
      <c r="K20" s="113" t="e">
        <f>(F20*G20)+(F20*J20)</f>
        <v>#REF!</v>
      </c>
      <c r="L20" s="97"/>
    </row>
    <row r="21" spans="1:12" s="98" customFormat="1" ht="13" customHeight="1">
      <c r="A21" s="102"/>
      <c r="B21" s="102"/>
      <c r="C21" s="102"/>
      <c r="E21" s="115"/>
      <c r="F21" s="114"/>
      <c r="G21" s="104"/>
      <c r="H21" s="102"/>
      <c r="J21" s="104"/>
      <c r="K21" s="104"/>
      <c r="L21" s="97"/>
    </row>
    <row r="22" spans="1:12" s="98" customFormat="1" ht="13" customHeight="1">
      <c r="A22" s="117" t="s">
        <v>101</v>
      </c>
      <c r="B22" s="118"/>
      <c r="C22" s="118"/>
      <c r="D22" s="119"/>
      <c r="E22" s="120"/>
      <c r="F22" s="121"/>
      <c r="G22" s="122"/>
      <c r="H22" s="118"/>
      <c r="I22" s="119"/>
      <c r="J22" s="122"/>
      <c r="K22" s="123" t="e">
        <f>SUM(K14:K20)</f>
        <v>#REF!</v>
      </c>
      <c r="L22" s="97"/>
    </row>
    <row r="23" spans="1:12" s="98" customFormat="1" ht="13" customHeight="1">
      <c r="A23" s="124"/>
      <c r="B23" s="102"/>
      <c r="C23" s="102"/>
      <c r="E23" s="115"/>
      <c r="F23" s="114"/>
      <c r="G23" s="104"/>
      <c r="H23" s="102"/>
      <c r="J23" s="104"/>
      <c r="K23" s="104"/>
      <c r="L23" s="97"/>
    </row>
    <row r="24" spans="1:12" s="98" customFormat="1">
      <c r="A24" s="105" t="s">
        <v>102</v>
      </c>
      <c r="B24" s="103"/>
      <c r="C24" s="101"/>
      <c r="D24" s="106"/>
      <c r="E24" s="102"/>
      <c r="F24" s="103"/>
      <c r="G24" s="104"/>
      <c r="H24" s="107"/>
      <c r="I24" s="103"/>
      <c r="J24" s="104"/>
      <c r="K24" s="104"/>
      <c r="L24" s="97"/>
    </row>
    <row r="25" spans="1:12" s="98" customFormat="1" ht="13" customHeight="1">
      <c r="A25" s="108">
        <v>4</v>
      </c>
      <c r="B25" s="307" t="s">
        <v>103</v>
      </c>
      <c r="C25" s="307"/>
      <c r="D25" s="125" t="s">
        <v>104</v>
      </c>
      <c r="E25" s="108" t="s">
        <v>105</v>
      </c>
      <c r="F25" s="126">
        <v>0</v>
      </c>
      <c r="G25" s="113">
        <v>584</v>
      </c>
      <c r="H25" s="108" t="s">
        <v>26</v>
      </c>
      <c r="I25" s="126">
        <v>0</v>
      </c>
      <c r="J25" s="113">
        <v>1.95</v>
      </c>
      <c r="K25" s="113">
        <f t="shared" ref="K25:K35" si="0">(F25*G25)+(I25*J25)</f>
        <v>0</v>
      </c>
      <c r="L25" s="97"/>
    </row>
    <row r="26" spans="1:12" s="98" customFormat="1" ht="12.75" customHeight="1">
      <c r="A26" s="108">
        <v>5</v>
      </c>
      <c r="B26" s="307" t="s">
        <v>106</v>
      </c>
      <c r="C26" s="307"/>
      <c r="D26" s="125" t="s">
        <v>107</v>
      </c>
      <c r="E26" s="108" t="s">
        <v>105</v>
      </c>
      <c r="F26" s="126">
        <v>0</v>
      </c>
      <c r="G26" s="113">
        <v>397</v>
      </c>
      <c r="H26" s="108" t="s">
        <v>26</v>
      </c>
      <c r="I26" s="126">
        <v>0</v>
      </c>
      <c r="J26" s="113">
        <v>1.3</v>
      </c>
      <c r="K26" s="113">
        <f t="shared" si="0"/>
        <v>0</v>
      </c>
      <c r="L26" s="97"/>
    </row>
    <row r="27" spans="1:12" s="98" customFormat="1" ht="13" customHeight="1">
      <c r="A27" s="108">
        <v>6</v>
      </c>
      <c r="B27" s="307" t="s">
        <v>108</v>
      </c>
      <c r="C27" s="307"/>
      <c r="D27" s="125" t="s">
        <v>109</v>
      </c>
      <c r="E27" s="108" t="s">
        <v>105</v>
      </c>
      <c r="F27" s="126">
        <v>0</v>
      </c>
      <c r="G27" s="113">
        <v>281</v>
      </c>
      <c r="H27" s="108" t="s">
        <v>26</v>
      </c>
      <c r="I27" s="126">
        <v>0</v>
      </c>
      <c r="J27" s="113">
        <v>2.5</v>
      </c>
      <c r="K27" s="113">
        <f t="shared" si="0"/>
        <v>0</v>
      </c>
      <c r="L27" s="97"/>
    </row>
    <row r="28" spans="1:12" s="98" customFormat="1" ht="12.75" customHeight="1">
      <c r="A28" s="108">
        <v>7</v>
      </c>
      <c r="B28" s="127" t="s">
        <v>110</v>
      </c>
      <c r="C28" s="128"/>
      <c r="D28" s="129" t="s">
        <v>111</v>
      </c>
      <c r="E28" s="108" t="s">
        <v>105</v>
      </c>
      <c r="F28" s="126">
        <v>0</v>
      </c>
      <c r="G28" s="113">
        <v>203</v>
      </c>
      <c r="H28" s="108" t="s">
        <v>26</v>
      </c>
      <c r="I28" s="126">
        <v>0</v>
      </c>
      <c r="J28" s="113">
        <v>2.5499999999999998</v>
      </c>
      <c r="K28" s="113">
        <f t="shared" si="0"/>
        <v>0</v>
      </c>
      <c r="L28" s="97"/>
    </row>
    <row r="29" spans="1:12" s="98" customFormat="1" ht="12.75" customHeight="1">
      <c r="A29" s="108">
        <v>8</v>
      </c>
      <c r="B29" s="127" t="s">
        <v>112</v>
      </c>
      <c r="C29" s="128"/>
      <c r="D29" s="129" t="s">
        <v>113</v>
      </c>
      <c r="E29" s="108" t="s">
        <v>105</v>
      </c>
      <c r="F29" s="126">
        <v>0</v>
      </c>
      <c r="G29" s="113">
        <v>130</v>
      </c>
      <c r="H29" s="108" t="s">
        <v>26</v>
      </c>
      <c r="I29" s="126">
        <v>0</v>
      </c>
      <c r="J29" s="113">
        <v>1.75</v>
      </c>
      <c r="K29" s="113">
        <f t="shared" si="0"/>
        <v>0</v>
      </c>
      <c r="L29" s="97"/>
    </row>
    <row r="30" spans="1:12" s="98" customFormat="1" ht="12.75" customHeight="1">
      <c r="A30" s="108">
        <v>9</v>
      </c>
      <c r="B30" s="308" t="s">
        <v>114</v>
      </c>
      <c r="C30" s="308"/>
      <c r="D30" s="129" t="s">
        <v>115</v>
      </c>
      <c r="E30" s="108" t="s">
        <v>105</v>
      </c>
      <c r="F30" s="126">
        <v>0</v>
      </c>
      <c r="G30" s="113">
        <v>130</v>
      </c>
      <c r="H30" s="108" t="s">
        <v>26</v>
      </c>
      <c r="I30" s="126">
        <v>0</v>
      </c>
      <c r="J30" s="113">
        <v>1.75</v>
      </c>
      <c r="K30" s="113">
        <f t="shared" si="0"/>
        <v>0</v>
      </c>
      <c r="L30" s="97"/>
    </row>
    <row r="31" spans="1:12" s="98" customFormat="1" ht="12.75" customHeight="1">
      <c r="A31" s="108">
        <v>10</v>
      </c>
      <c r="B31" s="127" t="s">
        <v>116</v>
      </c>
      <c r="C31" s="128"/>
      <c r="D31" s="129" t="s">
        <v>117</v>
      </c>
      <c r="E31" s="108" t="s">
        <v>105</v>
      </c>
      <c r="F31" s="126" t="e">
        <f>4+'Doba instalace'!I72</f>
        <v>#REF!</v>
      </c>
      <c r="G31" s="113">
        <v>215</v>
      </c>
      <c r="H31" s="108" t="s">
        <v>26</v>
      </c>
      <c r="I31" s="126" t="e">
        <f>400+'Doba instalace'!J71</f>
        <v>#REF!</v>
      </c>
      <c r="J31" s="113">
        <v>1.5</v>
      </c>
      <c r="K31" s="113" t="e">
        <f t="shared" si="0"/>
        <v>#REF!</v>
      </c>
      <c r="L31" s="97"/>
    </row>
    <row r="32" spans="1:12" s="98" customFormat="1" ht="12.75" customHeight="1">
      <c r="A32" s="108">
        <v>11</v>
      </c>
      <c r="B32" s="127" t="s">
        <v>118</v>
      </c>
      <c r="C32" s="128"/>
      <c r="D32" s="129" t="s">
        <v>119</v>
      </c>
      <c r="E32" s="108" t="s">
        <v>105</v>
      </c>
      <c r="F32" s="126" t="e">
        <f>'Doba instalace'!L72</f>
        <v>#REF!</v>
      </c>
      <c r="G32" s="113">
        <v>397</v>
      </c>
      <c r="H32" s="108" t="s">
        <v>26</v>
      </c>
      <c r="I32" s="126" t="e">
        <f>'Doba instalace'!M71</f>
        <v>#REF!</v>
      </c>
      <c r="J32" s="113">
        <v>1.3</v>
      </c>
      <c r="K32" s="113" t="e">
        <f t="shared" si="0"/>
        <v>#REF!</v>
      </c>
      <c r="L32" s="97"/>
    </row>
    <row r="33" spans="1:12" s="98" customFormat="1" ht="12.75" customHeight="1">
      <c r="A33" s="108">
        <v>12</v>
      </c>
      <c r="B33" s="127" t="s">
        <v>120</v>
      </c>
      <c r="C33" s="128"/>
      <c r="D33" s="129" t="s">
        <v>121</v>
      </c>
      <c r="E33" s="108" t="s">
        <v>105</v>
      </c>
      <c r="F33" s="126">
        <v>0</v>
      </c>
      <c r="G33" s="113">
        <v>130</v>
      </c>
      <c r="H33" s="108" t="s">
        <v>26</v>
      </c>
      <c r="I33" s="126">
        <v>0</v>
      </c>
      <c r="J33" s="113">
        <v>1.75</v>
      </c>
      <c r="K33" s="113">
        <f t="shared" si="0"/>
        <v>0</v>
      </c>
      <c r="L33" s="97"/>
    </row>
    <row r="34" spans="1:12" s="98" customFormat="1" ht="12.75" customHeight="1">
      <c r="A34" s="108">
        <v>13</v>
      </c>
      <c r="B34" s="308" t="s">
        <v>122</v>
      </c>
      <c r="C34" s="308"/>
      <c r="D34" s="129" t="s">
        <v>123</v>
      </c>
      <c r="E34" s="108" t="s">
        <v>105</v>
      </c>
      <c r="F34" s="126">
        <v>0</v>
      </c>
      <c r="G34" s="113">
        <v>449</v>
      </c>
      <c r="H34" s="108" t="s">
        <v>26</v>
      </c>
      <c r="I34" s="126">
        <v>0</v>
      </c>
      <c r="J34" s="113">
        <v>1.05</v>
      </c>
      <c r="K34" s="113">
        <f t="shared" si="0"/>
        <v>0</v>
      </c>
      <c r="L34" s="97"/>
    </row>
    <row r="35" spans="1:12" s="98" customFormat="1" ht="12.75" customHeight="1">
      <c r="A35" s="108">
        <v>14</v>
      </c>
      <c r="B35" s="308" t="s">
        <v>124</v>
      </c>
      <c r="C35" s="308"/>
      <c r="D35" s="129" t="s">
        <v>125</v>
      </c>
      <c r="E35" s="108" t="s">
        <v>105</v>
      </c>
      <c r="F35" s="126">
        <v>0</v>
      </c>
      <c r="G35" s="113">
        <v>391</v>
      </c>
      <c r="H35" s="108" t="s">
        <v>26</v>
      </c>
      <c r="I35" s="126">
        <v>0</v>
      </c>
      <c r="J35" s="113">
        <v>2.2999999999999998</v>
      </c>
      <c r="K35" s="113">
        <f t="shared" si="0"/>
        <v>0</v>
      </c>
      <c r="L35" s="97"/>
    </row>
    <row r="36" spans="1:12" s="98" customFormat="1">
      <c r="A36" s="105" t="s">
        <v>126</v>
      </c>
      <c r="B36" s="103"/>
      <c r="C36" s="101"/>
      <c r="D36" s="106"/>
      <c r="E36" s="102"/>
      <c r="F36" s="103"/>
      <c r="G36" s="104"/>
      <c r="H36" s="107"/>
      <c r="I36" s="103"/>
      <c r="J36" s="104"/>
      <c r="K36" s="104"/>
      <c r="L36" s="97"/>
    </row>
    <row r="37" spans="1:12" s="98" customFormat="1" ht="13" customHeight="1">
      <c r="A37" s="108">
        <v>15</v>
      </c>
      <c r="B37" s="306" t="s">
        <v>127</v>
      </c>
      <c r="C37" s="306"/>
      <c r="D37" s="127" t="s">
        <v>128</v>
      </c>
      <c r="E37" s="108" t="s">
        <v>26</v>
      </c>
      <c r="F37" s="126">
        <v>0</v>
      </c>
      <c r="G37" s="113">
        <v>1.8</v>
      </c>
      <c r="H37" s="108" t="s">
        <v>26</v>
      </c>
      <c r="I37" s="109">
        <f>SUM(F37)</f>
        <v>0</v>
      </c>
      <c r="J37" s="113">
        <v>3.3</v>
      </c>
      <c r="K37" s="113">
        <f>F37*(G37+J37)</f>
        <v>0</v>
      </c>
      <c r="L37" s="97"/>
    </row>
    <row r="38" spans="1:12" s="98" customFormat="1" ht="13" customHeight="1">
      <c r="A38" s="108">
        <v>16</v>
      </c>
      <c r="B38" s="306" t="s">
        <v>127</v>
      </c>
      <c r="C38" s="306"/>
      <c r="D38" s="127" t="s">
        <v>129</v>
      </c>
      <c r="E38" s="108" t="s">
        <v>26</v>
      </c>
      <c r="F38" s="126">
        <v>0</v>
      </c>
      <c r="G38" s="113">
        <v>2.4</v>
      </c>
      <c r="H38" s="108" t="s">
        <v>26</v>
      </c>
      <c r="I38" s="109">
        <f>SUM(F38)</f>
        <v>0</v>
      </c>
      <c r="J38" s="113">
        <v>3.3</v>
      </c>
      <c r="K38" s="113">
        <f>F38*(G38+J38)</f>
        <v>0</v>
      </c>
      <c r="L38" s="97"/>
    </row>
    <row r="39" spans="1:12" s="98" customFormat="1" ht="13" customHeight="1">
      <c r="A39" s="108">
        <v>17</v>
      </c>
      <c r="B39" s="306" t="s">
        <v>127</v>
      </c>
      <c r="C39" s="306"/>
      <c r="D39" s="127" t="s">
        <v>130</v>
      </c>
      <c r="E39" s="108" t="s">
        <v>26</v>
      </c>
      <c r="F39" s="126">
        <v>0</v>
      </c>
      <c r="G39" s="113">
        <v>3</v>
      </c>
      <c r="H39" s="108" t="s">
        <v>26</v>
      </c>
      <c r="I39" s="109">
        <f>SUM(F39)</f>
        <v>0</v>
      </c>
      <c r="J39" s="113">
        <v>3.3</v>
      </c>
      <c r="K39" s="113">
        <f>F39*(G39+J39)</f>
        <v>0</v>
      </c>
      <c r="L39" s="97"/>
    </row>
    <row r="40" spans="1:12" s="98" customFormat="1" ht="13" customHeight="1">
      <c r="A40" s="102"/>
      <c r="B40" s="102"/>
      <c r="C40" s="102"/>
      <c r="E40" s="115"/>
      <c r="F40" s="114"/>
      <c r="G40" s="104"/>
      <c r="H40" s="102"/>
      <c r="J40" s="104"/>
      <c r="K40" s="104"/>
      <c r="L40" s="97"/>
    </row>
    <row r="41" spans="1:12" s="98" customFormat="1" ht="13" customHeight="1">
      <c r="A41" s="117" t="s">
        <v>131</v>
      </c>
      <c r="B41" s="118"/>
      <c r="C41" s="118"/>
      <c r="D41" s="119"/>
      <c r="E41" s="120"/>
      <c r="F41" s="121"/>
      <c r="G41" s="122"/>
      <c r="H41" s="118"/>
      <c r="I41" s="119"/>
      <c r="J41" s="122"/>
      <c r="K41" s="123" t="e">
        <f>SUM(K25:K39)</f>
        <v>#REF!</v>
      </c>
      <c r="L41" s="97"/>
    </row>
    <row r="42" spans="1:12" s="98" customFormat="1" ht="13" customHeight="1">
      <c r="A42" s="124"/>
      <c r="B42" s="102"/>
      <c r="C42" s="102"/>
      <c r="E42" s="115"/>
      <c r="F42" s="114"/>
      <c r="G42" s="104"/>
      <c r="H42" s="102"/>
      <c r="J42" s="104"/>
      <c r="K42" s="104"/>
      <c r="L42" s="97"/>
    </row>
    <row r="43" spans="1:12" s="98" customFormat="1">
      <c r="A43" s="105" t="s">
        <v>132</v>
      </c>
      <c r="B43" s="103"/>
      <c r="C43" s="101"/>
      <c r="D43" s="106"/>
      <c r="E43" s="102"/>
      <c r="F43" s="103"/>
      <c r="G43" s="104"/>
      <c r="H43" s="107"/>
      <c r="I43" s="103"/>
      <c r="J43" s="104"/>
      <c r="K43" s="104"/>
      <c r="L43" s="97"/>
    </row>
    <row r="44" spans="1:12" s="98" customFormat="1" ht="13" customHeight="1">
      <c r="A44" s="108">
        <v>18</v>
      </c>
      <c r="B44" s="306" t="s">
        <v>127</v>
      </c>
      <c r="C44" s="306"/>
      <c r="D44" s="127" t="s">
        <v>133</v>
      </c>
      <c r="E44" s="108" t="s">
        <v>105</v>
      </c>
      <c r="F44" s="126">
        <v>1</v>
      </c>
      <c r="G44" s="113">
        <v>200</v>
      </c>
      <c r="H44" s="108" t="s">
        <v>134</v>
      </c>
      <c r="I44" s="126">
        <v>0</v>
      </c>
      <c r="J44" s="130"/>
      <c r="K44" s="113">
        <f>(F44*G44*I44)</f>
        <v>0</v>
      </c>
      <c r="L44" s="97"/>
    </row>
    <row r="45" spans="1:12" s="98" customFormat="1" ht="13" customHeight="1">
      <c r="A45" s="108">
        <v>19</v>
      </c>
      <c r="B45" s="306" t="s">
        <v>127</v>
      </c>
      <c r="C45" s="306"/>
      <c r="D45" s="127" t="s">
        <v>135</v>
      </c>
      <c r="E45" s="108" t="s">
        <v>105</v>
      </c>
      <c r="F45" s="126">
        <v>1</v>
      </c>
      <c r="G45" s="113">
        <v>300</v>
      </c>
      <c r="H45" s="108" t="s">
        <v>134</v>
      </c>
      <c r="I45" s="126">
        <v>0</v>
      </c>
      <c r="J45" s="130"/>
      <c r="K45" s="113">
        <f>(F45*G45*I45)</f>
        <v>0</v>
      </c>
      <c r="L45" s="97"/>
    </row>
    <row r="46" spans="1:12" s="98" customFormat="1" ht="13" customHeight="1">
      <c r="A46" s="108">
        <v>20</v>
      </c>
      <c r="B46" s="306" t="s">
        <v>127</v>
      </c>
      <c r="C46" s="306"/>
      <c r="D46" s="127" t="s">
        <v>136</v>
      </c>
      <c r="E46" s="108" t="s">
        <v>105</v>
      </c>
      <c r="F46" s="126">
        <v>1</v>
      </c>
      <c r="G46" s="113">
        <v>400</v>
      </c>
      <c r="H46" s="108" t="s">
        <v>134</v>
      </c>
      <c r="I46" s="126">
        <v>0</v>
      </c>
      <c r="J46" s="130"/>
      <c r="K46" s="113">
        <f>(F46*G46*I46)</f>
        <v>0</v>
      </c>
      <c r="L46" s="97"/>
    </row>
    <row r="47" spans="1:12" s="98" customFormat="1" ht="13" customHeight="1">
      <c r="A47" s="108">
        <v>21</v>
      </c>
      <c r="B47" s="306" t="s">
        <v>127</v>
      </c>
      <c r="C47" s="306"/>
      <c r="D47" s="127" t="s">
        <v>137</v>
      </c>
      <c r="E47" s="108" t="s">
        <v>105</v>
      </c>
      <c r="F47" s="126">
        <v>1</v>
      </c>
      <c r="G47" s="113">
        <v>600</v>
      </c>
      <c r="H47" s="108" t="s">
        <v>134</v>
      </c>
      <c r="I47" s="126">
        <v>0</v>
      </c>
      <c r="J47" s="130"/>
      <c r="K47" s="113">
        <f>(F47*G47*I47)</f>
        <v>0</v>
      </c>
      <c r="L47" s="97"/>
    </row>
    <row r="48" spans="1:12" s="98" customFormat="1">
      <c r="A48" s="131" t="s">
        <v>138</v>
      </c>
      <c r="B48" s="103"/>
      <c r="C48" s="101"/>
      <c r="D48" s="106"/>
      <c r="E48" s="102"/>
      <c r="F48" s="103"/>
      <c r="G48" s="104"/>
      <c r="H48" s="107"/>
      <c r="I48" s="103"/>
      <c r="J48" s="104"/>
      <c r="K48" s="104"/>
      <c r="L48" s="97"/>
    </row>
    <row r="49" spans="1:12" s="98" customFormat="1" ht="13" customHeight="1">
      <c r="A49" s="108">
        <v>22</v>
      </c>
      <c r="B49" s="306" t="s">
        <v>127</v>
      </c>
      <c r="C49" s="306"/>
      <c r="D49" s="127" t="s">
        <v>139</v>
      </c>
      <c r="E49" s="108" t="s">
        <v>105</v>
      </c>
      <c r="F49" s="126">
        <v>1</v>
      </c>
      <c r="G49" s="113">
        <v>54</v>
      </c>
      <c r="H49" s="108" t="s">
        <v>134</v>
      </c>
      <c r="I49" s="126">
        <v>0</v>
      </c>
      <c r="J49" s="130"/>
      <c r="K49" s="113">
        <f>(F49*G49*I49)</f>
        <v>0</v>
      </c>
      <c r="L49" s="97"/>
    </row>
    <row r="50" spans="1:12" s="98" customFormat="1" ht="13" customHeight="1">
      <c r="A50" s="108">
        <v>23</v>
      </c>
      <c r="B50" s="310" t="s">
        <v>127</v>
      </c>
      <c r="C50" s="310"/>
      <c r="D50" s="127" t="s">
        <v>140</v>
      </c>
      <c r="E50" s="108" t="s">
        <v>105</v>
      </c>
      <c r="F50" s="126">
        <v>1</v>
      </c>
      <c r="G50" s="113">
        <v>83</v>
      </c>
      <c r="H50" s="108" t="s">
        <v>134</v>
      </c>
      <c r="I50" s="126">
        <v>0</v>
      </c>
      <c r="J50" s="130"/>
      <c r="K50" s="113">
        <f>(F50*G50*I50)</f>
        <v>0</v>
      </c>
      <c r="L50" s="97"/>
    </row>
    <row r="51" spans="1:12" s="98" customFormat="1" ht="13" customHeight="1">
      <c r="A51" s="132">
        <v>24</v>
      </c>
      <c r="B51" s="306" t="s">
        <v>127</v>
      </c>
      <c r="C51" s="306"/>
      <c r="D51" s="133" t="s">
        <v>141</v>
      </c>
      <c r="E51" s="134" t="s">
        <v>105</v>
      </c>
      <c r="F51" s="135">
        <v>1</v>
      </c>
      <c r="G51" s="136">
        <v>130</v>
      </c>
      <c r="H51" s="134" t="s">
        <v>134</v>
      </c>
      <c r="I51" s="135">
        <v>0</v>
      </c>
      <c r="J51" s="137"/>
      <c r="K51" s="136">
        <f>(F51*G51*I51)</f>
        <v>0</v>
      </c>
      <c r="L51" s="97"/>
    </row>
    <row r="52" spans="1:12" s="98" customFormat="1">
      <c r="A52" s="105" t="s">
        <v>142</v>
      </c>
      <c r="B52" s="103"/>
      <c r="C52" s="101"/>
      <c r="D52" s="138" t="s">
        <v>143</v>
      </c>
      <c r="E52" s="312"/>
      <c r="F52" s="312"/>
      <c r="G52" s="312"/>
      <c r="H52" s="313"/>
      <c r="I52" s="313"/>
      <c r="J52" s="313"/>
      <c r="K52" s="139"/>
      <c r="L52" s="97"/>
    </row>
    <row r="53" spans="1:12" s="98" customFormat="1" ht="13" customHeight="1">
      <c r="A53" s="108">
        <v>25</v>
      </c>
      <c r="B53" s="306" t="s">
        <v>127</v>
      </c>
      <c r="C53" s="306"/>
      <c r="D53" s="127" t="s">
        <v>144</v>
      </c>
      <c r="E53" s="140" t="s">
        <v>105</v>
      </c>
      <c r="F53" s="141">
        <v>0</v>
      </c>
      <c r="G53" s="142">
        <v>194</v>
      </c>
      <c r="H53" s="140" t="s">
        <v>134</v>
      </c>
      <c r="I53" s="141">
        <v>0</v>
      </c>
      <c r="J53" s="143"/>
      <c r="K53" s="142">
        <f>(F53*G53*I53)</f>
        <v>0</v>
      </c>
      <c r="L53" s="97"/>
    </row>
    <row r="54" spans="1:12" s="98" customFormat="1" ht="13" customHeight="1">
      <c r="A54" s="108">
        <v>26</v>
      </c>
      <c r="B54" s="306" t="s">
        <v>127</v>
      </c>
      <c r="C54" s="306"/>
      <c r="D54" s="127" t="s">
        <v>145</v>
      </c>
      <c r="E54" s="108" t="s">
        <v>105</v>
      </c>
      <c r="F54" s="126" t="e">
        <f>CEILING(('Doba instalace'!I71+'Doba instalace'!L71)/7.5,1)</f>
        <v>#REF!</v>
      </c>
      <c r="G54" s="113">
        <v>204</v>
      </c>
      <c r="H54" s="108" t="s">
        <v>134</v>
      </c>
      <c r="I54" s="126">
        <v>1</v>
      </c>
      <c r="J54" s="144"/>
      <c r="K54" s="113" t="e">
        <f>(F54*G54*I54)</f>
        <v>#REF!</v>
      </c>
      <c r="L54" s="97"/>
    </row>
    <row r="55" spans="1:12" s="98" customFormat="1" ht="13" customHeight="1">
      <c r="A55" s="134">
        <v>27</v>
      </c>
      <c r="B55" s="310" t="s">
        <v>127</v>
      </c>
      <c r="C55" s="310"/>
      <c r="D55" s="127" t="s">
        <v>146</v>
      </c>
      <c r="E55" s="134" t="s">
        <v>105</v>
      </c>
      <c r="F55" s="135">
        <f>CEILING(F14/7.5,1)</f>
        <v>4</v>
      </c>
      <c r="G55" s="136">
        <v>201</v>
      </c>
      <c r="H55" s="108" t="s">
        <v>134</v>
      </c>
      <c r="I55" s="135">
        <v>1</v>
      </c>
      <c r="J55" s="145"/>
      <c r="K55" s="113">
        <f>(F55*G55*I55)</f>
        <v>804</v>
      </c>
      <c r="L55" s="97"/>
    </row>
    <row r="56" spans="1:12" s="98" customFormat="1" ht="13" customHeight="1">
      <c r="A56" s="132"/>
      <c r="B56" s="146"/>
      <c r="C56" s="147"/>
      <c r="D56" s="148" t="s">
        <v>147</v>
      </c>
      <c r="E56" s="132"/>
      <c r="F56" s="149"/>
      <c r="G56" s="150"/>
      <c r="H56" s="118"/>
      <c r="I56" s="149"/>
      <c r="J56" s="150"/>
      <c r="K56" s="139"/>
      <c r="L56" s="97"/>
    </row>
    <row r="57" spans="1:12" s="98" customFormat="1" ht="13" customHeight="1">
      <c r="A57" s="140">
        <v>28</v>
      </c>
      <c r="B57" s="309" t="s">
        <v>127</v>
      </c>
      <c r="C57" s="309"/>
      <c r="D57" s="127" t="s">
        <v>144</v>
      </c>
      <c r="E57" s="140" t="s">
        <v>105</v>
      </c>
      <c r="F57" s="141">
        <v>0</v>
      </c>
      <c r="G57" s="142">
        <v>161</v>
      </c>
      <c r="H57" s="108" t="s">
        <v>134</v>
      </c>
      <c r="I57" s="141">
        <v>0</v>
      </c>
      <c r="J57" s="143"/>
      <c r="K57" s="113">
        <f>(F57*G57*I57)</f>
        <v>0</v>
      </c>
      <c r="L57" s="97"/>
    </row>
    <row r="58" spans="1:12" s="98" customFormat="1" ht="13" customHeight="1">
      <c r="A58" s="108">
        <v>29</v>
      </c>
      <c r="B58" s="306" t="s">
        <v>127</v>
      </c>
      <c r="C58" s="306"/>
      <c r="D58" s="127" t="s">
        <v>145</v>
      </c>
      <c r="E58" s="108" t="s">
        <v>105</v>
      </c>
      <c r="F58" s="126">
        <v>0</v>
      </c>
      <c r="G58" s="113">
        <v>161</v>
      </c>
      <c r="H58" s="108" t="s">
        <v>134</v>
      </c>
      <c r="I58" s="126">
        <v>0</v>
      </c>
      <c r="J58" s="144"/>
      <c r="K58" s="113">
        <f>(F58*G58*I58)</f>
        <v>0</v>
      </c>
      <c r="L58" s="97"/>
    </row>
    <row r="59" spans="1:12" s="98" customFormat="1" ht="13" customHeight="1">
      <c r="A59" s="108">
        <v>30</v>
      </c>
      <c r="B59" s="306" t="s">
        <v>127</v>
      </c>
      <c r="C59" s="306"/>
      <c r="D59" s="127" t="s">
        <v>146</v>
      </c>
      <c r="E59" s="108" t="s">
        <v>105</v>
      </c>
      <c r="F59" s="126">
        <v>0</v>
      </c>
      <c r="G59" s="113">
        <v>172</v>
      </c>
      <c r="H59" s="108" t="s">
        <v>134</v>
      </c>
      <c r="I59" s="126">
        <v>0</v>
      </c>
      <c r="J59" s="144"/>
      <c r="K59" s="113">
        <f>(F59*G59*I59)</f>
        <v>0</v>
      </c>
      <c r="L59" s="97"/>
    </row>
    <row r="60" spans="1:12" s="98" customFormat="1" ht="13" customHeight="1">
      <c r="A60" s="102"/>
      <c r="B60" s="102"/>
      <c r="C60" s="102"/>
      <c r="E60" s="115"/>
      <c r="F60" s="114"/>
      <c r="G60" s="104"/>
      <c r="H60" s="102"/>
      <c r="J60" s="104"/>
      <c r="K60" s="104"/>
      <c r="L60" s="97"/>
    </row>
    <row r="61" spans="1:12" s="98" customFormat="1" ht="13" customHeight="1">
      <c r="A61" s="117" t="s">
        <v>148</v>
      </c>
      <c r="B61" s="118"/>
      <c r="C61" s="118"/>
      <c r="D61" s="119"/>
      <c r="E61" s="120"/>
      <c r="F61" s="121"/>
      <c r="G61" s="122"/>
      <c r="H61" s="118"/>
      <c r="I61" s="119"/>
      <c r="J61" s="122"/>
      <c r="K61" s="123" t="e">
        <f>SUM(K44:K59)</f>
        <v>#REF!</v>
      </c>
      <c r="L61" s="97"/>
    </row>
    <row r="62" spans="1:12" s="98" customFormat="1" ht="13" customHeight="1">
      <c r="A62" s="124"/>
      <c r="B62" s="102"/>
      <c r="C62" s="102"/>
      <c r="E62" s="115"/>
      <c r="F62" s="114"/>
      <c r="G62" s="104"/>
      <c r="H62" s="102"/>
      <c r="J62" s="104"/>
      <c r="K62" s="151"/>
      <c r="L62" s="97"/>
    </row>
    <row r="63" spans="1:12" s="98" customFormat="1">
      <c r="A63" s="105" t="s">
        <v>149</v>
      </c>
      <c r="B63" s="103"/>
      <c r="C63" s="101"/>
      <c r="D63" s="106"/>
      <c r="E63" s="102"/>
      <c r="F63" s="103"/>
      <c r="G63" s="104"/>
      <c r="H63" s="107"/>
      <c r="I63" s="103"/>
      <c r="J63" s="104"/>
      <c r="K63" s="151"/>
      <c r="L63" s="97"/>
    </row>
    <row r="64" spans="1:12" s="98" customFormat="1" ht="13" customHeight="1">
      <c r="A64" s="108">
        <v>31</v>
      </c>
      <c r="B64" s="306" t="s">
        <v>127</v>
      </c>
      <c r="C64" s="306"/>
      <c r="D64" s="311" t="s">
        <v>150</v>
      </c>
      <c r="E64" s="311"/>
      <c r="F64" s="311"/>
      <c r="G64" s="311"/>
      <c r="H64" s="311"/>
      <c r="I64" s="311"/>
      <c r="J64" s="311"/>
      <c r="K64" s="152" t="e">
        <f>#REF!</f>
        <v>#REF!</v>
      </c>
      <c r="L64" s="97"/>
    </row>
    <row r="65" spans="1:12" s="98" customFormat="1" ht="13" customHeight="1">
      <c r="A65" s="108">
        <v>32</v>
      </c>
      <c r="B65" s="306" t="s">
        <v>127</v>
      </c>
      <c r="C65" s="306"/>
      <c r="D65" s="311" t="s">
        <v>151</v>
      </c>
      <c r="E65" s="311"/>
      <c r="F65" s="311"/>
      <c r="G65" s="311"/>
      <c r="H65" s="311"/>
      <c r="I65" s="311"/>
      <c r="J65" s="311"/>
      <c r="K65" s="152" t="e">
        <f>(#REF!-(SUM(#REF!)+SUM(#REF!)))*0.05</f>
        <v>#REF!</v>
      </c>
      <c r="L65" s="97"/>
    </row>
    <row r="66" spans="1:12" s="98" customFormat="1" ht="13" customHeight="1">
      <c r="A66" s="108">
        <v>33</v>
      </c>
      <c r="B66" s="306" t="s">
        <v>127</v>
      </c>
      <c r="C66" s="306"/>
      <c r="D66" s="311" t="s">
        <v>127</v>
      </c>
      <c r="E66" s="311"/>
      <c r="F66" s="311"/>
      <c r="G66" s="311"/>
      <c r="H66" s="311"/>
      <c r="I66" s="311"/>
      <c r="J66" s="311"/>
      <c r="K66" s="152">
        <v>0</v>
      </c>
      <c r="L66" s="97"/>
    </row>
    <row r="67" spans="1:12" s="98" customFormat="1" ht="13" customHeight="1">
      <c r="A67" s="108">
        <v>34</v>
      </c>
      <c r="B67" s="306" t="s">
        <v>127</v>
      </c>
      <c r="C67" s="306"/>
      <c r="D67" s="311" t="s">
        <v>127</v>
      </c>
      <c r="E67" s="311"/>
      <c r="F67" s="311"/>
      <c r="G67" s="311"/>
      <c r="H67" s="311"/>
      <c r="I67" s="311"/>
      <c r="J67" s="311"/>
      <c r="K67" s="152">
        <v>0</v>
      </c>
      <c r="L67" s="97"/>
    </row>
    <row r="68" spans="1:12" s="98" customFormat="1" ht="13" customHeight="1">
      <c r="A68" s="108">
        <v>35</v>
      </c>
      <c r="B68" s="306" t="s">
        <v>127</v>
      </c>
      <c r="C68" s="306"/>
      <c r="D68" s="311" t="s">
        <v>127</v>
      </c>
      <c r="E68" s="311"/>
      <c r="F68" s="311"/>
      <c r="G68" s="311"/>
      <c r="H68" s="311"/>
      <c r="I68" s="311"/>
      <c r="J68" s="311"/>
      <c r="K68" s="152">
        <v>0</v>
      </c>
      <c r="L68" s="97"/>
    </row>
    <row r="69" spans="1:12" s="98" customFormat="1" ht="13" customHeight="1">
      <c r="A69" s="108">
        <v>36</v>
      </c>
      <c r="B69" s="306" t="s">
        <v>127</v>
      </c>
      <c r="C69" s="306"/>
      <c r="D69" s="311" t="s">
        <v>127</v>
      </c>
      <c r="E69" s="311"/>
      <c r="F69" s="311"/>
      <c r="G69" s="311"/>
      <c r="H69" s="311"/>
      <c r="I69" s="311"/>
      <c r="J69" s="311"/>
      <c r="K69" s="152">
        <v>0</v>
      </c>
      <c r="L69" s="97"/>
    </row>
    <row r="70" spans="1:12" s="98" customFormat="1" ht="13" customHeight="1">
      <c r="A70" s="108">
        <v>37</v>
      </c>
      <c r="B70" s="306" t="s">
        <v>127</v>
      </c>
      <c r="C70" s="306"/>
      <c r="D70" s="311" t="s">
        <v>127</v>
      </c>
      <c r="E70" s="311"/>
      <c r="F70" s="311"/>
      <c r="G70" s="311"/>
      <c r="H70" s="311"/>
      <c r="I70" s="311"/>
      <c r="J70" s="311"/>
      <c r="K70" s="152">
        <v>0</v>
      </c>
      <c r="L70" s="97"/>
    </row>
    <row r="71" spans="1:12" s="98" customFormat="1" ht="13" customHeight="1">
      <c r="A71" s="108">
        <v>38</v>
      </c>
      <c r="B71" s="306" t="s">
        <v>127</v>
      </c>
      <c r="C71" s="306"/>
      <c r="D71" s="311" t="s">
        <v>127</v>
      </c>
      <c r="E71" s="311"/>
      <c r="F71" s="311"/>
      <c r="G71" s="311"/>
      <c r="H71" s="311"/>
      <c r="I71" s="311"/>
      <c r="J71" s="311"/>
      <c r="K71" s="152">
        <v>0</v>
      </c>
      <c r="L71" s="97"/>
    </row>
    <row r="72" spans="1:12" s="98" customFormat="1" ht="13" customHeight="1">
      <c r="A72" s="108">
        <v>39</v>
      </c>
      <c r="B72" s="306" t="s">
        <v>127</v>
      </c>
      <c r="C72" s="306"/>
      <c r="D72" s="311" t="s">
        <v>127</v>
      </c>
      <c r="E72" s="311"/>
      <c r="F72" s="311"/>
      <c r="G72" s="311"/>
      <c r="H72" s="311"/>
      <c r="I72" s="311"/>
      <c r="J72" s="311"/>
      <c r="K72" s="152">
        <v>0</v>
      </c>
      <c r="L72" s="97"/>
    </row>
    <row r="73" spans="1:12" s="98" customFormat="1" ht="13" customHeight="1">
      <c r="A73" s="108">
        <v>40</v>
      </c>
      <c r="B73" s="306" t="s">
        <v>127</v>
      </c>
      <c r="C73" s="306"/>
      <c r="D73" s="311" t="s">
        <v>127</v>
      </c>
      <c r="E73" s="311"/>
      <c r="F73" s="311"/>
      <c r="G73" s="311"/>
      <c r="H73" s="311"/>
      <c r="I73" s="311"/>
      <c r="J73" s="311"/>
      <c r="K73" s="152">
        <v>0</v>
      </c>
      <c r="L73" s="97"/>
    </row>
    <row r="74" spans="1:12" s="98" customFormat="1" ht="13" customHeight="1">
      <c r="A74" s="108">
        <v>41</v>
      </c>
      <c r="B74" s="306" t="s">
        <v>127</v>
      </c>
      <c r="C74" s="306"/>
      <c r="D74" s="314" t="s">
        <v>152</v>
      </c>
      <c r="E74" s="314"/>
      <c r="F74" s="314"/>
      <c r="G74" s="314"/>
      <c r="H74" s="314"/>
      <c r="I74" s="314"/>
      <c r="J74" s="314"/>
      <c r="K74" s="152">
        <v>0</v>
      </c>
      <c r="L74" s="97"/>
    </row>
    <row r="75" spans="1:12" s="98" customFormat="1" ht="13" customHeight="1">
      <c r="A75" s="102"/>
      <c r="B75" s="102"/>
      <c r="C75" s="102"/>
      <c r="E75" s="115"/>
      <c r="F75" s="114"/>
      <c r="G75" s="104"/>
      <c r="H75" s="102"/>
      <c r="J75" s="104"/>
      <c r="K75" s="151"/>
      <c r="L75" s="97"/>
    </row>
    <row r="76" spans="1:12" s="98" customFormat="1" ht="13" customHeight="1">
      <c r="A76" s="117" t="s">
        <v>153</v>
      </c>
      <c r="B76" s="118"/>
      <c r="C76" s="118"/>
      <c r="D76" s="119"/>
      <c r="E76" s="120"/>
      <c r="F76" s="121"/>
      <c r="G76" s="122"/>
      <c r="H76" s="118"/>
      <c r="I76" s="119"/>
      <c r="J76" s="122"/>
      <c r="K76" s="123" t="e">
        <f>SUM(K64:K75)</f>
        <v>#REF!</v>
      </c>
      <c r="L76" s="97"/>
    </row>
    <row r="77" spans="1:12" s="98" customFormat="1" ht="13" customHeight="1">
      <c r="A77" s="124"/>
      <c r="B77" s="102"/>
      <c r="C77" s="102"/>
      <c r="E77" s="115"/>
      <c r="F77" s="114"/>
      <c r="G77" s="104"/>
      <c r="H77" s="102"/>
      <c r="J77" s="104"/>
      <c r="K77" s="104"/>
      <c r="L77" s="97"/>
    </row>
    <row r="78" spans="1:12" s="98" customFormat="1">
      <c r="A78" s="105" t="s">
        <v>154</v>
      </c>
      <c r="B78" s="103"/>
      <c r="C78" s="101"/>
      <c r="D78" s="106"/>
      <c r="E78" s="317" t="s">
        <v>155</v>
      </c>
      <c r="F78" s="317"/>
      <c r="G78" s="317"/>
      <c r="H78" s="317" t="s">
        <v>156</v>
      </c>
      <c r="I78" s="317"/>
      <c r="J78" s="317"/>
      <c r="K78" s="104"/>
      <c r="L78" s="97"/>
    </row>
    <row r="79" spans="1:12" s="98" customFormat="1" ht="13" customHeight="1">
      <c r="A79" s="108">
        <v>42</v>
      </c>
      <c r="B79" s="315"/>
      <c r="C79" s="315"/>
      <c r="D79" s="154" t="s">
        <v>157</v>
      </c>
      <c r="E79" s="153"/>
      <c r="F79" s="153"/>
      <c r="G79" s="152" t="e">
        <f>#REF!</f>
        <v>#REF!</v>
      </c>
      <c r="H79" s="153"/>
      <c r="I79" s="153"/>
      <c r="J79" s="152" t="e">
        <f>SUM(#REF!)</f>
        <v>#REF!</v>
      </c>
      <c r="K79" s="155" t="e">
        <f>SUM(G79,J79)</f>
        <v>#REF!</v>
      </c>
      <c r="L79" s="97"/>
    </row>
    <row r="80" spans="1:12" s="98" customFormat="1" ht="13" customHeight="1">
      <c r="A80" s="108">
        <v>43</v>
      </c>
      <c r="B80" s="315"/>
      <c r="C80" s="315"/>
      <c r="D80" s="154" t="s">
        <v>158</v>
      </c>
      <c r="E80" s="153"/>
      <c r="F80" s="153"/>
      <c r="G80" s="152">
        <f>(B80*C80)+(E80*F80)</f>
        <v>0</v>
      </c>
      <c r="H80" s="153"/>
      <c r="I80" s="153"/>
      <c r="J80" s="152" t="e">
        <f>SUM(#REF!)+#REF!</f>
        <v>#REF!</v>
      </c>
      <c r="K80" s="155" t="e">
        <f>SUM(G80,J80)</f>
        <v>#REF!</v>
      </c>
      <c r="L80" s="97"/>
    </row>
    <row r="81" spans="1:12" s="98" customFormat="1" ht="13" customHeight="1">
      <c r="A81" s="108">
        <v>44</v>
      </c>
      <c r="B81" s="315"/>
      <c r="C81" s="315"/>
      <c r="D81" s="154" t="s">
        <v>159</v>
      </c>
      <c r="E81" s="153"/>
      <c r="F81" s="153"/>
      <c r="G81" s="152">
        <f>(B81*C81)+(E81*F81)</f>
        <v>0</v>
      </c>
      <c r="H81" s="153"/>
      <c r="I81" s="153"/>
      <c r="J81" s="152">
        <f>(E81*F81)+(H81*I81)</f>
        <v>0</v>
      </c>
      <c r="K81" s="155">
        <f>SUM(G81,J81)</f>
        <v>0</v>
      </c>
      <c r="L81" s="97"/>
    </row>
    <row r="82" spans="1:12" s="98" customFormat="1" ht="13" customHeight="1">
      <c r="A82" s="108">
        <v>45</v>
      </c>
      <c r="B82" s="315"/>
      <c r="C82" s="315"/>
      <c r="D82" s="154" t="s">
        <v>160</v>
      </c>
      <c r="E82" s="153"/>
      <c r="F82" s="153"/>
      <c r="G82" s="152">
        <f>(B82*C82)+(E82*F82)</f>
        <v>0</v>
      </c>
      <c r="H82" s="153"/>
      <c r="I82" s="153"/>
      <c r="J82" s="152" t="e">
        <f>#REF!</f>
        <v>#REF!</v>
      </c>
      <c r="K82" s="155" t="e">
        <f>SUM(G82,J82)</f>
        <v>#REF!</v>
      </c>
      <c r="L82" s="97"/>
    </row>
    <row r="83" spans="1:12" s="98" customFormat="1" ht="13" customHeight="1">
      <c r="A83" s="108">
        <v>46</v>
      </c>
      <c r="B83" s="315"/>
      <c r="C83" s="315"/>
      <c r="D83" s="154" t="s">
        <v>152</v>
      </c>
      <c r="E83" s="153"/>
      <c r="F83" s="153"/>
      <c r="G83" s="152">
        <f>(B83*C83)+(E83*F83)</f>
        <v>0</v>
      </c>
      <c r="H83" s="153"/>
      <c r="I83" s="153"/>
      <c r="J83" s="152" t="e">
        <f>SUM(#REF!)</f>
        <v>#REF!</v>
      </c>
      <c r="K83" s="155" t="e">
        <f>SUM(G83,J83)</f>
        <v>#REF!</v>
      </c>
      <c r="L83" s="97"/>
    </row>
    <row r="84" spans="1:12" s="98" customFormat="1" ht="13" customHeight="1">
      <c r="A84" s="102"/>
      <c r="B84" s="102"/>
      <c r="C84" s="102"/>
      <c r="E84" s="115"/>
      <c r="F84" s="114"/>
      <c r="G84" s="104"/>
      <c r="H84" s="102"/>
      <c r="J84" s="104"/>
      <c r="K84" s="104"/>
      <c r="L84" s="97"/>
    </row>
    <row r="85" spans="1:12" s="98" customFormat="1" ht="13" customHeight="1">
      <c r="A85" s="117" t="s">
        <v>161</v>
      </c>
      <c r="B85" s="118"/>
      <c r="C85" s="118"/>
      <c r="D85" s="119"/>
      <c r="E85" s="120"/>
      <c r="F85" s="121"/>
      <c r="G85" s="122"/>
      <c r="H85" s="118"/>
      <c r="I85" s="119"/>
      <c r="J85" s="122"/>
      <c r="K85" s="123" t="e">
        <f>SUM(K79:K84)</f>
        <v>#REF!</v>
      </c>
      <c r="L85" s="97"/>
    </row>
    <row r="86" spans="1:12" s="98" customFormat="1" ht="13" customHeight="1">
      <c r="A86" s="124"/>
      <c r="B86" s="102"/>
      <c r="C86" s="102"/>
      <c r="E86" s="115"/>
      <c r="F86" s="114"/>
      <c r="G86" s="104"/>
      <c r="H86" s="102"/>
      <c r="J86" s="104"/>
      <c r="K86" s="151"/>
      <c r="L86" s="97"/>
    </row>
    <row r="87" spans="1:12" s="98" customFormat="1">
      <c r="A87" s="105" t="s">
        <v>162</v>
      </c>
      <c r="B87" s="103"/>
      <c r="C87" s="101"/>
      <c r="D87" s="106"/>
      <c r="E87" s="102"/>
      <c r="F87" s="103"/>
      <c r="G87" s="104"/>
      <c r="H87" s="107"/>
      <c r="I87" s="103"/>
      <c r="J87" s="104"/>
      <c r="K87" s="151"/>
      <c r="L87" s="97"/>
    </row>
    <row r="88" spans="1:12" s="98" customFormat="1" ht="13" customHeight="1">
      <c r="A88" s="108">
        <v>27</v>
      </c>
      <c r="B88" s="315"/>
      <c r="C88" s="315"/>
      <c r="D88" s="156" t="s">
        <v>163</v>
      </c>
      <c r="E88" s="157"/>
      <c r="F88" s="157"/>
      <c r="G88" s="157"/>
      <c r="H88" s="156" t="s">
        <v>164</v>
      </c>
      <c r="I88" s="158" t="s">
        <v>165</v>
      </c>
      <c r="J88" s="159">
        <f>850000-J89</f>
        <v>688000</v>
      </c>
      <c r="K88" s="113"/>
      <c r="L88" s="97"/>
    </row>
    <row r="89" spans="1:12" s="98" customFormat="1" ht="13" customHeight="1">
      <c r="A89" s="108">
        <v>27</v>
      </c>
      <c r="B89" s="315"/>
      <c r="C89" s="315"/>
      <c r="D89" s="156" t="s">
        <v>166</v>
      </c>
      <c r="E89" s="157"/>
      <c r="F89" s="157"/>
      <c r="G89" s="160" t="s">
        <v>167</v>
      </c>
      <c r="H89" s="156" t="s">
        <v>164</v>
      </c>
      <c r="I89" s="158" t="s">
        <v>165</v>
      </c>
      <c r="J89" s="161">
        <v>162000</v>
      </c>
      <c r="K89" s="113"/>
      <c r="L89" s="97"/>
    </row>
    <row r="90" spans="1:12" s="98" customFormat="1" ht="13" customHeight="1">
      <c r="A90" s="108">
        <v>27</v>
      </c>
      <c r="B90" s="315"/>
      <c r="C90" s="315"/>
      <c r="D90" s="156" t="s">
        <v>168</v>
      </c>
      <c r="E90" s="157"/>
      <c r="F90" s="157"/>
      <c r="G90" s="160"/>
      <c r="H90" s="156" t="s">
        <v>164</v>
      </c>
      <c r="I90" s="158" t="s">
        <v>165</v>
      </c>
      <c r="J90" s="139">
        <f>G14*175</f>
        <v>35525</v>
      </c>
      <c r="K90" s="113"/>
      <c r="L90" s="97"/>
    </row>
    <row r="91" spans="1:12" s="98" customFormat="1" ht="13" customHeight="1">
      <c r="A91" s="134">
        <v>28</v>
      </c>
      <c r="B91" s="318"/>
      <c r="C91" s="318"/>
      <c r="D91" s="162" t="s">
        <v>169</v>
      </c>
      <c r="E91" s="163"/>
      <c r="F91" s="163"/>
      <c r="G91" s="164" t="s">
        <v>167</v>
      </c>
      <c r="H91" s="156" t="s">
        <v>164</v>
      </c>
      <c r="I91" s="158" t="s">
        <v>165</v>
      </c>
      <c r="J91" s="165">
        <v>32000</v>
      </c>
      <c r="K91" s="166"/>
      <c r="L91" s="97"/>
    </row>
    <row r="92" spans="1:12" s="98" customFormat="1" ht="13" customHeight="1">
      <c r="A92" s="132"/>
      <c r="B92" s="167"/>
      <c r="C92" s="167"/>
      <c r="D92" s="157"/>
      <c r="E92" s="157"/>
      <c r="F92" s="157"/>
      <c r="G92" s="157"/>
      <c r="H92" s="157"/>
      <c r="I92" s="157"/>
      <c r="J92" s="122"/>
      <c r="K92" s="168"/>
      <c r="L92" s="97"/>
    </row>
    <row r="93" spans="1:12" s="98" customFormat="1" ht="13" customHeight="1">
      <c r="A93" s="140">
        <v>25</v>
      </c>
      <c r="B93" s="319"/>
      <c r="C93" s="319"/>
      <c r="D93" s="169" t="s">
        <v>170</v>
      </c>
      <c r="E93" s="170"/>
      <c r="F93" s="170"/>
      <c r="G93" s="170"/>
      <c r="H93" s="171"/>
      <c r="I93" s="172"/>
      <c r="J93" s="173"/>
      <c r="K93" s="174" t="e">
        <f>#REF!</f>
        <v>#REF!</v>
      </c>
      <c r="L93" s="97"/>
    </row>
    <row r="94" spans="1:12" s="98" customFormat="1" ht="13" customHeight="1">
      <c r="A94" s="108">
        <v>26</v>
      </c>
      <c r="B94" s="315"/>
      <c r="C94" s="315"/>
      <c r="D94" s="156" t="s">
        <v>171</v>
      </c>
      <c r="E94" s="157"/>
      <c r="F94" s="157"/>
      <c r="G94" s="157"/>
      <c r="H94" s="160"/>
      <c r="I94" s="157"/>
      <c r="J94" s="175"/>
      <c r="K94" s="176" t="e">
        <f>SUM(K22,K41,K61,K76,K85)</f>
        <v>#REF!</v>
      </c>
      <c r="L94" s="97"/>
    </row>
    <row r="95" spans="1:12" s="98" customFormat="1" ht="13" customHeight="1">
      <c r="A95" s="117" t="s">
        <v>172</v>
      </c>
      <c r="B95" s="118"/>
      <c r="C95" s="118"/>
      <c r="D95" s="119"/>
      <c r="E95" s="120"/>
      <c r="F95" s="121"/>
      <c r="G95" s="122"/>
      <c r="H95" s="132" t="s">
        <v>173</v>
      </c>
      <c r="I95" s="177" t="e">
        <f>K95/K93*100</f>
        <v>#REF!</v>
      </c>
      <c r="J95" s="122"/>
      <c r="K95" s="178" t="e">
        <f>K93-K94</f>
        <v>#REF!</v>
      </c>
      <c r="L95" s="97"/>
    </row>
    <row r="96" spans="1:12" s="98" customFormat="1" ht="13" customHeight="1">
      <c r="A96" s="108">
        <v>27</v>
      </c>
      <c r="B96" s="315"/>
      <c r="C96" s="315"/>
      <c r="D96" s="156" t="s">
        <v>174</v>
      </c>
      <c r="E96" s="157"/>
      <c r="F96" s="157"/>
      <c r="G96" s="157"/>
      <c r="H96" s="157"/>
      <c r="I96" s="157"/>
      <c r="J96" s="139"/>
      <c r="K96" s="179" t="e">
        <f>(J89+0.001)/J88*(F18*G18)</f>
        <v>#REF!</v>
      </c>
      <c r="L96" s="97"/>
    </row>
    <row r="97" spans="1:12" s="98" customFormat="1" ht="13" customHeight="1">
      <c r="A97" s="108">
        <v>27</v>
      </c>
      <c r="B97" s="315"/>
      <c r="C97" s="315"/>
      <c r="D97" s="156" t="s">
        <v>175</v>
      </c>
      <c r="E97" s="157"/>
      <c r="F97" s="157"/>
      <c r="G97" s="157"/>
      <c r="H97" s="157"/>
      <c r="I97" s="157"/>
      <c r="J97" s="139"/>
      <c r="K97" s="179">
        <f>((J91+0.001)/(J90+0.001)*(F14*G14))</f>
        <v>5485.7143027244392</v>
      </c>
      <c r="L97" s="97"/>
    </row>
    <row r="98" spans="1:12" s="98" customFormat="1" ht="13" customHeight="1">
      <c r="A98" s="316" t="s">
        <v>176</v>
      </c>
      <c r="B98" s="316"/>
      <c r="C98" s="316"/>
      <c r="D98" s="316"/>
      <c r="E98" s="163"/>
      <c r="F98" s="163"/>
      <c r="G98" s="163"/>
      <c r="H98" s="163"/>
      <c r="I98" s="163"/>
      <c r="J98" s="180"/>
      <c r="K98" s="181" t="e">
        <f>SUM(K96:K97)</f>
        <v>#REF!</v>
      </c>
      <c r="L98" s="97"/>
    </row>
    <row r="99" spans="1:12" s="98" customFormat="1" ht="13" customHeight="1">
      <c r="A99" s="182" t="s">
        <v>177</v>
      </c>
      <c r="B99" s="183"/>
      <c r="C99" s="183"/>
      <c r="D99" s="184"/>
      <c r="E99" s="185"/>
      <c r="F99" s="186"/>
      <c r="G99" s="187"/>
      <c r="H99" s="188" t="s">
        <v>173</v>
      </c>
      <c r="I99" s="189" t="e">
        <f>K99/K93*100</f>
        <v>#REF!</v>
      </c>
      <c r="J99" s="187"/>
      <c r="K99" s="190" t="e">
        <f>K93-(K94+K98)</f>
        <v>#REF!</v>
      </c>
      <c r="L99" s="97"/>
    </row>
    <row r="100" spans="1:12" ht="13" customHeight="1"/>
    <row r="101" spans="1:12" ht="13" customHeight="1"/>
    <row r="102" spans="1:12" ht="13" customHeight="1"/>
    <row r="103" spans="1:12" ht="13" customHeight="1"/>
    <row r="104" spans="1:12" ht="13" customHeight="1"/>
    <row r="105" spans="1:12" ht="13" customHeight="1"/>
    <row r="106" spans="1:12" ht="13" customHeight="1"/>
    <row r="107" spans="1:12" ht="13" customHeight="1"/>
    <row r="108" spans="1:12" ht="13" customHeight="1"/>
    <row r="109" spans="1:12" ht="13" customHeight="1"/>
    <row r="110" spans="1:12" ht="13" customHeight="1"/>
    <row r="111" spans="1:12" ht="13" customHeight="1"/>
    <row r="112" spans="1:12" ht="13" customHeight="1"/>
    <row r="113" ht="13" customHeight="1"/>
    <row r="114" ht="13" customHeight="1"/>
    <row r="115" ht="13" customHeight="1"/>
    <row r="116" ht="13" customHeight="1"/>
    <row r="117" ht="13" customHeight="1"/>
    <row r="118" ht="13" customHeight="1"/>
    <row r="119" ht="13" customHeight="1"/>
    <row r="120" ht="13" customHeight="1"/>
    <row r="121" ht="13" customHeight="1"/>
    <row r="122" ht="13" customHeight="1"/>
    <row r="123" ht="13" customHeight="1"/>
    <row r="124" ht="13" customHeight="1"/>
    <row r="125" ht="13" customHeight="1"/>
    <row r="126" ht="13" customHeight="1"/>
    <row r="127" ht="13" customHeight="1"/>
    <row r="128" ht="13" customHeight="1"/>
    <row r="129" ht="13" customHeight="1"/>
    <row r="130" ht="13" customHeight="1"/>
    <row r="131" ht="13" customHeight="1"/>
    <row r="132" ht="13" customHeight="1"/>
    <row r="133" ht="13" customHeight="1"/>
    <row r="134" ht="13" customHeight="1"/>
    <row r="135" ht="13" customHeight="1"/>
    <row r="136" ht="13" customHeight="1"/>
    <row r="137" ht="13" customHeight="1"/>
    <row r="138" ht="13" customHeight="1"/>
    <row r="139" ht="13" customHeight="1"/>
    <row r="140" ht="13" customHeight="1"/>
    <row r="141" ht="13" customHeight="1"/>
    <row r="142" ht="13" customHeight="1"/>
    <row r="143" ht="13" customHeight="1"/>
    <row r="144" ht="13" customHeight="1"/>
    <row r="145" ht="13" customHeight="1"/>
    <row r="146" ht="13" customHeight="1"/>
    <row r="147" ht="13" customHeight="1"/>
    <row r="148" ht="13" customHeight="1"/>
    <row r="149" ht="13" customHeight="1"/>
    <row r="150" ht="13" customHeight="1"/>
    <row r="151" ht="13" customHeight="1"/>
    <row r="152" ht="13" customHeight="1"/>
    <row r="153" ht="13" customHeight="1"/>
    <row r="154" ht="13" customHeight="1"/>
    <row r="155" ht="13" customHeight="1"/>
    <row r="156" ht="13" customHeight="1"/>
    <row r="157" ht="13" customHeight="1"/>
    <row r="158" ht="13" customHeight="1"/>
    <row r="159" ht="13" customHeight="1"/>
    <row r="160" ht="13" customHeight="1"/>
    <row r="161" ht="13" customHeight="1"/>
    <row r="162" ht="13" customHeight="1"/>
    <row r="163" ht="13" customHeight="1"/>
    <row r="164" ht="13" customHeight="1"/>
    <row r="165" ht="13" customHeight="1"/>
    <row r="166" ht="13" customHeight="1"/>
    <row r="167" ht="13" customHeight="1"/>
    <row r="168" ht="13" customHeight="1"/>
    <row r="169" ht="13" customHeight="1"/>
    <row r="170" ht="13" customHeight="1"/>
    <row r="171" ht="13" customHeight="1"/>
    <row r="172" ht="13" customHeight="1"/>
    <row r="173" ht="13" customHeight="1"/>
    <row r="174" ht="13" customHeight="1"/>
    <row r="175" ht="13" customHeight="1"/>
    <row r="176" ht="13" customHeight="1"/>
    <row r="177" ht="13" customHeight="1"/>
    <row r="178" ht="13" customHeight="1"/>
    <row r="179" ht="13" customHeight="1"/>
    <row r="180" ht="13" customHeight="1"/>
    <row r="181" ht="13" customHeight="1"/>
    <row r="182" ht="13" customHeight="1"/>
    <row r="183" ht="13" customHeight="1"/>
    <row r="184" ht="13" customHeight="1"/>
    <row r="185" ht="13" customHeight="1"/>
    <row r="186" ht="13" customHeight="1"/>
    <row r="187" ht="13" customHeight="1"/>
    <row r="188" ht="13" customHeight="1"/>
    <row r="189" ht="13" customHeight="1"/>
    <row r="190" ht="13" customHeight="1"/>
    <row r="191" ht="13" customHeight="1"/>
    <row r="192" ht="13" customHeight="1"/>
    <row r="193" ht="13" customHeight="1"/>
    <row r="194" ht="13" customHeight="1"/>
    <row r="195" ht="13" customHeight="1"/>
    <row r="196" ht="13" customHeight="1"/>
    <row r="197" ht="13" customHeight="1"/>
    <row r="198" ht="13" customHeight="1"/>
    <row r="199" ht="13" customHeight="1"/>
    <row r="200" ht="13" customHeight="1"/>
    <row r="201" ht="13" customHeight="1"/>
    <row r="202" ht="13" customHeight="1"/>
    <row r="203" ht="13" customHeight="1"/>
    <row r="204" ht="13" customHeight="1"/>
    <row r="205" ht="13" customHeight="1"/>
    <row r="206" ht="13" customHeight="1"/>
    <row r="207" ht="13" customHeight="1"/>
    <row r="208" ht="13" customHeight="1"/>
    <row r="209" ht="13" customHeight="1"/>
    <row r="210" ht="13" customHeight="1"/>
    <row r="211" ht="13" customHeight="1"/>
    <row r="212" ht="13" customHeight="1"/>
    <row r="213" ht="13" customHeight="1"/>
    <row r="214" ht="13" customHeight="1"/>
    <row r="215" ht="13" customHeight="1"/>
    <row r="216" ht="13" customHeight="1"/>
    <row r="217" ht="13" customHeight="1"/>
    <row r="218" ht="13" customHeight="1"/>
    <row r="219" ht="13" customHeight="1"/>
    <row r="220" ht="13" customHeight="1"/>
    <row r="221" ht="13" customHeight="1"/>
    <row r="222" ht="13" customHeight="1"/>
    <row r="223" ht="13" customHeight="1"/>
    <row r="224" ht="13" customHeight="1"/>
    <row r="225" ht="13" customHeight="1"/>
    <row r="226" ht="13" customHeight="1"/>
    <row r="227" ht="13" customHeight="1"/>
    <row r="228" ht="13" customHeight="1"/>
    <row r="229" ht="13" customHeight="1"/>
    <row r="230" ht="13" customHeight="1"/>
    <row r="231" ht="13" customHeight="1"/>
    <row r="232" ht="13" customHeight="1"/>
    <row r="233" ht="13" customHeight="1"/>
    <row r="234" ht="13" customHeight="1"/>
    <row r="235" ht="13" customHeight="1"/>
    <row r="236" ht="13" customHeight="1"/>
    <row r="237" ht="13" customHeight="1"/>
    <row r="238" ht="13" customHeight="1"/>
    <row r="239" ht="13" customHeight="1"/>
    <row r="240" ht="13" customHeight="1"/>
    <row r="241" ht="13" customHeight="1"/>
    <row r="242" ht="13" customHeight="1"/>
    <row r="243" ht="13" customHeight="1"/>
    <row r="244" ht="13" customHeight="1"/>
    <row r="245" ht="13" customHeight="1"/>
    <row r="246" ht="13" customHeight="1"/>
    <row r="247" ht="13" customHeight="1"/>
    <row r="248" ht="13" customHeight="1"/>
    <row r="249" ht="13" customHeight="1"/>
    <row r="250" ht="13" customHeight="1"/>
    <row r="251" ht="13" customHeight="1"/>
    <row r="252" ht="13" customHeight="1"/>
    <row r="253" ht="13" customHeight="1"/>
    <row r="254" ht="13" customHeight="1"/>
    <row r="255" ht="13" customHeight="1"/>
    <row r="256" ht="13" customHeight="1"/>
    <row r="257" ht="13" customHeight="1"/>
    <row r="258" ht="13" customHeight="1"/>
    <row r="259" ht="13" customHeight="1"/>
    <row r="260" ht="13" customHeight="1"/>
    <row r="261" ht="13" customHeight="1"/>
    <row r="262" ht="13" customHeight="1"/>
    <row r="263" ht="13" customHeight="1"/>
    <row r="264" ht="13" customHeight="1"/>
    <row r="265" ht="13" customHeight="1"/>
    <row r="266" ht="13" customHeight="1"/>
    <row r="267" ht="13" customHeight="1"/>
    <row r="268" ht="13" customHeight="1"/>
    <row r="269" ht="13" customHeight="1"/>
    <row r="270" ht="13" customHeight="1"/>
    <row r="271" ht="13" customHeight="1"/>
    <row r="272" ht="13" customHeight="1"/>
    <row r="273" ht="13" customHeight="1"/>
    <row r="274" ht="13" customHeight="1"/>
    <row r="275" ht="13" customHeight="1"/>
    <row r="276" ht="13" customHeight="1"/>
    <row r="277" ht="13" customHeight="1"/>
    <row r="278" ht="13" customHeight="1"/>
    <row r="279" ht="13" customHeight="1"/>
    <row r="280" ht="13" customHeight="1"/>
    <row r="281" ht="13" customHeight="1"/>
    <row r="282" ht="13" customHeight="1"/>
    <row r="283" ht="13" customHeight="1"/>
    <row r="284" ht="13" customHeight="1"/>
    <row r="285" ht="13" customHeight="1"/>
    <row r="286" ht="13" customHeight="1"/>
    <row r="287" ht="13" customHeight="1"/>
    <row r="288" ht="13" customHeight="1"/>
    <row r="289" ht="13" customHeight="1"/>
    <row r="290" ht="13" customHeight="1"/>
    <row r="291" ht="13" customHeight="1"/>
    <row r="292" ht="13" customHeight="1"/>
    <row r="293" ht="13" customHeight="1"/>
    <row r="294" ht="13" customHeight="1"/>
    <row r="295" ht="13" customHeight="1"/>
    <row r="296" ht="13" customHeight="1"/>
    <row r="297" ht="13" customHeight="1"/>
    <row r="298" ht="13" customHeight="1"/>
    <row r="299" ht="13" customHeight="1"/>
    <row r="300" ht="13" customHeight="1"/>
    <row r="301" ht="13" customHeight="1"/>
    <row r="302" ht="13" customHeight="1"/>
    <row r="303" ht="13" customHeight="1"/>
    <row r="304" ht="13" customHeight="1"/>
    <row r="305" ht="13" customHeight="1"/>
    <row r="306" ht="13" customHeight="1"/>
    <row r="307" ht="13" customHeight="1"/>
    <row r="308" ht="13" customHeight="1"/>
    <row r="309" ht="13" customHeight="1"/>
    <row r="310" ht="13" customHeight="1"/>
    <row r="311" ht="13" customHeight="1"/>
    <row r="312" ht="13" customHeight="1"/>
    <row r="313" ht="13" customHeight="1"/>
    <row r="314" ht="13" customHeight="1"/>
    <row r="315" ht="13" customHeight="1"/>
    <row r="316" ht="13" customHeight="1"/>
    <row r="317" ht="13" customHeight="1"/>
    <row r="318" ht="13" customHeight="1"/>
    <row r="319" ht="13" customHeight="1"/>
    <row r="320" ht="13" customHeight="1"/>
    <row r="321" ht="13" customHeight="1"/>
    <row r="322" ht="13" customHeight="1"/>
    <row r="323" ht="13" customHeight="1"/>
    <row r="324" ht="13" customHeight="1"/>
    <row r="325" ht="13" customHeight="1"/>
    <row r="326" ht="13" customHeight="1"/>
    <row r="327" ht="13" customHeight="1"/>
    <row r="328" ht="13" customHeight="1"/>
    <row r="329" ht="13" customHeight="1"/>
    <row r="330" ht="13" customHeight="1"/>
    <row r="331" ht="13" customHeight="1"/>
    <row r="332" ht="13" customHeight="1"/>
    <row r="333" ht="13" customHeight="1"/>
    <row r="334" ht="13" customHeight="1"/>
    <row r="335" ht="13" customHeight="1"/>
    <row r="336" ht="13" customHeight="1"/>
    <row r="337" ht="13" customHeight="1"/>
    <row r="338" ht="13" customHeight="1"/>
    <row r="339" ht="13" customHeight="1"/>
    <row r="340" ht="13" customHeight="1"/>
    <row r="341" ht="13" customHeight="1"/>
    <row r="342" ht="13" customHeight="1"/>
    <row r="343" ht="13" customHeight="1"/>
    <row r="344" ht="13" customHeight="1"/>
    <row r="345" ht="13" customHeight="1"/>
    <row r="346" ht="13" customHeight="1"/>
    <row r="347" ht="13" customHeight="1"/>
    <row r="348" ht="13" customHeight="1"/>
    <row r="349" ht="13" customHeight="1"/>
    <row r="350" ht="13" customHeight="1"/>
    <row r="351" ht="13" customHeight="1"/>
    <row r="352" ht="13" customHeight="1"/>
    <row r="353" ht="13" customHeight="1"/>
    <row r="354" ht="13" customHeight="1"/>
    <row r="355" ht="13" customHeight="1"/>
    <row r="356" ht="13" customHeight="1"/>
    <row r="357" ht="13" customHeight="1"/>
    <row r="358" ht="13" customHeight="1"/>
    <row r="359" ht="13" customHeight="1"/>
    <row r="360" ht="13" customHeight="1"/>
    <row r="361" ht="13" customHeight="1"/>
    <row r="362" ht="13" customHeight="1"/>
    <row r="363" ht="13" customHeight="1"/>
    <row r="364" ht="13" customHeight="1"/>
    <row r="365" ht="13" customHeight="1"/>
    <row r="366" ht="13" customHeight="1"/>
    <row r="367" ht="13" customHeight="1"/>
    <row r="368" ht="13" customHeight="1"/>
    <row r="369" ht="13" customHeight="1"/>
    <row r="370" ht="13" customHeight="1"/>
    <row r="371" ht="13" customHeight="1"/>
    <row r="372" ht="13" customHeight="1"/>
    <row r="373" ht="13" customHeight="1"/>
    <row r="374" ht="13" customHeight="1"/>
    <row r="375" ht="13" customHeight="1"/>
    <row r="376" ht="13" customHeight="1"/>
    <row r="377" ht="13" customHeight="1"/>
    <row r="378" ht="13" customHeight="1"/>
    <row r="379" ht="13" customHeight="1"/>
    <row r="380" ht="13" customHeight="1"/>
    <row r="381" ht="13" customHeight="1"/>
    <row r="382" ht="13" customHeight="1"/>
    <row r="383" ht="13" customHeight="1"/>
    <row r="384" ht="13" customHeight="1"/>
    <row r="385" ht="13" customHeight="1"/>
    <row r="386" ht="13" customHeight="1"/>
    <row r="387" ht="13" customHeight="1"/>
    <row r="388" ht="13" customHeight="1"/>
    <row r="389" ht="13" customHeight="1"/>
    <row r="390" ht="13" customHeight="1"/>
    <row r="391" ht="13" customHeight="1"/>
    <row r="392" ht="13" customHeight="1"/>
    <row r="393" ht="13" customHeight="1"/>
    <row r="394" ht="13" customHeight="1"/>
    <row r="395" ht="13" customHeight="1"/>
    <row r="396" ht="13" customHeight="1"/>
    <row r="397" ht="13" customHeight="1"/>
    <row r="398" ht="13" customHeight="1"/>
    <row r="399" ht="13" customHeight="1"/>
    <row r="400" ht="13" customHeight="1"/>
    <row r="401" ht="13" customHeight="1"/>
    <row r="402" ht="13" customHeight="1"/>
    <row r="403" ht="13" customHeight="1"/>
    <row r="404" ht="13" customHeight="1"/>
    <row r="405" ht="13" customHeight="1"/>
    <row r="406" ht="13" customHeight="1"/>
    <row r="407" ht="13" customHeight="1"/>
    <row r="408" ht="13" customHeight="1"/>
    <row r="409" ht="13" customHeight="1"/>
    <row r="410" ht="13" customHeight="1"/>
    <row r="411" ht="13" customHeight="1"/>
    <row r="412" ht="13" customHeight="1"/>
    <row r="413" ht="13" customHeight="1"/>
    <row r="414" ht="13" customHeight="1"/>
    <row r="415" ht="13" customHeight="1"/>
    <row r="416" ht="13" customHeight="1"/>
    <row r="417" ht="13" customHeight="1"/>
    <row r="418" ht="13" customHeight="1"/>
    <row r="419" ht="13" customHeight="1"/>
    <row r="420" ht="13" customHeight="1"/>
    <row r="421" ht="13" customHeight="1"/>
    <row r="422" ht="13" customHeight="1"/>
    <row r="423" ht="13" customHeight="1"/>
    <row r="424" ht="13" customHeight="1"/>
    <row r="425" ht="13" customHeight="1"/>
    <row r="426" ht="13" customHeight="1"/>
    <row r="427" ht="13" customHeight="1"/>
    <row r="428" ht="13" customHeight="1"/>
    <row r="429" ht="13" customHeight="1"/>
    <row r="430" ht="13" customHeight="1"/>
    <row r="431" ht="13" customHeight="1"/>
    <row r="432" ht="13" customHeight="1"/>
    <row r="433" ht="13" customHeight="1"/>
    <row r="434" ht="13" customHeight="1"/>
    <row r="435" ht="13" customHeight="1"/>
    <row r="436" ht="13" customHeight="1"/>
    <row r="437" ht="13" customHeight="1"/>
    <row r="438" ht="13" customHeight="1"/>
    <row r="439" ht="13" customHeight="1"/>
    <row r="440" ht="13" customHeight="1"/>
    <row r="441" ht="13" customHeight="1"/>
    <row r="442" ht="13" customHeight="1"/>
    <row r="443" ht="13" customHeight="1"/>
    <row r="444" ht="13" customHeight="1"/>
    <row r="445" ht="13" customHeight="1"/>
    <row r="446" ht="13" customHeight="1"/>
    <row r="447" ht="13" customHeight="1"/>
    <row r="448" ht="13" customHeight="1"/>
    <row r="449" ht="13" customHeight="1"/>
    <row r="450" ht="13" customHeight="1"/>
    <row r="451" ht="13" customHeight="1"/>
    <row r="452" ht="13" customHeight="1"/>
    <row r="453" ht="13" customHeight="1"/>
    <row r="454" ht="13" customHeight="1"/>
    <row r="455" ht="13" customHeight="1"/>
    <row r="456" ht="13" customHeight="1"/>
    <row r="457" ht="13" customHeight="1"/>
    <row r="458" ht="13" customHeight="1"/>
    <row r="459" ht="13" customHeight="1"/>
    <row r="460" ht="13" customHeight="1"/>
    <row r="461" ht="13" customHeight="1"/>
    <row r="462" ht="13" customHeight="1"/>
    <row r="463" ht="13" customHeight="1"/>
    <row r="464" ht="13" customHeight="1"/>
    <row r="465" ht="13" customHeight="1"/>
    <row r="466" ht="13" customHeight="1"/>
    <row r="467" ht="13" customHeight="1"/>
    <row r="468" ht="13" customHeight="1"/>
    <row r="469" ht="13" customHeight="1"/>
    <row r="470" ht="13" customHeight="1"/>
    <row r="471" ht="13" customHeight="1"/>
    <row r="472" ht="13" customHeight="1"/>
    <row r="473" ht="13" customHeight="1"/>
    <row r="474" ht="13" customHeight="1"/>
    <row r="475" ht="13" customHeight="1"/>
    <row r="476" ht="13" customHeight="1"/>
    <row r="477" ht="13" customHeight="1"/>
    <row r="478" ht="13" customHeight="1"/>
    <row r="479" ht="13" customHeight="1"/>
    <row r="480" ht="13" customHeight="1"/>
    <row r="481" ht="13" customHeight="1"/>
    <row r="482" ht="13" customHeight="1"/>
    <row r="483" ht="13" customHeight="1"/>
    <row r="484" ht="13" customHeight="1"/>
    <row r="485" ht="13" customHeight="1"/>
    <row r="486" ht="13" customHeight="1"/>
    <row r="487" ht="13" customHeight="1"/>
    <row r="488" ht="13" customHeight="1"/>
    <row r="489" ht="13" customHeight="1"/>
    <row r="490" ht="13" customHeight="1"/>
    <row r="491" ht="13" customHeight="1"/>
    <row r="492" ht="13" customHeight="1"/>
    <row r="493" ht="13" customHeight="1"/>
    <row r="494" ht="13" customHeight="1"/>
    <row r="495" ht="13" customHeight="1"/>
    <row r="496" ht="13" customHeight="1"/>
    <row r="497" ht="13" customHeight="1"/>
    <row r="498" ht="13" customHeight="1"/>
    <row r="499" ht="13" customHeight="1"/>
    <row r="500" ht="13" customHeight="1"/>
    <row r="501" ht="13" customHeight="1"/>
    <row r="502" ht="13" customHeight="1"/>
    <row r="503" ht="13" customHeight="1"/>
    <row r="504" ht="13" customHeight="1"/>
    <row r="505" ht="13" customHeight="1"/>
    <row r="506" ht="13" customHeight="1"/>
    <row r="507" ht="13" customHeight="1"/>
    <row r="508" ht="13" customHeight="1"/>
    <row r="509" ht="13" customHeight="1"/>
    <row r="510" ht="13" customHeight="1"/>
    <row r="511" ht="13" customHeight="1"/>
    <row r="512" ht="13" customHeight="1"/>
    <row r="513" ht="13" customHeight="1"/>
    <row r="514" ht="13" customHeight="1"/>
    <row r="515" ht="13" customHeight="1"/>
    <row r="516" ht="13" customHeight="1"/>
    <row r="517" ht="13" customHeight="1"/>
    <row r="518" ht="13" customHeight="1"/>
    <row r="519" ht="13" customHeight="1"/>
    <row r="520" ht="13" customHeight="1"/>
    <row r="521" ht="13" customHeight="1"/>
    <row r="522" ht="13" customHeight="1"/>
    <row r="523" ht="13" customHeight="1"/>
    <row r="524" ht="13" customHeight="1"/>
    <row r="525" ht="13" customHeight="1"/>
    <row r="526" ht="13" customHeight="1"/>
    <row r="527" ht="13" customHeight="1"/>
    <row r="528" ht="13" customHeight="1"/>
    <row r="529" ht="13" customHeight="1"/>
    <row r="530" ht="13" customHeight="1"/>
    <row r="531" ht="13" customHeight="1"/>
    <row r="532" ht="13" customHeight="1"/>
    <row r="533" ht="13" customHeight="1"/>
    <row r="534" ht="13" customHeight="1"/>
    <row r="535" ht="13" customHeight="1"/>
    <row r="536" ht="13" customHeight="1"/>
    <row r="537" ht="13" customHeight="1"/>
    <row r="538" ht="13" customHeight="1"/>
    <row r="539" ht="13" customHeight="1"/>
    <row r="540" ht="13" customHeight="1"/>
    <row r="541" ht="13" customHeight="1"/>
    <row r="542" ht="13" customHeight="1"/>
    <row r="543" ht="13" customHeight="1"/>
    <row r="544" ht="13" customHeight="1"/>
    <row r="545" ht="13" customHeight="1"/>
    <row r="546" ht="13" customHeight="1"/>
    <row r="547" ht="13" customHeight="1"/>
    <row r="548" ht="13" customHeight="1"/>
    <row r="549" ht="13" customHeight="1"/>
    <row r="550" ht="13" customHeight="1"/>
    <row r="551" ht="13" customHeight="1"/>
    <row r="552" ht="13" customHeight="1"/>
    <row r="553" ht="13" customHeight="1"/>
    <row r="554" ht="13" customHeight="1"/>
    <row r="555" ht="13" customHeight="1"/>
    <row r="556" ht="13" customHeight="1"/>
    <row r="557" ht="13" customHeight="1"/>
    <row r="558" ht="13" customHeight="1"/>
    <row r="559" ht="13" customHeight="1"/>
    <row r="560" ht="13" customHeight="1"/>
    <row r="561" ht="13" customHeight="1"/>
    <row r="562" ht="13" customHeight="1"/>
    <row r="563" ht="13" customHeight="1"/>
    <row r="564" ht="13" customHeight="1"/>
    <row r="565" ht="13" customHeight="1"/>
    <row r="566" ht="13" customHeight="1"/>
    <row r="567" ht="13" customHeight="1"/>
    <row r="568" ht="13" customHeight="1"/>
    <row r="569" ht="13" customHeight="1"/>
    <row r="570" ht="13" customHeight="1"/>
    <row r="571" ht="13" customHeight="1"/>
    <row r="572" ht="13" customHeight="1"/>
    <row r="573" ht="13" customHeight="1"/>
    <row r="574" ht="13" customHeight="1"/>
    <row r="575" ht="13" customHeight="1"/>
    <row r="576" ht="13" customHeight="1"/>
    <row r="577" ht="13" customHeight="1"/>
    <row r="578" ht="13" customHeight="1"/>
    <row r="579" ht="13" customHeight="1"/>
    <row r="580" ht="13" customHeight="1"/>
    <row r="581" ht="13" customHeight="1"/>
    <row r="582" ht="13" customHeight="1"/>
    <row r="583" ht="13" customHeight="1"/>
    <row r="584" ht="13" customHeight="1"/>
    <row r="585" ht="13" customHeight="1"/>
  </sheetData>
  <mergeCells count="68">
    <mergeCell ref="B97:C97"/>
    <mergeCell ref="A98:D98"/>
    <mergeCell ref="E78:G78"/>
    <mergeCell ref="H78:J78"/>
    <mergeCell ref="B79:C79"/>
    <mergeCell ref="B80:C80"/>
    <mergeCell ref="B81:C81"/>
    <mergeCell ref="B82:C82"/>
    <mergeCell ref="B94:C94"/>
    <mergeCell ref="B96:C96"/>
    <mergeCell ref="B91:C91"/>
    <mergeCell ref="B93:C93"/>
    <mergeCell ref="B83:C83"/>
    <mergeCell ref="B88:C88"/>
    <mergeCell ref="B89:C89"/>
    <mergeCell ref="B90:C90"/>
    <mergeCell ref="B74:C74"/>
    <mergeCell ref="D74:J74"/>
    <mergeCell ref="B67:C67"/>
    <mergeCell ref="D67:J67"/>
    <mergeCell ref="B68:C68"/>
    <mergeCell ref="D68:J68"/>
    <mergeCell ref="B70:C70"/>
    <mergeCell ref="D70:J70"/>
    <mergeCell ref="B71:C71"/>
    <mergeCell ref="D71:J71"/>
    <mergeCell ref="B73:C73"/>
    <mergeCell ref="D73:J73"/>
    <mergeCell ref="B65:C65"/>
    <mergeCell ref="D65:J65"/>
    <mergeCell ref="B72:C72"/>
    <mergeCell ref="D72:J72"/>
    <mergeCell ref="B69:C69"/>
    <mergeCell ref="D69:J69"/>
    <mergeCell ref="B66:C66"/>
    <mergeCell ref="D66:J66"/>
    <mergeCell ref="B45:C45"/>
    <mergeCell ref="B46:C46"/>
    <mergeCell ref="B47:C47"/>
    <mergeCell ref="B49:C49"/>
    <mergeCell ref="B55:C55"/>
    <mergeCell ref="B57:C57"/>
    <mergeCell ref="B50:C50"/>
    <mergeCell ref="B51:C51"/>
    <mergeCell ref="B64:C64"/>
    <mergeCell ref="D64:J64"/>
    <mergeCell ref="E52:G52"/>
    <mergeCell ref="H52:J52"/>
    <mergeCell ref="B58:C58"/>
    <mergeCell ref="B59:C59"/>
    <mergeCell ref="B53:C53"/>
    <mergeCell ref="B54:C54"/>
    <mergeCell ref="B44:C44"/>
    <mergeCell ref="B37:C37"/>
    <mergeCell ref="B38:C38"/>
    <mergeCell ref="B25:C25"/>
    <mergeCell ref="B26:C26"/>
    <mergeCell ref="B27:C27"/>
    <mergeCell ref="B30:C30"/>
    <mergeCell ref="B34:C34"/>
    <mergeCell ref="B35:C35"/>
    <mergeCell ref="B39:C39"/>
    <mergeCell ref="B20:C20"/>
    <mergeCell ref="A1:K1"/>
    <mergeCell ref="B3:C3"/>
    <mergeCell ref="B14:C14"/>
    <mergeCell ref="B16:C16"/>
    <mergeCell ref="B18:C18"/>
  </mergeCells>
  <phoneticPr fontId="0" type="noConversion"/>
  <pageMargins left="0.78749999999999998" right="0.39374999999999999" top="0.33333333333333337" bottom="0.39375000000000004" header="0.11805555555555557" footer="0.11805555555555557"/>
  <pageSetup paperSize="9" scale="80" firstPageNumber="0" orientation="portrait" horizontalDpi="300" verticalDpi="300"/>
  <headerFooter alignWithMargins="0">
    <oddFooter>&amp;LArial CE,kurzíva\&amp;12List č. &amp;P z &amp;N</oddFooter>
  </headerFooter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Specifikace VIS</vt:lpstr>
      <vt:lpstr>Doba instalace</vt:lpstr>
      <vt:lpstr>Kalkulace</vt:lpstr>
      <vt:lpstr>Kalkulace!Názvy_tisku</vt:lpstr>
      <vt:lpstr>Kalkulace!Oblast_tisku</vt:lpstr>
      <vt:lpstr>'Specifikace VIS'!Oblast_tisku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</dc:creator>
  <cp:lastModifiedBy>Vladimir Pavlik</cp:lastModifiedBy>
  <cp:lastPrinted>2016-04-23T11:43:56Z</cp:lastPrinted>
  <dcterms:created xsi:type="dcterms:W3CDTF">2009-06-04T13:50:58Z</dcterms:created>
  <dcterms:modified xsi:type="dcterms:W3CDTF">2025-02-11T19:15:47Z</dcterms:modified>
</cp:coreProperties>
</file>