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https://regiozona.sharepoint.com/sites/RZ/Sdilene dokumenty/02/02_VZ/MMR/2016_134/2021/MMR_H/ZPŘ_SP_Těrlicko/IV/06_Dodatek/D2/"/>
    </mc:Choice>
  </mc:AlternateContent>
  <xr:revisionPtr revIDLastSave="1" documentId="13_ncr:1_{69F63C91-9FDE-4090-9773-96C198649475}" xr6:coauthVersionLast="47" xr6:coauthVersionMax="47" xr10:uidLastSave="{3E775F55-EE7D-4D59-9674-69C17E0198BC}"/>
  <bookViews>
    <workbookView xWindow="-108" yWindow="-108" windowWidth="23256" windowHeight="12456" tabRatio="862" activeTab="2" xr2:uid="{00000000-000D-0000-FFFF-FFFF00000000}"/>
  </bookViews>
  <sheets>
    <sheet name="PŘEHLED" sheetId="9" r:id="rId1"/>
    <sheet name="1" sheetId="10" r:id="rId2"/>
    <sheet name="2" sheetId="11" r:id="rId3"/>
    <sheet name="3" sheetId="12" r:id="rId4"/>
    <sheet name="5" sheetId="14" r:id="rId5"/>
    <sheet name="6" sheetId="15" r:id="rId6"/>
    <sheet name="7" sheetId="16" r:id="rId7"/>
    <sheet name="8" sheetId="18" r:id="rId8"/>
  </sheets>
  <calcPr calcId="191029"/>
  <extLst>
    <ext xmlns:x14="http://schemas.microsoft.com/office/spreadsheetml/2009/9/main" uri="{79F54976-1DA5-4618-B147-4CDE4B953A38}">
      <x14:workbookPr defaultImageDpi="32767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16" l="1"/>
  <c r="F12" i="18"/>
  <c r="F13" i="18" s="1"/>
  <c r="F10" i="18" s="1"/>
  <c r="F6" i="18"/>
  <c r="H10" i="18" l="1"/>
  <c r="F7" i="18" l="1"/>
  <c r="H14" i="18"/>
  <c r="G4" i="16"/>
  <c r="F61" i="10"/>
  <c r="F47" i="10"/>
  <c r="F48" i="10" s="1"/>
  <c r="F43" i="10" s="1"/>
  <c r="H43" i="10" s="1"/>
  <c r="F45" i="10"/>
  <c r="F33" i="10"/>
  <c r="F31" i="10"/>
  <c r="F15" i="10"/>
  <c r="F13" i="10"/>
  <c r="F16" i="10"/>
  <c r="E8" i="14"/>
  <c r="E4" i="14" s="1"/>
  <c r="E13" i="14"/>
  <c r="E17" i="14"/>
  <c r="G4" i="15"/>
  <c r="E7" i="15"/>
  <c r="G7" i="15" s="1"/>
  <c r="E8" i="15"/>
  <c r="G8" i="15" s="1"/>
  <c r="E72" i="11"/>
  <c r="G72" i="11" s="1"/>
  <c r="E74" i="11"/>
  <c r="E17" i="11"/>
  <c r="E20" i="11" s="1"/>
  <c r="E8" i="11" s="1"/>
  <c r="E9" i="11" s="1"/>
  <c r="E32" i="11"/>
  <c r="E35" i="11"/>
  <c r="E55" i="11"/>
  <c r="E13" i="11"/>
  <c r="E15" i="11"/>
  <c r="G21" i="11"/>
  <c r="E30" i="11"/>
  <c r="E34" i="11"/>
  <c r="E24" i="11"/>
  <c r="G24" i="11"/>
  <c r="E41" i="11"/>
  <c r="E36" i="11" s="1"/>
  <c r="G36" i="11" s="1"/>
  <c r="E54" i="11"/>
  <c r="G56" i="11"/>
  <c r="E62" i="11"/>
  <c r="E65" i="11"/>
  <c r="E66" i="11"/>
  <c r="E59" i="11"/>
  <c r="G59" i="11"/>
  <c r="E71" i="11"/>
  <c r="E69" i="11"/>
  <c r="G69" i="11" s="1"/>
  <c r="G76" i="11"/>
  <c r="G9" i="12"/>
  <c r="G7" i="12"/>
  <c r="G4" i="12"/>
  <c r="G10" i="12" s="1"/>
  <c r="D8" i="9" s="1"/>
  <c r="F8" i="9" s="1"/>
  <c r="F56" i="10"/>
  <c r="H35" i="10"/>
  <c r="F29" i="10"/>
  <c r="F34" i="10"/>
  <c r="F11" i="10"/>
  <c r="E7" i="11"/>
  <c r="F42" i="10"/>
  <c r="E78" i="11" l="1"/>
  <c r="G78" i="11" s="1"/>
  <c r="E4" i="11"/>
  <c r="E19" i="11"/>
  <c r="E11" i="11" s="1"/>
  <c r="G11" i="11" s="1"/>
  <c r="G4" i="14"/>
  <c r="G19" i="14" s="1"/>
  <c r="E9" i="9" s="1"/>
  <c r="F9" i="9" s="1"/>
  <c r="F4" i="10"/>
  <c r="F17" i="10" s="1"/>
  <c r="F22" i="10"/>
  <c r="H22" i="10" s="1"/>
  <c r="F49" i="10"/>
  <c r="H49" i="10" s="1"/>
  <c r="F4" i="18"/>
  <c r="F8" i="18" s="1"/>
  <c r="G10" i="15"/>
  <c r="G6" i="16"/>
  <c r="E11" i="9" s="1"/>
  <c r="F11" i="9" s="1"/>
  <c r="F18" i="10" l="1"/>
  <c r="H18" i="10" s="1"/>
  <c r="E10" i="11"/>
  <c r="G10" i="11" s="1"/>
  <c r="G4" i="11"/>
  <c r="G80" i="11" s="1"/>
  <c r="E7" i="9" s="1"/>
  <c r="F7" i="9" s="1"/>
  <c r="F63" i="10"/>
  <c r="H63" i="10" s="1"/>
  <c r="F21" i="10"/>
  <c r="H21" i="10" s="1"/>
  <c r="F20" i="10"/>
  <c r="H20" i="10" s="1"/>
  <c r="H17" i="10"/>
  <c r="H4" i="10"/>
  <c r="H65" i="10" s="1"/>
  <c r="E6" i="9" s="1"/>
  <c r="F6" i="9" s="1"/>
  <c r="H4" i="18"/>
  <c r="F9" i="18"/>
  <c r="H9" i="18" s="1"/>
  <c r="H8" i="18"/>
  <c r="D10" i="9"/>
  <c r="F10" i="9" s="1"/>
  <c r="F19" i="10"/>
  <c r="H19" i="10" s="1"/>
  <c r="H16" i="18" l="1"/>
  <c r="E12" i="9" s="1"/>
  <c r="F12" i="9" s="1"/>
  <c r="F14" i="9" s="1"/>
</calcChain>
</file>

<file path=xl/sharedStrings.xml><?xml version="1.0" encoding="utf-8"?>
<sst xmlns="http://schemas.openxmlformats.org/spreadsheetml/2006/main" count="502" uniqueCount="195">
  <si>
    <t>Stavba:</t>
  </si>
  <si>
    <t/>
  </si>
  <si>
    <t>Popis</t>
  </si>
  <si>
    <t>2</t>
  </si>
  <si>
    <t>5</t>
  </si>
  <si>
    <t>K</t>
  </si>
  <si>
    <t>3</t>
  </si>
  <si>
    <t>4</t>
  </si>
  <si>
    <t>6</t>
  </si>
  <si>
    <t>7</t>
  </si>
  <si>
    <t>9</t>
  </si>
  <si>
    <t>VV</t>
  </si>
  <si>
    <t>m3</t>
  </si>
  <si>
    <t>133351102</t>
  </si>
  <si>
    <t>Hloubení nezapažených šachet strojně v hornině třídy těžitelnosti II skupiny 4 přes 20 do 50 m3</t>
  </si>
  <si>
    <t>Patky branek</t>
  </si>
  <si>
    <t>0,500*0,500*0,700*8</t>
  </si>
  <si>
    <t>Patky oplocení v. 4,0 m</t>
  </si>
  <si>
    <t>0,600*0,600*0,700*38</t>
  </si>
  <si>
    <t>Patky oplocení v. 6,0 m</t>
  </si>
  <si>
    <t>0,800*0,600*0,700*38</t>
  </si>
  <si>
    <t>162251102</t>
  </si>
  <si>
    <t>Vodorovné přemístění výkopku nebo sypaniny po suchu na obvyklém dopravním prostředku, bez naložení výkopku, avšak se složením bez rozhrnutí z horniny třídy těžitelnosti I skupiny 1 až 3 na vzdálenost přes 20 do 50 m</t>
  </si>
  <si>
    <t>Dle pol. 132 35 4104</t>
  </si>
  <si>
    <t>165,527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</si>
  <si>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</si>
  <si>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</si>
  <si>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</si>
  <si>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</si>
  <si>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167151111</t>
  </si>
  <si>
    <t>Nakládání, skládání a překládání neulehlého výkopku nebo sypaniny strojně nakládání, množství přes 100 m3, z hornin třídy těžitelnosti I, skupiny 1 až 3</t>
  </si>
  <si>
    <t>171201231</t>
  </si>
  <si>
    <t>Poplatek za uložení stavebního odpadu na recyklační skládce (skládkovné) zeminy a kamení zatříděného do Katalogu odpadů pod kódem 17 05 04</t>
  </si>
  <si>
    <t>t</t>
  </si>
  <si>
    <t>m2</t>
  </si>
  <si>
    <t>kg</t>
  </si>
  <si>
    <t>m</t>
  </si>
  <si>
    <t>27</t>
  </si>
  <si>
    <t>26</t>
  </si>
  <si>
    <t>271532212</t>
  </si>
  <si>
    <t>Podsyp pod základové konstrukce se zhutněním a urovnáním povrchu z kameniva hrubého, frakce 16 - 32 mm</t>
  </si>
  <si>
    <t>0,500*0,500*0,100*8</t>
  </si>
  <si>
    <t>0,600*0,600*0,100*37</t>
  </si>
  <si>
    <t>0,800*0,600*0,100*38</t>
  </si>
  <si>
    <t>275322511</t>
  </si>
  <si>
    <t>Základy z betonu železového (bez výztuže) patky z betonu se zvýšenými nároky na prostředí tř. C 25/30</t>
  </si>
  <si>
    <t>0,500*0,500*0,950*8</t>
  </si>
  <si>
    <t>0,600*0,600*0,800*37</t>
  </si>
  <si>
    <t>0,800*0,600*0,800*38</t>
  </si>
  <si>
    <t>28</t>
  </si>
  <si>
    <t>275351121</t>
  </si>
  <si>
    <t>Bednění základů patek zřízení</t>
  </si>
  <si>
    <t>0,500*0,400*4*8</t>
  </si>
  <si>
    <t>0,600*0,400*4*37</t>
  </si>
  <si>
    <t>0,800*0,400*4*38</t>
  </si>
  <si>
    <t>29</t>
  </si>
  <si>
    <t>275351122</t>
  </si>
  <si>
    <t>Bednění základů patek odstranění</t>
  </si>
  <si>
    <t>56</t>
  </si>
  <si>
    <t>ks</t>
  </si>
  <si>
    <t>910XC0101</t>
  </si>
  <si>
    <t>Osazení skryté obruby z pozinkovaného plechu do betonové lože</t>
  </si>
  <si>
    <t>mlatová cesta</t>
  </si>
  <si>
    <t>138,000</t>
  </si>
  <si>
    <t>57</t>
  </si>
  <si>
    <t>13515112</t>
  </si>
  <si>
    <t>ocel široká jakost S235JR 200x6mm</t>
  </si>
  <si>
    <t>138,000*0,200*0,006*7,850</t>
  </si>
  <si>
    <t>58</t>
  </si>
  <si>
    <t>910XC0102</t>
  </si>
  <si>
    <t>Přirážka za potinkování ocelové obruby</t>
  </si>
  <si>
    <t>62</t>
  </si>
  <si>
    <t>76703R101</t>
  </si>
  <si>
    <t>Přírážka za pozinkování ocelových výrobků</t>
  </si>
  <si>
    <t>Dle pol. 737 99 5113</t>
  </si>
  <si>
    <t>4009,000</t>
  </si>
  <si>
    <t>63</t>
  </si>
  <si>
    <t>767995113</t>
  </si>
  <si>
    <t>Montáž ostatních atypických zámečnických konstrukcí hmotnosti přes 10 do 20 kg</t>
  </si>
  <si>
    <t>64</t>
  </si>
  <si>
    <t>767M0100</t>
  </si>
  <si>
    <t>trubka konstrukční ocelová 89x4 mm</t>
  </si>
  <si>
    <t>Sloupy oplocení v. 6,0 m</t>
  </si>
  <si>
    <t>6,800*38</t>
  </si>
  <si>
    <t>65</t>
  </si>
  <si>
    <t>767M0101</t>
  </si>
  <si>
    <t>trubka konstrukční ocelová 76x4 mm</t>
  </si>
  <si>
    <t>Sloupy oplocení v. 4,0 m</t>
  </si>
  <si>
    <t>4,800*4</t>
  </si>
  <si>
    <t>66</t>
  </si>
  <si>
    <t>767M0102</t>
  </si>
  <si>
    <t>trubka konstrukční ocelová 76x3 mm</t>
  </si>
  <si>
    <t>4,800*32</t>
  </si>
  <si>
    <t>2,800*2</t>
  </si>
  <si>
    <t>Horní spojnice</t>
  </si>
  <si>
    <t>2,750+1,250+3,000+3,000+1,000</t>
  </si>
  <si>
    <t>67</t>
  </si>
  <si>
    <t>767M0103</t>
  </si>
  <si>
    <t>trubka konstrukční ocelová 60x3 mm</t>
  </si>
  <si>
    <t>Vzpěry oplocení v. 4,0 m</t>
  </si>
  <si>
    <t>4,400*8</t>
  </si>
  <si>
    <t>Vzpěryoplocení v. 6,0 m</t>
  </si>
  <si>
    <t>6,400*8</t>
  </si>
  <si>
    <t>68</t>
  </si>
  <si>
    <t>767M0104</t>
  </si>
  <si>
    <t>trubka konstrukční ocelová 57x3 mm</t>
  </si>
  <si>
    <t>Horní ztužení</t>
  </si>
  <si>
    <t>55,000+54,000</t>
  </si>
  <si>
    <t>69</t>
  </si>
  <si>
    <t>MAT03001</t>
  </si>
  <si>
    <t>spojovací a nespecifikovaný  materiál</t>
  </si>
  <si>
    <t>4009,000*8/100</t>
  </si>
  <si>
    <t>72</t>
  </si>
  <si>
    <t>Dodávka a montáž kovové 1-kř. brány 125x200 cm, vč. povrchové úpravy, pantů, kování a zámku</t>
  </si>
  <si>
    <t>73</t>
  </si>
  <si>
    <t>767XC0204</t>
  </si>
  <si>
    <t>Dodávka a montáž kovové 1-kř. brány 100x200 cm, vč. povrchové úpravy, pantů, kování a zámku</t>
  </si>
  <si>
    <t>74</t>
  </si>
  <si>
    <t>998767101</t>
  </si>
  <si>
    <t>Přesun hmot pro zámečnické konstrukce stanovený z hmotnosti přesunovaného materiálu vodorovná dopravní vzdálenost do 50 m v objektech výšky do 6 m</t>
  </si>
  <si>
    <t>ztužení nad brankama:</t>
  </si>
  <si>
    <t>109 bm (4,22 kg/bm)</t>
  </si>
  <si>
    <t>109 (4,22 kg/bm)</t>
  </si>
  <si>
    <t>229 m * 4,22 kg</t>
  </si>
  <si>
    <t>SOD</t>
  </si>
  <si>
    <t>Označení</t>
  </si>
  <si>
    <t>Méněpráce (cena bez DPH)</t>
  </si>
  <si>
    <t>Vícepráce (cena bez DPH)</t>
  </si>
  <si>
    <t>Rozdíl (cena bez DPH)</t>
  </si>
  <si>
    <t xml:space="preserve">Položkový rozpočet </t>
  </si>
  <si>
    <t>#TypZaznamu#</t>
  </si>
  <si>
    <t>OBJ</t>
  </si>
  <si>
    <t>Název:</t>
  </si>
  <si>
    <t>ROZ</t>
  </si>
  <si>
    <t>MULTIFUNKČNÍ SPORTOVIŠTĚ TĚRLICKO</t>
  </si>
  <si>
    <t>NOVÁ</t>
  </si>
  <si>
    <t>275321311</t>
  </si>
  <si>
    <t>Základové patky ze ŽB bez zvýšených nároků na prostředí tř. C 16/20</t>
  </si>
  <si>
    <t>OPLOCENÍ - PATKY</t>
  </si>
  <si>
    <t>OPLOCE - TRUBKY</t>
  </si>
  <si>
    <t>OPLOCENÍ - SLOUPKY</t>
  </si>
  <si>
    <t>NOVÉ</t>
  </si>
  <si>
    <t>6,800*38 ks (8,39 kg/bm)</t>
  </si>
  <si>
    <t>SOD:</t>
  </si>
  <si>
    <t>4168,96*8/100</t>
  </si>
  <si>
    <t>OBRUBNÍK</t>
  </si>
  <si>
    <t>6,800*40</t>
  </si>
  <si>
    <t>6,800*40 ks (8,39 kg/bm)</t>
  </si>
  <si>
    <t>272 bm * 8,39 kg</t>
  </si>
  <si>
    <t>4,800*33 + 2,9*3</t>
  </si>
  <si>
    <t>4,800*33 ks + 2,9*3 ks (5,75 kg/bm)</t>
  </si>
  <si>
    <t>167,1 * 5,75 kg</t>
  </si>
  <si>
    <t>P1: 1,25 m</t>
  </si>
  <si>
    <t>P2: 2,75 m</t>
  </si>
  <si>
    <t>P3: 3,5 m</t>
  </si>
  <si>
    <t>P4: 1,25 m</t>
  </si>
  <si>
    <t>P5: 1,25 m</t>
  </si>
  <si>
    <t>P6: 1,25 m</t>
  </si>
  <si>
    <t>R1</t>
  </si>
  <si>
    <t>Dodávka a montáž kovové 2-kř. brány 350x250 cm, vč. povrchové úpravy, pantů, kování, zástrčí a zámku</t>
  </si>
  <si>
    <t>STATICKÉ ZKOUŠKY</t>
  </si>
  <si>
    <t>043194000</t>
  </si>
  <si>
    <t>Ostatní zkoušky</t>
  </si>
  <si>
    <t>…</t>
  </si>
  <si>
    <t>Statická zatěžovací zkouška (3x pláň, 3x konstrukce)</t>
  </si>
  <si>
    <t>3+3</t>
  </si>
  <si>
    <t>PŘED REALIZACÍ</t>
  </si>
  <si>
    <t>BĚHEM REALIZACE</t>
  </si>
  <si>
    <t>1,1*0,8*1*40</t>
  </si>
  <si>
    <t>0,9*0,8*1*36</t>
  </si>
  <si>
    <t>0,9*0,8*0,1*36</t>
  </si>
  <si>
    <t>1,1*0,8*0,1*40</t>
  </si>
  <si>
    <t>(0,9*0,8*1*36)*1,08</t>
  </si>
  <si>
    <t>(1,1*0,8*1*40)*1,08</t>
  </si>
  <si>
    <t>0,9*0,4*4*36</t>
  </si>
  <si>
    <t>1,1*0,4*4*40</t>
  </si>
  <si>
    <t>034103000</t>
  </si>
  <si>
    <t>MOBILNÍ OPLOCENÍ</t>
  </si>
  <si>
    <t>OCELOVÝ OBRUBNÍK</t>
  </si>
  <si>
    <t>Oplocení staveniště - pronájem mimo dobu předání staveniště</t>
  </si>
  <si>
    <t>PATKY OSVĚTLENÍ</t>
  </si>
  <si>
    <t>Patky osvětlení</t>
  </si>
  <si>
    <t>D+M KG potrubí - chránička pro stožáry (včetně vytažení chráničky na kabely)</t>
  </si>
  <si>
    <t>REV1</t>
  </si>
  <si>
    <t>REV2</t>
  </si>
  <si>
    <t>REV3</t>
  </si>
  <si>
    <t>REV5</t>
  </si>
  <si>
    <t>REV6</t>
  </si>
  <si>
    <t>REV7</t>
  </si>
  <si>
    <t>Revize č.</t>
  </si>
  <si>
    <t>8*1,0*1,0*1,6</t>
  </si>
  <si>
    <t>(8*1,0*1,0*1,6)*1,1</t>
  </si>
  <si>
    <t>REV8</t>
  </si>
  <si>
    <t>SKLÁDKY, PŘESUNY</t>
  </si>
  <si>
    <t>SKLÁDKY, PŘESUNY DRENÁŽE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</si>
</sst>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[$-405]General"/>
    <numFmt numFmtId="166" formatCode="[$-405]#,##0.00"/>
  </numFmts>
  <fonts count="22">
    <font>
      <sz val="8"/>
      <name val="Arial CE"/>
      <family val="2"/>
    </font>
    <font>
      <sz val="8"/>
      <color rgb="FF800080"/>
      <name val="Arial CE"/>
    </font>
    <font>
      <sz val="8"/>
      <color rgb="FF505050"/>
      <name val="Arial CE"/>
    </font>
    <font>
      <sz val="9"/>
      <name val="Arial CE"/>
    </font>
    <font>
      <sz val="7"/>
      <color rgb="FF969696"/>
      <name val="Arial CE"/>
    </font>
    <font>
      <i/>
      <sz val="9"/>
      <color rgb="FF0000FF"/>
      <name val="Arial CE"/>
    </font>
    <font>
      <sz val="8"/>
      <color theme="1"/>
      <name val="Arial CE"/>
      <charset val="238"/>
    </font>
    <font>
      <b/>
      <sz val="8"/>
      <color rgb="FFFF0000"/>
      <name val="Arial CE"/>
      <charset val="238"/>
    </font>
    <font>
      <sz val="12"/>
      <name val="Arial CE"/>
      <charset val="238"/>
    </font>
    <font>
      <sz val="12"/>
      <color rgb="FFFF0000"/>
      <name val="Arial CE"/>
      <charset val="238"/>
    </font>
    <font>
      <b/>
      <sz val="12"/>
      <name val="Arial CE"/>
      <charset val="238"/>
    </font>
    <font>
      <sz val="8"/>
      <color theme="1"/>
      <name val="Arial"/>
      <family val="2"/>
      <charset val="238"/>
    </font>
    <font>
      <sz val="11"/>
      <name val="Arial CE"/>
      <family val="2"/>
    </font>
    <font>
      <b/>
      <sz val="8"/>
      <color rgb="FF00B050"/>
      <name val="Arial CE"/>
      <charset val="238"/>
    </font>
    <font>
      <sz val="10"/>
      <color theme="1"/>
      <name val="Arial"/>
      <family val="2"/>
      <charset val="238"/>
    </font>
    <font>
      <sz val="9"/>
      <color theme="1"/>
      <name val="Arial CE1"/>
      <charset val="238"/>
    </font>
    <font>
      <sz val="8"/>
      <color rgb="FF800080"/>
      <name val="Arial CE1"/>
      <charset val="238"/>
    </font>
    <font>
      <sz val="8"/>
      <color rgb="FF505050"/>
      <name val="Arial CE1"/>
      <charset val="238"/>
    </font>
    <font>
      <sz val="8"/>
      <color rgb="FF7030A0"/>
      <name val="Arial CE"/>
    </font>
    <font>
      <sz val="8"/>
      <color rgb="FF7030A0"/>
      <name val="Arial CE"/>
      <family val="2"/>
    </font>
    <font>
      <b/>
      <i/>
      <sz val="9"/>
      <color rgb="FF0070C0"/>
      <name val="Arial CE"/>
      <charset val="238"/>
    </font>
    <font>
      <sz val="8"/>
      <color rgb="FFFF0000"/>
      <name val="Arial CE"/>
      <family val="2"/>
    </font>
  </fonts>
  <fills count="9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rgb="FFFFFFCC"/>
      </patternFill>
    </fill>
  </fills>
  <borders count="77">
    <border>
      <left/>
      <right/>
      <top/>
      <bottom/>
      <diagonal/>
    </border>
    <border>
      <left/>
      <right/>
      <top/>
      <bottom/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thin">
        <color theme="1"/>
      </top>
      <bottom style="hair">
        <color rgb="FF969696"/>
      </bottom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hair">
        <color rgb="FF969696"/>
      </right>
      <top style="medium">
        <color auto="1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medium">
        <color auto="1"/>
      </top>
      <bottom style="hair">
        <color rgb="FF969696"/>
      </bottom>
      <diagonal/>
    </border>
    <border>
      <left style="hair">
        <color rgb="FF969696"/>
      </left>
      <right style="medium">
        <color auto="1"/>
      </right>
      <top style="medium">
        <color auto="1"/>
      </top>
      <bottom style="hair">
        <color rgb="FF969696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medium">
        <color auto="1"/>
      </right>
      <top style="hair">
        <color rgb="FF969696"/>
      </top>
      <bottom style="hair">
        <color rgb="FF969696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/>
      <right style="thin">
        <color auto="1"/>
      </right>
      <top style="thin">
        <color theme="1"/>
      </top>
      <bottom/>
      <diagonal/>
    </border>
    <border>
      <left style="hair">
        <color rgb="FF969696"/>
      </left>
      <right style="hair">
        <color rgb="FF969696"/>
      </right>
      <top style="thin">
        <color theme="1"/>
      </top>
      <bottom style="thin">
        <color theme="1"/>
      </bottom>
      <diagonal/>
    </border>
    <border>
      <left style="hair">
        <color rgb="FF969696"/>
      </left>
      <right style="hair">
        <color rgb="FF969696"/>
      </right>
      <top style="thin">
        <color theme="1"/>
      </top>
      <bottom/>
      <diagonal/>
    </border>
    <border>
      <left style="thin">
        <color auto="1"/>
      </left>
      <right/>
      <top/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  <border>
      <left style="hair">
        <color rgb="FF969696"/>
      </left>
      <right style="hair">
        <color rgb="FF969696"/>
      </right>
      <top style="medium">
        <color auto="1"/>
      </top>
      <bottom/>
      <diagonal/>
    </border>
    <border>
      <left style="medium">
        <color auto="1"/>
      </left>
      <right style="hair">
        <color rgb="FF969696"/>
      </right>
      <top style="thin">
        <color theme="1"/>
      </top>
      <bottom style="thin">
        <color theme="1"/>
      </bottom>
      <diagonal/>
    </border>
    <border>
      <left style="hair">
        <color rgb="FF969696"/>
      </left>
      <right style="medium">
        <color auto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 style="hair">
        <color rgb="FF969696"/>
      </right>
      <top style="thin">
        <color theme="1"/>
      </top>
      <bottom style="hair">
        <color rgb="FF969696"/>
      </bottom>
      <diagonal/>
    </border>
    <border>
      <left style="medium">
        <color auto="1"/>
      </left>
      <right/>
      <top/>
      <bottom style="thin">
        <color theme="1"/>
      </bottom>
      <diagonal/>
    </border>
    <border>
      <left/>
      <right style="medium">
        <color auto="1"/>
      </right>
      <top/>
      <bottom style="thin">
        <color theme="1"/>
      </bottom>
      <diagonal/>
    </border>
    <border>
      <left style="medium">
        <color auto="1"/>
      </left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medium">
        <color auto="1"/>
      </right>
      <top/>
      <bottom style="hair">
        <color rgb="FF969696"/>
      </bottom>
      <diagonal/>
    </border>
    <border>
      <left style="medium">
        <color auto="1"/>
      </left>
      <right style="hair">
        <color rgb="FF969696"/>
      </right>
      <top style="hair">
        <color rgb="FF969696"/>
      </top>
      <bottom style="medium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auto="1"/>
      </bottom>
      <diagonal/>
    </border>
    <border>
      <left style="hair">
        <color rgb="FF969696"/>
      </left>
      <right style="medium">
        <color auto="1"/>
      </right>
      <top style="hair">
        <color rgb="FF969696"/>
      </top>
      <bottom style="medium">
        <color auto="1"/>
      </bottom>
      <diagonal/>
    </border>
    <border>
      <left/>
      <right style="medium">
        <color theme="1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969696"/>
      </left>
      <right style="thin">
        <color rgb="FF969696"/>
      </right>
      <top style="medium">
        <color auto="1"/>
      </top>
      <bottom style="thin">
        <color rgb="FF969696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6" fillId="0" borderId="1"/>
  </cellStyleXfs>
  <cellXfs count="23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Protection="1">
      <protection locked="0"/>
    </xf>
    <xf numFmtId="0" fontId="3" fillId="0" borderId="3" xfId="0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vertical="center"/>
    </xf>
    <xf numFmtId="4" fontId="3" fillId="2" borderId="3" xfId="0" applyNumberFormat="1" applyFont="1" applyFill="1" applyBorder="1" applyAlignment="1" applyProtection="1">
      <alignment vertical="center"/>
      <protection locked="0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0" fontId="2" fillId="0" borderId="0" xfId="0" applyFont="1" applyAlignment="1" applyProtection="1">
      <alignment vertical="center"/>
      <protection locked="0"/>
    </xf>
    <xf numFmtId="49" fontId="5" fillId="0" borderId="3" xfId="0" applyNumberFormat="1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vertical="center"/>
    </xf>
    <xf numFmtId="4" fontId="5" fillId="2" borderId="3" xfId="0" applyNumberFormat="1" applyFont="1" applyFill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 applyProtection="1">
      <alignment vertical="center"/>
      <protection locked="0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 applyAlignment="1">
      <alignment vertical="center"/>
    </xf>
    <xf numFmtId="0" fontId="2" fillId="0" borderId="1" xfId="0" applyFont="1" applyBorder="1" applyAlignment="1" applyProtection="1">
      <alignment vertical="center"/>
      <protection locked="0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/>
    </xf>
    <xf numFmtId="49" fontId="3" fillId="0" borderId="11" xfId="0" applyNumberFormat="1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vertical="center"/>
    </xf>
    <xf numFmtId="0" fontId="2" fillId="0" borderId="13" xfId="0" applyFont="1" applyBorder="1" applyAlignment="1">
      <alignment horizontal="left" vertical="center" wrapText="1"/>
    </xf>
    <xf numFmtId="164" fontId="2" fillId="0" borderId="13" xfId="0" applyNumberFormat="1" applyFont="1" applyBorder="1" applyAlignment="1">
      <alignment vertical="center"/>
    </xf>
    <xf numFmtId="0" fontId="8" fillId="3" borderId="15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4" fontId="9" fillId="0" borderId="15" xfId="0" applyNumberFormat="1" applyFont="1" applyBorder="1" applyAlignment="1">
      <alignment horizontal="center" vertical="center"/>
    </xf>
    <xf numFmtId="4" fontId="8" fillId="0" borderId="15" xfId="0" applyNumberFormat="1" applyFont="1" applyBorder="1" applyAlignment="1">
      <alignment horizontal="center" vertical="center"/>
    </xf>
    <xf numFmtId="4" fontId="8" fillId="4" borderId="15" xfId="0" applyNumberFormat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8" fillId="4" borderId="16" xfId="0" applyNumberFormat="1" applyFont="1" applyFill="1" applyBorder="1" applyAlignment="1">
      <alignment horizontal="center" vertical="center"/>
    </xf>
    <xf numFmtId="0" fontId="0" fillId="0" borderId="31" xfId="0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7" fillId="5" borderId="15" xfId="0" applyFont="1" applyFill="1" applyBorder="1" applyAlignment="1">
      <alignment horizontal="right" vertical="center"/>
    </xf>
    <xf numFmtId="0" fontId="7" fillId="6" borderId="15" xfId="0" applyFont="1" applyFill="1" applyBorder="1" applyAlignment="1">
      <alignment horizontal="right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49" fontId="3" fillId="0" borderId="34" xfId="0" applyNumberFormat="1" applyFont="1" applyBorder="1" applyAlignment="1">
      <alignment horizontal="left" vertical="center" wrapText="1"/>
    </xf>
    <xf numFmtId="0" fontId="3" fillId="0" borderId="34" xfId="0" applyFont="1" applyBorder="1" applyAlignment="1">
      <alignment horizontal="left" vertical="center" wrapText="1"/>
    </xf>
    <xf numFmtId="0" fontId="3" fillId="0" borderId="34" xfId="0" applyFont="1" applyBorder="1" applyAlignment="1">
      <alignment horizontal="center" vertical="center" wrapText="1"/>
    </xf>
    <xf numFmtId="164" fontId="3" fillId="0" borderId="34" xfId="0" applyNumberFormat="1" applyFont="1" applyBorder="1" applyAlignment="1">
      <alignment vertical="center"/>
    </xf>
    <xf numFmtId="4" fontId="3" fillId="2" borderId="34" xfId="0" applyNumberFormat="1" applyFont="1" applyFill="1" applyBorder="1" applyAlignment="1" applyProtection="1">
      <alignment vertical="center"/>
      <protection locked="0"/>
    </xf>
    <xf numFmtId="4" fontId="3" fillId="0" borderId="35" xfId="0" applyNumberFormat="1" applyFont="1" applyBorder="1" applyAlignment="1">
      <alignment vertical="center"/>
    </xf>
    <xf numFmtId="0" fontId="1" fillId="0" borderId="36" xfId="0" applyFont="1" applyBorder="1" applyAlignment="1">
      <alignment vertical="center"/>
    </xf>
    <xf numFmtId="0" fontId="1" fillId="5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left" vertical="center"/>
    </xf>
    <xf numFmtId="0" fontId="1" fillId="0" borderId="37" xfId="0" applyFont="1" applyBorder="1" applyAlignment="1">
      <alignment vertical="center"/>
    </xf>
    <xf numFmtId="0" fontId="2" fillId="0" borderId="36" xfId="0" applyFont="1" applyBorder="1" applyAlignment="1">
      <alignment vertical="center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center"/>
    </xf>
    <xf numFmtId="164" fontId="2" fillId="5" borderId="1" xfId="0" applyNumberFormat="1" applyFont="1" applyFill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1" fillId="6" borderId="1" xfId="0" applyFont="1" applyFill="1" applyBorder="1" applyAlignment="1">
      <alignment horizontal="left" vertical="center" wrapText="1"/>
    </xf>
    <xf numFmtId="0" fontId="1" fillId="6" borderId="1" xfId="0" applyFont="1" applyFill="1" applyBorder="1" applyAlignment="1">
      <alignment vertical="center"/>
    </xf>
    <xf numFmtId="0" fontId="1" fillId="6" borderId="1" xfId="0" applyFont="1" applyFill="1" applyBorder="1" applyAlignment="1">
      <alignment horizontal="left" vertical="center"/>
    </xf>
    <xf numFmtId="0" fontId="2" fillId="6" borderId="1" xfId="0" applyFont="1" applyFill="1" applyBorder="1" applyAlignment="1">
      <alignment horizontal="left" vertical="center" wrapText="1"/>
    </xf>
    <xf numFmtId="0" fontId="2" fillId="6" borderId="1" xfId="0" applyFont="1" applyFill="1" applyBorder="1" applyAlignment="1">
      <alignment vertical="center"/>
    </xf>
    <xf numFmtId="164" fontId="2" fillId="6" borderId="1" xfId="0" applyNumberFormat="1" applyFont="1" applyFill="1" applyBorder="1" applyAlignment="1">
      <alignment vertical="center"/>
    </xf>
    <xf numFmtId="0" fontId="3" fillId="0" borderId="38" xfId="0" applyFont="1" applyBorder="1" applyAlignment="1">
      <alignment horizontal="center" vertical="center"/>
    </xf>
    <xf numFmtId="4" fontId="3" fillId="0" borderId="39" xfId="0" applyNumberFormat="1" applyFont="1" applyBorder="1" applyAlignment="1">
      <alignment vertical="center"/>
    </xf>
    <xf numFmtId="0" fontId="2" fillId="0" borderId="40" xfId="0" applyFont="1" applyBorder="1" applyAlignment="1">
      <alignment vertical="center"/>
    </xf>
    <xf numFmtId="0" fontId="4" fillId="0" borderId="32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/>
    </xf>
    <xf numFmtId="0" fontId="2" fillId="0" borderId="32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32" xfId="0" applyFont="1" applyBorder="1" applyAlignment="1" applyProtection="1">
      <alignment vertical="center"/>
      <protection locked="0"/>
    </xf>
    <xf numFmtId="0" fontId="2" fillId="0" borderId="30" xfId="0" applyFont="1" applyBorder="1" applyAlignment="1">
      <alignment vertical="center"/>
    </xf>
    <xf numFmtId="4" fontId="12" fillId="0" borderId="16" xfId="0" applyNumberFormat="1" applyFont="1" applyBorder="1"/>
    <xf numFmtId="0" fontId="1" fillId="5" borderId="43" xfId="0" applyFont="1" applyFill="1" applyBorder="1" applyAlignment="1">
      <alignment horizontal="left" vertical="center" wrapText="1"/>
    </xf>
    <xf numFmtId="0" fontId="1" fillId="5" borderId="43" xfId="0" applyFont="1" applyFill="1" applyBorder="1" applyAlignment="1">
      <alignment vertical="center"/>
    </xf>
    <xf numFmtId="0" fontId="1" fillId="5" borderId="44" xfId="0" applyFont="1" applyFill="1" applyBorder="1" applyAlignment="1">
      <alignment horizontal="left" vertical="center"/>
    </xf>
    <xf numFmtId="164" fontId="2" fillId="5" borderId="6" xfId="0" applyNumberFormat="1" applyFont="1" applyFill="1" applyBorder="1" applyAlignment="1">
      <alignment vertical="center"/>
    </xf>
    <xf numFmtId="0" fontId="2" fillId="5" borderId="13" xfId="0" applyFont="1" applyFill="1" applyBorder="1" applyAlignment="1">
      <alignment horizontal="left" vertical="center" wrapText="1"/>
    </xf>
    <xf numFmtId="0" fontId="2" fillId="5" borderId="13" xfId="0" applyFont="1" applyFill="1" applyBorder="1" applyAlignment="1">
      <alignment vertical="center"/>
    </xf>
    <xf numFmtId="164" fontId="2" fillId="5" borderId="14" xfId="0" applyNumberFormat="1" applyFont="1" applyFill="1" applyBorder="1" applyAlignment="1">
      <alignment vertical="center"/>
    </xf>
    <xf numFmtId="0" fontId="1" fillId="6" borderId="47" xfId="0" applyFont="1" applyFill="1" applyBorder="1" applyAlignment="1">
      <alignment horizontal="left" vertical="center" wrapText="1"/>
    </xf>
    <xf numFmtId="0" fontId="1" fillId="6" borderId="47" xfId="0" applyFont="1" applyFill="1" applyBorder="1" applyAlignment="1">
      <alignment vertical="center"/>
    </xf>
    <xf numFmtId="164" fontId="2" fillId="6" borderId="49" xfId="0" applyNumberFormat="1" applyFont="1" applyFill="1" applyBorder="1" applyAlignment="1">
      <alignment vertical="center"/>
    </xf>
    <xf numFmtId="164" fontId="7" fillId="0" borderId="1" xfId="0" applyNumberFormat="1" applyFont="1" applyBorder="1" applyAlignment="1">
      <alignment vertical="center"/>
    </xf>
    <xf numFmtId="0" fontId="2" fillId="0" borderId="13" xfId="0" applyFont="1" applyBorder="1" applyAlignment="1">
      <alignment vertical="center"/>
    </xf>
    <xf numFmtId="0" fontId="1" fillId="5" borderId="6" xfId="0" applyFont="1" applyFill="1" applyBorder="1" applyAlignment="1">
      <alignment horizontal="left" vertical="center"/>
    </xf>
    <xf numFmtId="0" fontId="1" fillId="6" borderId="49" xfId="0" applyFont="1" applyFill="1" applyBorder="1" applyAlignment="1">
      <alignment horizontal="left" vertical="center"/>
    </xf>
    <xf numFmtId="164" fontId="7" fillId="3" borderId="41" xfId="0" applyNumberFormat="1" applyFont="1" applyFill="1" applyBorder="1" applyAlignment="1">
      <alignment vertical="center"/>
    </xf>
    <xf numFmtId="164" fontId="7" fillId="3" borderId="50" xfId="0" applyNumberFormat="1" applyFont="1" applyFill="1" applyBorder="1" applyAlignment="1">
      <alignment vertical="center"/>
    </xf>
    <xf numFmtId="0" fontId="1" fillId="5" borderId="13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vertical="center"/>
    </xf>
    <xf numFmtId="0" fontId="1" fillId="5" borderId="14" xfId="0" applyFont="1" applyFill="1" applyBorder="1" applyAlignment="1">
      <alignment horizontal="right" vertical="center"/>
    </xf>
    <xf numFmtId="0" fontId="2" fillId="6" borderId="47" xfId="0" applyFont="1" applyFill="1" applyBorder="1" applyAlignment="1">
      <alignment vertical="center"/>
    </xf>
    <xf numFmtId="164" fontId="2" fillId="6" borderId="48" xfId="0" applyNumberFormat="1" applyFont="1" applyFill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0" fontId="2" fillId="6" borderId="9" xfId="0" applyFont="1" applyFill="1" applyBorder="1" applyAlignment="1">
      <alignment horizontal="left" vertical="center" wrapText="1"/>
    </xf>
    <xf numFmtId="0" fontId="2" fillId="6" borderId="9" xfId="0" applyFont="1" applyFill="1" applyBorder="1" applyAlignment="1">
      <alignment vertical="center"/>
    </xf>
    <xf numFmtId="164" fontId="2" fillId="6" borderId="10" xfId="0" applyNumberFormat="1" applyFont="1" applyFill="1" applyBorder="1" applyAlignment="1">
      <alignment vertical="center"/>
    </xf>
    <xf numFmtId="164" fontId="13" fillId="0" borderId="41" xfId="0" applyNumberFormat="1" applyFont="1" applyBorder="1" applyAlignment="1">
      <alignment vertical="center"/>
    </xf>
    <xf numFmtId="164" fontId="7" fillId="7" borderId="51" xfId="0" applyNumberFormat="1" applyFont="1" applyFill="1" applyBorder="1" applyAlignment="1">
      <alignment vertical="center"/>
    </xf>
    <xf numFmtId="49" fontId="5" fillId="0" borderId="45" xfId="0" applyNumberFormat="1" applyFont="1" applyBorder="1" applyAlignment="1">
      <alignment horizontal="left" vertical="center" wrapText="1"/>
    </xf>
    <xf numFmtId="0" fontId="5" fillId="0" borderId="45" xfId="0" applyFont="1" applyBorder="1" applyAlignment="1">
      <alignment horizontal="left" vertical="center" wrapText="1"/>
    </xf>
    <xf numFmtId="0" fontId="5" fillId="0" borderId="45" xfId="0" applyFont="1" applyBorder="1" applyAlignment="1">
      <alignment horizontal="center" vertical="center" wrapText="1"/>
    </xf>
    <xf numFmtId="164" fontId="5" fillId="0" borderId="45" xfId="0" applyNumberFormat="1" applyFont="1" applyBorder="1" applyAlignment="1">
      <alignment vertical="center"/>
    </xf>
    <xf numFmtId="4" fontId="5" fillId="2" borderId="7" xfId="0" applyNumberFormat="1" applyFont="1" applyFill="1" applyBorder="1" applyAlignment="1" applyProtection="1">
      <alignment vertical="center"/>
      <protection locked="0"/>
    </xf>
    <xf numFmtId="49" fontId="3" fillId="0" borderId="52" xfId="0" applyNumberFormat="1" applyFont="1" applyBorder="1" applyAlignment="1">
      <alignment horizontal="left" vertical="center" wrapText="1"/>
    </xf>
    <xf numFmtId="0" fontId="3" fillId="0" borderId="52" xfId="0" applyFont="1" applyBorder="1" applyAlignment="1">
      <alignment horizontal="left" vertical="center" wrapText="1"/>
    </xf>
    <xf numFmtId="0" fontId="3" fillId="0" borderId="52" xfId="0" applyFont="1" applyBorder="1" applyAlignment="1">
      <alignment horizontal="center" vertical="center" wrapText="1"/>
    </xf>
    <xf numFmtId="164" fontId="3" fillId="0" borderId="52" xfId="0" applyNumberFormat="1" applyFont="1" applyBorder="1" applyAlignment="1">
      <alignment vertical="center"/>
    </xf>
    <xf numFmtId="4" fontId="3" fillId="2" borderId="52" xfId="0" applyNumberFormat="1" applyFont="1" applyFill="1" applyBorder="1" applyAlignment="1" applyProtection="1">
      <alignment vertical="center"/>
      <protection locked="0"/>
    </xf>
    <xf numFmtId="49" fontId="5" fillId="0" borderId="53" xfId="0" applyNumberFormat="1" applyFont="1" applyBorder="1" applyAlignment="1">
      <alignment horizontal="left" vertical="center" wrapText="1"/>
    </xf>
    <xf numFmtId="0" fontId="5" fillId="0" borderId="53" xfId="0" applyFont="1" applyBorder="1" applyAlignment="1">
      <alignment horizontal="left" vertical="center" wrapText="1"/>
    </xf>
    <xf numFmtId="0" fontId="5" fillId="0" borderId="53" xfId="0" applyFont="1" applyBorder="1" applyAlignment="1">
      <alignment horizontal="center" vertical="center" wrapText="1"/>
    </xf>
    <xf numFmtId="164" fontId="5" fillId="0" borderId="53" xfId="0" applyNumberFormat="1" applyFont="1" applyBorder="1" applyAlignment="1">
      <alignment vertical="center"/>
    </xf>
    <xf numFmtId="4" fontId="5" fillId="2" borderId="4" xfId="0" applyNumberFormat="1" applyFont="1" applyFill="1" applyBorder="1" applyAlignment="1" applyProtection="1">
      <alignment vertical="center"/>
      <protection locked="0"/>
    </xf>
    <xf numFmtId="164" fontId="7" fillId="7" borderId="55" xfId="0" applyNumberFormat="1" applyFont="1" applyFill="1" applyBorder="1" applyAlignment="1">
      <alignment vertical="center"/>
    </xf>
    <xf numFmtId="0" fontId="2" fillId="0" borderId="13" xfId="0" applyFont="1" applyBorder="1" applyAlignment="1" applyProtection="1">
      <alignment vertical="center"/>
      <protection locked="0"/>
    </xf>
    <xf numFmtId="49" fontId="5" fillId="0" borderId="4" xfId="0" applyNumberFormat="1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64" fontId="5" fillId="0" borderId="4" xfId="0" applyNumberFormat="1" applyFont="1" applyBorder="1" applyAlignment="1">
      <alignment vertical="center"/>
    </xf>
    <xf numFmtId="0" fontId="2" fillId="0" borderId="13" xfId="0" applyFont="1" applyBorder="1" applyAlignment="1">
      <alignment horizontal="left" vertical="center"/>
    </xf>
    <xf numFmtId="0" fontId="1" fillId="6" borderId="43" xfId="0" applyFont="1" applyFill="1" applyBorder="1" applyAlignment="1">
      <alignment horizontal="left" vertical="center" wrapText="1"/>
    </xf>
    <xf numFmtId="0" fontId="1" fillId="6" borderId="43" xfId="0" applyFont="1" applyFill="1" applyBorder="1" applyAlignment="1">
      <alignment vertical="center"/>
    </xf>
    <xf numFmtId="0" fontId="1" fillId="6" borderId="44" xfId="0" applyFont="1" applyFill="1" applyBorder="1" applyAlignment="1">
      <alignment horizontal="left" vertical="center"/>
    </xf>
    <xf numFmtId="0" fontId="2" fillId="6" borderId="13" xfId="0" applyFont="1" applyFill="1" applyBorder="1" applyAlignment="1">
      <alignment horizontal="left" vertical="center" wrapText="1"/>
    </xf>
    <xf numFmtId="0" fontId="2" fillId="6" borderId="13" xfId="0" applyFont="1" applyFill="1" applyBorder="1" applyAlignment="1">
      <alignment vertical="center"/>
    </xf>
    <xf numFmtId="164" fontId="2" fillId="6" borderId="14" xfId="0" applyNumberFormat="1" applyFont="1" applyFill="1" applyBorder="1" applyAlignment="1">
      <alignment vertical="center"/>
    </xf>
    <xf numFmtId="0" fontId="2" fillId="5" borderId="9" xfId="0" applyFont="1" applyFill="1" applyBorder="1" applyAlignment="1">
      <alignment horizontal="left" vertical="center" wrapText="1"/>
    </xf>
    <xf numFmtId="0" fontId="2" fillId="5" borderId="9" xfId="0" applyFont="1" applyFill="1" applyBorder="1" applyAlignment="1">
      <alignment vertical="center"/>
    </xf>
    <xf numFmtId="164" fontId="2" fillId="5" borderId="10" xfId="0" applyNumberFormat="1" applyFont="1" applyFill="1" applyBorder="1" applyAlignment="1">
      <alignment vertical="center"/>
    </xf>
    <xf numFmtId="49" fontId="3" fillId="0" borderId="56" xfId="0" applyNumberFormat="1" applyFont="1" applyBorder="1" applyAlignment="1">
      <alignment horizontal="left" vertical="center" wrapText="1"/>
    </xf>
    <xf numFmtId="0" fontId="3" fillId="0" borderId="56" xfId="0" applyFont="1" applyBorder="1" applyAlignment="1">
      <alignment horizontal="left" vertical="center" wrapText="1"/>
    </xf>
    <xf numFmtId="0" fontId="3" fillId="0" borderId="56" xfId="0" applyFont="1" applyBorder="1" applyAlignment="1">
      <alignment horizontal="center" vertical="center" wrapText="1"/>
    </xf>
    <xf numFmtId="164" fontId="3" fillId="0" borderId="56" xfId="0" applyNumberFormat="1" applyFont="1" applyBorder="1" applyAlignment="1">
      <alignment vertical="center"/>
    </xf>
    <xf numFmtId="0" fontId="3" fillId="0" borderId="57" xfId="0" applyFont="1" applyBorder="1" applyAlignment="1">
      <alignment horizontal="center" vertical="center"/>
    </xf>
    <xf numFmtId="4" fontId="3" fillId="0" borderId="58" xfId="0" applyNumberFormat="1" applyFont="1" applyBorder="1" applyAlignment="1">
      <alignment vertical="center"/>
    </xf>
    <xf numFmtId="0" fontId="5" fillId="0" borderId="59" xfId="0" applyFont="1" applyBorder="1" applyAlignment="1">
      <alignment horizontal="center" vertical="center"/>
    </xf>
    <xf numFmtId="0" fontId="2" fillId="0" borderId="60" xfId="0" applyFont="1" applyBorder="1" applyAlignment="1">
      <alignment vertical="center"/>
    </xf>
    <xf numFmtId="0" fontId="2" fillId="0" borderId="61" xfId="0" applyFont="1" applyBorder="1" applyAlignment="1">
      <alignment vertical="center"/>
    </xf>
    <xf numFmtId="0" fontId="0" fillId="0" borderId="36" xfId="0" applyBorder="1"/>
    <xf numFmtId="0" fontId="0" fillId="0" borderId="37" xfId="0" applyBorder="1"/>
    <xf numFmtId="0" fontId="5" fillId="0" borderId="62" xfId="0" applyFont="1" applyBorder="1" applyAlignment="1">
      <alignment horizontal="center" vertical="center"/>
    </xf>
    <xf numFmtId="0" fontId="0" fillId="0" borderId="40" xfId="0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32" xfId="0" applyBorder="1" applyAlignment="1" applyProtection="1">
      <alignment vertical="center"/>
      <protection locked="0"/>
    </xf>
    <xf numFmtId="0" fontId="0" fillId="0" borderId="30" xfId="0" applyBorder="1" applyAlignment="1">
      <alignment vertical="center"/>
    </xf>
    <xf numFmtId="0" fontId="14" fillId="0" borderId="24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164" fontId="7" fillId="6" borderId="15" xfId="0" applyNumberFormat="1" applyFont="1" applyFill="1" applyBorder="1" applyAlignment="1">
      <alignment horizontal="right" vertical="center"/>
    </xf>
    <xf numFmtId="0" fontId="7" fillId="0" borderId="32" xfId="0" applyFont="1" applyBorder="1" applyAlignment="1">
      <alignment horizontal="right" vertical="center"/>
    </xf>
    <xf numFmtId="0" fontId="5" fillId="0" borderId="38" xfId="0" applyFont="1" applyBorder="1" applyAlignment="1">
      <alignment horizontal="center" vertical="center"/>
    </xf>
    <xf numFmtId="4" fontId="5" fillId="0" borderId="39" xfId="0" applyNumberFormat="1" applyFont="1" applyBorder="1" applyAlignment="1">
      <alignment vertical="center"/>
    </xf>
    <xf numFmtId="0" fontId="3" fillId="0" borderId="64" xfId="0" applyFont="1" applyBorder="1" applyAlignment="1">
      <alignment horizontal="center" vertical="center"/>
    </xf>
    <xf numFmtId="49" fontId="3" fillId="0" borderId="65" xfId="0" applyNumberFormat="1" applyFont="1" applyBorder="1" applyAlignment="1">
      <alignment horizontal="left" vertical="center" wrapText="1"/>
    </xf>
    <xf numFmtId="0" fontId="3" fillId="0" borderId="65" xfId="0" applyFont="1" applyBorder="1" applyAlignment="1">
      <alignment horizontal="left" vertical="center" wrapText="1"/>
    </xf>
    <xf numFmtId="0" fontId="3" fillId="0" borderId="65" xfId="0" applyFont="1" applyBorder="1" applyAlignment="1">
      <alignment horizontal="center" vertical="center" wrapText="1"/>
    </xf>
    <xf numFmtId="164" fontId="3" fillId="0" borderId="65" xfId="0" applyNumberFormat="1" applyFont="1" applyBorder="1" applyAlignment="1">
      <alignment vertical="center"/>
    </xf>
    <xf numFmtId="4" fontId="3" fillId="2" borderId="65" xfId="0" applyNumberFormat="1" applyFont="1" applyFill="1" applyBorder="1" applyAlignment="1" applyProtection="1">
      <alignment vertical="center"/>
      <protection locked="0"/>
    </xf>
    <xf numFmtId="4" fontId="3" fillId="0" borderId="66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0" fontId="2" fillId="0" borderId="67" xfId="0" applyFont="1" applyBorder="1" applyAlignment="1">
      <alignment vertical="center"/>
    </xf>
    <xf numFmtId="4" fontId="3" fillId="0" borderId="63" xfId="0" applyNumberFormat="1" applyFont="1" applyBorder="1" applyAlignment="1">
      <alignment vertical="center"/>
    </xf>
    <xf numFmtId="0" fontId="0" fillId="0" borderId="1" xfId="0" applyBorder="1"/>
    <xf numFmtId="0" fontId="0" fillId="0" borderId="1" xfId="0" applyBorder="1" applyProtection="1">
      <protection locked="0"/>
    </xf>
    <xf numFmtId="4" fontId="12" fillId="0" borderId="68" xfId="0" applyNumberFormat="1" applyFont="1" applyBorder="1"/>
    <xf numFmtId="166" fontId="15" fillId="8" borderId="69" xfId="1" applyNumberFormat="1" applyFont="1" applyFill="1" applyBorder="1" applyAlignment="1" applyProtection="1">
      <alignment vertical="center"/>
      <protection locked="0"/>
    </xf>
    <xf numFmtId="165" fontId="16" fillId="0" borderId="1" xfId="1" applyFont="1" applyAlignment="1" applyProtection="1">
      <alignment vertical="center"/>
      <protection locked="0"/>
    </xf>
    <xf numFmtId="164" fontId="2" fillId="0" borderId="32" xfId="0" applyNumberFormat="1" applyFont="1" applyBorder="1" applyAlignment="1">
      <alignment vertical="center"/>
    </xf>
    <xf numFmtId="165" fontId="17" fillId="0" borderId="32" xfId="1" applyFont="1" applyBorder="1" applyAlignment="1" applyProtection="1">
      <alignment vertical="center"/>
      <protection locked="0"/>
    </xf>
    <xf numFmtId="14" fontId="1" fillId="6" borderId="1" xfId="0" applyNumberFormat="1" applyFont="1" applyFill="1" applyBorder="1" applyAlignment="1">
      <alignment horizontal="left" vertical="center" wrapText="1"/>
    </xf>
    <xf numFmtId="4" fontId="3" fillId="0" borderId="37" xfId="0" applyNumberFormat="1" applyFont="1" applyBorder="1" applyAlignment="1">
      <alignment vertical="center"/>
    </xf>
    <xf numFmtId="164" fontId="7" fillId="3" borderId="70" xfId="0" applyNumberFormat="1" applyFont="1" applyFill="1" applyBorder="1" applyAlignment="1">
      <alignment vertical="center"/>
    </xf>
    <xf numFmtId="164" fontId="13" fillId="0" borderId="50" xfId="0" applyNumberFormat="1" applyFont="1" applyBorder="1" applyAlignment="1">
      <alignment vertical="center"/>
    </xf>
    <xf numFmtId="0" fontId="1" fillId="6" borderId="49" xfId="0" applyFont="1" applyFill="1" applyBorder="1" applyAlignment="1">
      <alignment horizontal="right" vertical="center"/>
    </xf>
    <xf numFmtId="14" fontId="1" fillId="6" borderId="75" xfId="0" applyNumberFormat="1" applyFont="1" applyFill="1" applyBorder="1" applyAlignment="1">
      <alignment horizontal="left" vertical="center" wrapText="1"/>
    </xf>
    <xf numFmtId="0" fontId="1" fillId="6" borderId="75" xfId="0" applyFont="1" applyFill="1" applyBorder="1" applyAlignment="1">
      <alignment vertical="center"/>
    </xf>
    <xf numFmtId="0" fontId="1" fillId="6" borderId="76" xfId="0" applyFont="1" applyFill="1" applyBorder="1" applyAlignment="1">
      <alignment horizontal="right" vertical="center"/>
    </xf>
    <xf numFmtId="0" fontId="1" fillId="0" borderId="74" xfId="0" applyFont="1" applyBorder="1" applyAlignment="1">
      <alignment horizontal="center" vertical="center"/>
    </xf>
    <xf numFmtId="0" fontId="1" fillId="0" borderId="36" xfId="0" applyFont="1" applyBorder="1"/>
    <xf numFmtId="165" fontId="16" fillId="0" borderId="1" xfId="1" applyFont="1" applyProtection="1">
      <protection locked="0"/>
    </xf>
    <xf numFmtId="0" fontId="1" fillId="0" borderId="37" xfId="0" applyFont="1" applyBorder="1"/>
    <xf numFmtId="0" fontId="18" fillId="0" borderId="0" xfId="0" applyFont="1" applyAlignment="1">
      <alignment vertical="center"/>
    </xf>
    <xf numFmtId="0" fontId="19" fillId="0" borderId="0" xfId="0" applyFont="1"/>
    <xf numFmtId="4" fontId="20" fillId="2" borderId="4" xfId="0" applyNumberFormat="1" applyFont="1" applyFill="1" applyBorder="1" applyAlignment="1" applyProtection="1">
      <alignment vertical="center"/>
      <protection locked="0"/>
    </xf>
    <xf numFmtId="0" fontId="19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/>
    </xf>
    <xf numFmtId="0" fontId="11" fillId="0" borderId="17" xfId="0" applyFont="1" applyBorder="1" applyAlignment="1">
      <alignment horizontal="center"/>
    </xf>
    <xf numFmtId="0" fontId="11" fillId="0" borderId="18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0" fontId="11" fillId="0" borderId="23" xfId="0" applyFont="1" applyBorder="1" applyAlignment="1">
      <alignment horizontal="center"/>
    </xf>
    <xf numFmtId="0" fontId="11" fillId="0" borderId="27" xfId="0" applyFont="1" applyBorder="1" applyAlignment="1">
      <alignment horizontal="center"/>
    </xf>
    <xf numFmtId="0" fontId="11" fillId="0" borderId="28" xfId="0" applyFont="1" applyBorder="1" applyAlignment="1">
      <alignment horizontal="center"/>
    </xf>
    <xf numFmtId="0" fontId="11" fillId="0" borderId="29" xfId="0" applyFont="1" applyBorder="1" applyAlignment="1">
      <alignment horizontal="center"/>
    </xf>
    <xf numFmtId="0" fontId="11" fillId="0" borderId="26" xfId="0" applyFont="1" applyBorder="1" applyAlignment="1">
      <alignment horizontal="center"/>
    </xf>
    <xf numFmtId="0" fontId="11" fillId="0" borderId="24" xfId="0" applyFont="1" applyBorder="1" applyAlignment="1">
      <alignment horizontal="center"/>
    </xf>
    <xf numFmtId="0" fontId="14" fillId="0" borderId="21" xfId="0" applyFont="1" applyBorder="1" applyAlignment="1">
      <alignment horizontal="center"/>
    </xf>
    <xf numFmtId="0" fontId="14" fillId="0" borderId="22" xfId="0" applyFont="1" applyBorder="1" applyAlignment="1">
      <alignment horizontal="center"/>
    </xf>
    <xf numFmtId="0" fontId="14" fillId="0" borderId="23" xfId="0" applyFont="1" applyBorder="1" applyAlignment="1">
      <alignment horizontal="center"/>
    </xf>
    <xf numFmtId="0" fontId="1" fillId="0" borderId="4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4" fillId="0" borderId="26" xfId="0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0" fontId="11" fillId="0" borderId="20" xfId="0" applyFont="1" applyBorder="1" applyAlignment="1">
      <alignment horizontal="center"/>
    </xf>
    <xf numFmtId="0" fontId="1" fillId="0" borderId="46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46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1" fillId="0" borderId="74" xfId="0" applyFont="1" applyBorder="1" applyAlignment="1">
      <alignment horizontal="center" vertical="center"/>
    </xf>
    <xf numFmtId="164" fontId="7" fillId="0" borderId="71" xfId="0" applyNumberFormat="1" applyFont="1" applyBorder="1" applyAlignment="1">
      <alignment horizontal="center" vertical="center"/>
    </xf>
    <xf numFmtId="164" fontId="7" fillId="0" borderId="72" xfId="0" applyNumberFormat="1" applyFont="1" applyBorder="1" applyAlignment="1">
      <alignment horizontal="center" vertical="center"/>
    </xf>
    <xf numFmtId="164" fontId="7" fillId="0" borderId="73" xfId="0" applyNumberFormat="1" applyFont="1" applyBorder="1" applyAlignment="1">
      <alignment horizontal="center" vertical="center"/>
    </xf>
    <xf numFmtId="164" fontId="7" fillId="0" borderId="71" xfId="0" applyNumberFormat="1" applyFont="1" applyBorder="1" applyAlignment="1">
      <alignment horizontal="center"/>
    </xf>
    <xf numFmtId="164" fontId="7" fillId="0" borderId="72" xfId="0" applyNumberFormat="1" applyFont="1" applyBorder="1" applyAlignment="1">
      <alignment horizontal="center"/>
    </xf>
    <xf numFmtId="164" fontId="7" fillId="0" borderId="73" xfId="0" applyNumberFormat="1" applyFont="1" applyBorder="1" applyAlignment="1">
      <alignment horizontal="center"/>
    </xf>
  </cellXfs>
  <cellStyles count="2">
    <cellStyle name="Excel Built-in Normal" xfId="1" xr:uid="{00000000-0005-0000-0000-000000000000}"/>
    <cellStyle name="Normální" xfId="0" builtinId="0" customBuiltin="1"/>
  </cellStyles>
  <dxfs count="0"/>
  <tableStyles count="0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EA82C-6D58-4E51-98E5-9E195E0D888F}">
  <dimension ref="B5:F14"/>
  <sheetViews>
    <sheetView workbookViewId="0">
      <selection activeCell="G18" sqref="G18"/>
    </sheetView>
  </sheetViews>
  <sheetFormatPr defaultColWidth="36.85546875" defaultRowHeight="15"/>
  <cols>
    <col min="1" max="1" width="8.85546875" style="47" customWidth="1"/>
    <col min="2" max="2" width="13.28515625" style="47" bestFit="1" customWidth="1"/>
    <col min="3" max="3" width="40.28515625" style="47" customWidth="1"/>
    <col min="4" max="4" width="30.7109375" style="47" customWidth="1"/>
    <col min="5" max="5" width="31.42578125" style="47" customWidth="1"/>
    <col min="6" max="6" width="31" style="47" customWidth="1"/>
    <col min="7" max="7" width="30.140625" style="47" customWidth="1"/>
    <col min="8" max="16384" width="36.85546875" style="47"/>
  </cols>
  <sheetData>
    <row r="5" spans="2:6" s="42" customFormat="1" ht="30">
      <c r="B5" s="41" t="s">
        <v>125</v>
      </c>
      <c r="C5" s="41" t="s">
        <v>2</v>
      </c>
      <c r="D5" s="41" t="s">
        <v>126</v>
      </c>
      <c r="E5" s="41" t="s">
        <v>127</v>
      </c>
      <c r="F5" s="41" t="s">
        <v>128</v>
      </c>
    </row>
    <row r="6" spans="2:6">
      <c r="B6" s="43" t="s">
        <v>183</v>
      </c>
      <c r="C6" s="43" t="s">
        <v>138</v>
      </c>
      <c r="D6" s="44">
        <v>0</v>
      </c>
      <c r="E6" s="45">
        <f>'1'!H65</f>
        <v>91176.552000000011</v>
      </c>
      <c r="F6" s="46">
        <f>D6+E6</f>
        <v>91176.552000000011</v>
      </c>
    </row>
    <row r="7" spans="2:6">
      <c r="B7" s="43" t="s">
        <v>184</v>
      </c>
      <c r="C7" s="43" t="s">
        <v>139</v>
      </c>
      <c r="D7" s="44">
        <v>0</v>
      </c>
      <c r="E7" s="45">
        <f>'2'!G80</f>
        <v>104985.68000000001</v>
      </c>
      <c r="F7" s="46">
        <f>D7+E7</f>
        <v>104985.68000000001</v>
      </c>
    </row>
    <row r="8" spans="2:6">
      <c r="B8" s="43" t="s">
        <v>185</v>
      </c>
      <c r="C8" s="43" t="s">
        <v>178</v>
      </c>
      <c r="D8" s="44">
        <f>'3'!G10</f>
        <v>-145000</v>
      </c>
      <c r="E8" s="45">
        <v>0</v>
      </c>
      <c r="F8" s="46">
        <f t="shared" ref="F8:F12" si="0">D8+E8</f>
        <v>-145000</v>
      </c>
    </row>
    <row r="9" spans="2:6">
      <c r="B9" s="43" t="s">
        <v>186</v>
      </c>
      <c r="C9" s="43" t="s">
        <v>160</v>
      </c>
      <c r="D9" s="44">
        <v>0</v>
      </c>
      <c r="E9" s="45">
        <f>'5'!G19</f>
        <v>85000</v>
      </c>
      <c r="F9" s="46">
        <f t="shared" si="0"/>
        <v>85000</v>
      </c>
    </row>
    <row r="10" spans="2:6">
      <c r="B10" s="43" t="s">
        <v>187</v>
      </c>
      <c r="C10" s="43" t="s">
        <v>193</v>
      </c>
      <c r="D10" s="44">
        <f>'6'!G10</f>
        <v>-76500</v>
      </c>
      <c r="E10" s="45">
        <v>0</v>
      </c>
      <c r="F10" s="46">
        <f t="shared" si="0"/>
        <v>-76500</v>
      </c>
    </row>
    <row r="11" spans="2:6">
      <c r="B11" s="43" t="s">
        <v>188</v>
      </c>
      <c r="C11" s="43" t="s">
        <v>177</v>
      </c>
      <c r="D11" s="44">
        <v>0</v>
      </c>
      <c r="E11" s="45">
        <f>'7'!G6</f>
        <v>23000</v>
      </c>
      <c r="F11" s="46">
        <f t="shared" si="0"/>
        <v>23000</v>
      </c>
    </row>
    <row r="12" spans="2:6">
      <c r="B12" s="43" t="s">
        <v>192</v>
      </c>
      <c r="C12" s="43" t="s">
        <v>180</v>
      </c>
      <c r="D12" s="44">
        <v>0</v>
      </c>
      <c r="E12" s="45">
        <f>'8'!H16</f>
        <v>78489.600000000006</v>
      </c>
      <c r="F12" s="46">
        <f t="shared" si="0"/>
        <v>78489.600000000006</v>
      </c>
    </row>
    <row r="13" spans="2:6" ht="15.6" thickBot="1">
      <c r="B13" s="43"/>
      <c r="C13" s="43"/>
      <c r="D13" s="43"/>
      <c r="E13" s="43"/>
      <c r="F13" s="46"/>
    </row>
    <row r="14" spans="2:6" ht="15.6" thickBot="1">
      <c r="F14" s="48">
        <f>SUM(F6:F13)</f>
        <v>161151.83200000002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BEEFC-DD43-4F27-B2D9-B8F1FA81FA0D}">
  <dimension ref="A1:AE66"/>
  <sheetViews>
    <sheetView topLeftCell="A17" zoomScaleNormal="100" workbookViewId="0">
      <selection activeCell="I69" sqref="I69"/>
    </sheetView>
  </sheetViews>
  <sheetFormatPr defaultColWidth="8.7109375" defaultRowHeight="10.199999999999999"/>
  <cols>
    <col min="1" max="2" width="4.28515625" customWidth="1"/>
    <col min="3" max="3" width="17.28515625" customWidth="1"/>
    <col min="4" max="4" width="50.7109375" customWidth="1"/>
    <col min="5" max="5" width="7" customWidth="1"/>
    <col min="6" max="6" width="11.42578125" customWidth="1"/>
    <col min="7" max="7" width="18.42578125" style="4" customWidth="1"/>
    <col min="8" max="8" width="17" customWidth="1"/>
  </cols>
  <sheetData>
    <row r="1" spans="1:31" ht="15.75" customHeight="1" thickBot="1">
      <c r="A1" s="204" t="s">
        <v>129</v>
      </c>
      <c r="B1" s="204"/>
      <c r="C1" s="204"/>
      <c r="D1" s="204"/>
      <c r="E1" s="204"/>
      <c r="F1" s="204"/>
      <c r="G1" s="204"/>
      <c r="H1" s="204"/>
      <c r="AE1" t="s">
        <v>130</v>
      </c>
    </row>
    <row r="2" spans="1:31" ht="15.6" customHeight="1">
      <c r="A2" s="205" t="s">
        <v>0</v>
      </c>
      <c r="B2" s="206"/>
      <c r="C2" s="210" t="s">
        <v>134</v>
      </c>
      <c r="D2" s="211"/>
      <c r="E2" s="211"/>
      <c r="F2" s="211"/>
      <c r="G2" s="211"/>
      <c r="H2" s="212"/>
      <c r="AE2" t="s">
        <v>131</v>
      </c>
    </row>
    <row r="3" spans="1:31" ht="16.95" customHeight="1" thickBot="1">
      <c r="A3" s="207" t="s">
        <v>132</v>
      </c>
      <c r="B3" s="208"/>
      <c r="C3" s="209" t="s">
        <v>138</v>
      </c>
      <c r="D3" s="208"/>
      <c r="E3" s="209" t="s">
        <v>189</v>
      </c>
      <c r="F3" s="213"/>
      <c r="G3" s="214"/>
      <c r="H3" s="49">
        <v>1</v>
      </c>
      <c r="AE3" t="s">
        <v>133</v>
      </c>
    </row>
    <row r="4" spans="1:31" ht="22.8">
      <c r="A4" s="53" t="s">
        <v>3</v>
      </c>
      <c r="B4" s="54" t="s">
        <v>5</v>
      </c>
      <c r="C4" s="55" t="s">
        <v>13</v>
      </c>
      <c r="D4" s="56" t="s">
        <v>14</v>
      </c>
      <c r="E4" s="57" t="s">
        <v>12</v>
      </c>
      <c r="F4" s="58">
        <f>F11+F16</f>
        <v>38.776000000000003</v>
      </c>
      <c r="G4" s="59">
        <v>50</v>
      </c>
      <c r="H4" s="60">
        <f>G4*F4</f>
        <v>1938.8000000000002</v>
      </c>
      <c r="I4" s="162" t="s">
        <v>124</v>
      </c>
    </row>
    <row r="5" spans="1:31">
      <c r="A5" s="61"/>
      <c r="B5" s="23" t="s">
        <v>11</v>
      </c>
      <c r="C5" s="203" t="s">
        <v>124</v>
      </c>
      <c r="D5" s="62" t="s">
        <v>15</v>
      </c>
      <c r="E5" s="63"/>
      <c r="F5" s="64" t="s">
        <v>1</v>
      </c>
      <c r="G5" s="27"/>
      <c r="H5" s="65"/>
    </row>
    <row r="6" spans="1:31">
      <c r="A6" s="66"/>
      <c r="B6" s="23" t="s">
        <v>11</v>
      </c>
      <c r="C6" s="202" t="s">
        <v>1</v>
      </c>
      <c r="D6" s="67" t="s">
        <v>16</v>
      </c>
      <c r="E6" s="68"/>
      <c r="F6" s="69">
        <v>0</v>
      </c>
      <c r="G6" s="32"/>
      <c r="H6" s="70"/>
    </row>
    <row r="7" spans="1:31">
      <c r="A7" s="61"/>
      <c r="B7" s="23" t="s">
        <v>11</v>
      </c>
      <c r="C7" s="202" t="s">
        <v>1</v>
      </c>
      <c r="D7" s="62" t="s">
        <v>17</v>
      </c>
      <c r="E7" s="63"/>
      <c r="F7" s="64" t="s">
        <v>1</v>
      </c>
      <c r="G7" s="27"/>
      <c r="H7" s="65"/>
    </row>
    <row r="8" spans="1:31">
      <c r="A8" s="66"/>
      <c r="B8" s="23" t="s">
        <v>11</v>
      </c>
      <c r="C8" s="202" t="s">
        <v>1</v>
      </c>
      <c r="D8" s="67" t="s">
        <v>18</v>
      </c>
      <c r="E8" s="68"/>
      <c r="F8" s="69">
        <v>9.5760000000000005</v>
      </c>
      <c r="G8" s="32"/>
      <c r="H8" s="70"/>
    </row>
    <row r="9" spans="1:31">
      <c r="A9" s="61"/>
      <c r="B9" s="23" t="s">
        <v>11</v>
      </c>
      <c r="C9" s="202" t="s">
        <v>1</v>
      </c>
      <c r="D9" s="62" t="s">
        <v>19</v>
      </c>
      <c r="E9" s="63"/>
      <c r="F9" s="64" t="s">
        <v>1</v>
      </c>
      <c r="G9" s="27"/>
      <c r="H9" s="65"/>
    </row>
    <row r="10" spans="1:31">
      <c r="A10" s="66"/>
      <c r="B10" s="23" t="s">
        <v>11</v>
      </c>
      <c r="C10" s="202" t="s">
        <v>1</v>
      </c>
      <c r="D10" s="67" t="s">
        <v>20</v>
      </c>
      <c r="E10" s="68"/>
      <c r="F10" s="69">
        <v>12.768000000000001</v>
      </c>
      <c r="G10" s="32"/>
      <c r="H10" s="70"/>
    </row>
    <row r="11" spans="1:31">
      <c r="A11" s="66"/>
      <c r="B11" s="23"/>
      <c r="C11" s="28"/>
      <c r="D11" s="29"/>
      <c r="E11" s="30"/>
      <c r="F11" s="51">
        <f>-SUM(F5:F10)</f>
        <v>-22.344000000000001</v>
      </c>
      <c r="G11" s="32"/>
      <c r="H11" s="70"/>
    </row>
    <row r="12" spans="1:31" s="2" customFormat="1">
      <c r="A12" s="61"/>
      <c r="B12" s="23" t="s">
        <v>11</v>
      </c>
      <c r="C12" s="202" t="s">
        <v>135</v>
      </c>
      <c r="D12" s="71" t="s">
        <v>17</v>
      </c>
      <c r="E12" s="72"/>
      <c r="F12" s="73" t="s">
        <v>1</v>
      </c>
      <c r="G12" s="27"/>
      <c r="H12" s="65"/>
    </row>
    <row r="13" spans="1:31" s="3" customFormat="1">
      <c r="A13" s="66"/>
      <c r="B13" s="23" t="s">
        <v>11</v>
      </c>
      <c r="C13" s="202" t="s">
        <v>1</v>
      </c>
      <c r="D13" s="74" t="s">
        <v>169</v>
      </c>
      <c r="E13" s="75"/>
      <c r="F13" s="76">
        <f>0.9*0.8*1*36</f>
        <v>25.92</v>
      </c>
      <c r="G13" s="32"/>
      <c r="H13" s="70"/>
    </row>
    <row r="14" spans="1:31" s="2" customFormat="1">
      <c r="A14" s="61"/>
      <c r="B14" s="23" t="s">
        <v>11</v>
      </c>
      <c r="C14" s="202" t="s">
        <v>1</v>
      </c>
      <c r="D14" s="71" t="s">
        <v>19</v>
      </c>
      <c r="E14" s="72"/>
      <c r="F14" s="73" t="s">
        <v>1</v>
      </c>
      <c r="G14" s="27"/>
      <c r="H14" s="65"/>
    </row>
    <row r="15" spans="1:31" s="3" customFormat="1">
      <c r="A15" s="66"/>
      <c r="B15" s="23" t="s">
        <v>11</v>
      </c>
      <c r="C15" s="202" t="s">
        <v>1</v>
      </c>
      <c r="D15" s="74" t="s">
        <v>168</v>
      </c>
      <c r="E15" s="75"/>
      <c r="F15" s="76">
        <f>1.1*0.8*1*40</f>
        <v>35.200000000000003</v>
      </c>
      <c r="G15" s="32"/>
      <c r="H15" s="70"/>
    </row>
    <row r="16" spans="1:31">
      <c r="A16" s="66"/>
      <c r="B16" s="23"/>
      <c r="C16" s="28"/>
      <c r="D16" s="29"/>
      <c r="E16" s="30"/>
      <c r="F16" s="52">
        <f>SUM(F12:F15)</f>
        <v>61.120000000000005</v>
      </c>
      <c r="G16" s="32"/>
      <c r="H16" s="70"/>
    </row>
    <row r="17" spans="1:9" ht="57">
      <c r="A17" s="77" t="s">
        <v>6</v>
      </c>
      <c r="B17" s="5" t="s">
        <v>5</v>
      </c>
      <c r="C17" s="6" t="s">
        <v>21</v>
      </c>
      <c r="D17" s="7" t="s">
        <v>22</v>
      </c>
      <c r="E17" s="8" t="s">
        <v>12</v>
      </c>
      <c r="F17" s="9">
        <f>F4</f>
        <v>38.776000000000003</v>
      </c>
      <c r="G17" s="10">
        <v>60</v>
      </c>
      <c r="H17" s="78">
        <f t="shared" ref="H17:H22" si="0">G17*F17</f>
        <v>2326.5600000000004</v>
      </c>
      <c r="I17" s="162" t="s">
        <v>124</v>
      </c>
    </row>
    <row r="18" spans="1:9" ht="57" hidden="1">
      <c r="A18" s="77" t="s">
        <v>7</v>
      </c>
      <c r="B18" s="5" t="s">
        <v>5</v>
      </c>
      <c r="C18" s="6" t="s">
        <v>25</v>
      </c>
      <c r="D18" s="7" t="s">
        <v>26</v>
      </c>
      <c r="E18" s="8" t="s">
        <v>12</v>
      </c>
      <c r="F18" s="9">
        <f>F4</f>
        <v>38.776000000000003</v>
      </c>
      <c r="G18" s="10"/>
      <c r="H18" s="78">
        <f t="shared" si="0"/>
        <v>0</v>
      </c>
      <c r="I18" s="162" t="s">
        <v>124</v>
      </c>
    </row>
    <row r="19" spans="1:9" ht="68.400000000000006" hidden="1">
      <c r="A19" s="77" t="s">
        <v>4</v>
      </c>
      <c r="B19" s="5" t="s">
        <v>5</v>
      </c>
      <c r="C19" s="6" t="s">
        <v>27</v>
      </c>
      <c r="D19" s="7" t="s">
        <v>28</v>
      </c>
      <c r="E19" s="8" t="s">
        <v>12</v>
      </c>
      <c r="F19" s="9">
        <f>F17</f>
        <v>38.776000000000003</v>
      </c>
      <c r="G19" s="10"/>
      <c r="H19" s="78">
        <f t="shared" si="0"/>
        <v>0</v>
      </c>
      <c r="I19" s="162" t="s">
        <v>124</v>
      </c>
    </row>
    <row r="20" spans="1:9" ht="34.200000000000003">
      <c r="A20" s="77" t="s">
        <v>8</v>
      </c>
      <c r="B20" s="5" t="s">
        <v>5</v>
      </c>
      <c r="C20" s="6" t="s">
        <v>29</v>
      </c>
      <c r="D20" s="7" t="s">
        <v>30</v>
      </c>
      <c r="E20" s="8" t="s">
        <v>12</v>
      </c>
      <c r="F20" s="9">
        <f>F17</f>
        <v>38.776000000000003</v>
      </c>
      <c r="G20" s="10">
        <v>90</v>
      </c>
      <c r="H20" s="78">
        <f t="shared" si="0"/>
        <v>3489.84</v>
      </c>
      <c r="I20" s="162" t="s">
        <v>124</v>
      </c>
    </row>
    <row r="21" spans="1:9" ht="45.6" hidden="1">
      <c r="A21" s="77" t="s">
        <v>9</v>
      </c>
      <c r="B21" s="5" t="s">
        <v>5</v>
      </c>
      <c r="C21" s="6" t="s">
        <v>31</v>
      </c>
      <c r="D21" s="7" t="s">
        <v>32</v>
      </c>
      <c r="E21" s="8" t="s">
        <v>33</v>
      </c>
      <c r="F21" s="9">
        <f>F17*1.6</f>
        <v>62.04160000000001</v>
      </c>
      <c r="G21" s="10"/>
      <c r="H21" s="78">
        <f t="shared" si="0"/>
        <v>0</v>
      </c>
      <c r="I21" s="162" t="s">
        <v>124</v>
      </c>
    </row>
    <row r="22" spans="1:9" s="1" customFormat="1" ht="33" customHeight="1">
      <c r="A22" s="77" t="s">
        <v>38</v>
      </c>
      <c r="B22" s="5" t="s">
        <v>5</v>
      </c>
      <c r="C22" s="6" t="s">
        <v>39</v>
      </c>
      <c r="D22" s="7" t="s">
        <v>40</v>
      </c>
      <c r="E22" s="8" t="s">
        <v>12</v>
      </c>
      <c r="F22" s="9">
        <f>F29+F34</f>
        <v>2.9560000000000017</v>
      </c>
      <c r="G22" s="10">
        <v>750</v>
      </c>
      <c r="H22" s="78">
        <f t="shared" si="0"/>
        <v>2217.0000000000014</v>
      </c>
      <c r="I22" s="162" t="s">
        <v>124</v>
      </c>
    </row>
    <row r="23" spans="1:9" s="2" customFormat="1">
      <c r="A23" s="61"/>
      <c r="B23" s="23" t="s">
        <v>11</v>
      </c>
      <c r="C23" s="203" t="s">
        <v>124</v>
      </c>
      <c r="D23" s="62" t="s">
        <v>15</v>
      </c>
      <c r="E23" s="63"/>
      <c r="F23" s="64" t="s">
        <v>1</v>
      </c>
      <c r="G23" s="27"/>
      <c r="H23" s="65"/>
    </row>
    <row r="24" spans="1:9" s="3" customFormat="1">
      <c r="A24" s="66"/>
      <c r="B24" s="23" t="s">
        <v>11</v>
      </c>
      <c r="C24" s="202"/>
      <c r="D24" s="67" t="s">
        <v>41</v>
      </c>
      <c r="E24" s="68"/>
      <c r="F24" s="69">
        <v>0</v>
      </c>
      <c r="G24" s="32"/>
      <c r="H24" s="70"/>
    </row>
    <row r="25" spans="1:9" s="2" customFormat="1">
      <c r="A25" s="61"/>
      <c r="B25" s="23" t="s">
        <v>11</v>
      </c>
      <c r="C25" s="202"/>
      <c r="D25" s="62" t="s">
        <v>17</v>
      </c>
      <c r="E25" s="63"/>
      <c r="F25" s="64" t="s">
        <v>1</v>
      </c>
      <c r="G25" s="27"/>
      <c r="H25" s="65"/>
    </row>
    <row r="26" spans="1:9" s="3" customFormat="1">
      <c r="A26" s="66"/>
      <c r="B26" s="23" t="s">
        <v>11</v>
      </c>
      <c r="C26" s="202"/>
      <c r="D26" s="67" t="s">
        <v>42</v>
      </c>
      <c r="E26" s="68"/>
      <c r="F26" s="69">
        <v>1.3320000000000001</v>
      </c>
      <c r="G26" s="32"/>
      <c r="H26" s="70"/>
    </row>
    <row r="27" spans="1:9" s="2" customFormat="1">
      <c r="A27" s="61"/>
      <c r="B27" s="23" t="s">
        <v>11</v>
      </c>
      <c r="C27" s="202"/>
      <c r="D27" s="62" t="s">
        <v>19</v>
      </c>
      <c r="E27" s="63"/>
      <c r="F27" s="64" t="s">
        <v>1</v>
      </c>
      <c r="G27" s="27"/>
      <c r="H27" s="65"/>
    </row>
    <row r="28" spans="1:9" s="3" customFormat="1">
      <c r="A28" s="66"/>
      <c r="B28" s="23" t="s">
        <v>11</v>
      </c>
      <c r="C28" s="202"/>
      <c r="D28" s="67" t="s">
        <v>43</v>
      </c>
      <c r="E28" s="68"/>
      <c r="F28" s="69">
        <v>1.8240000000000001</v>
      </c>
      <c r="G28" s="32"/>
      <c r="H28" s="70"/>
    </row>
    <row r="29" spans="1:9" s="3" customFormat="1">
      <c r="A29" s="66"/>
      <c r="B29" s="23"/>
      <c r="C29" s="28"/>
      <c r="D29" s="29"/>
      <c r="E29" s="30"/>
      <c r="F29" s="51">
        <f>-SUM(F23:F28)</f>
        <v>-3.1560000000000001</v>
      </c>
      <c r="G29" s="32"/>
      <c r="H29" s="70"/>
    </row>
    <row r="30" spans="1:9" s="2" customFormat="1">
      <c r="A30" s="61"/>
      <c r="B30" s="23" t="s">
        <v>11</v>
      </c>
      <c r="C30" s="202" t="s">
        <v>135</v>
      </c>
      <c r="D30" s="71" t="s">
        <v>17</v>
      </c>
      <c r="E30" s="72"/>
      <c r="F30" s="73" t="s">
        <v>1</v>
      </c>
      <c r="G30" s="27"/>
      <c r="H30" s="65"/>
    </row>
    <row r="31" spans="1:9" s="3" customFormat="1">
      <c r="A31" s="66"/>
      <c r="B31" s="23" t="s">
        <v>11</v>
      </c>
      <c r="C31" s="202"/>
      <c r="D31" s="74" t="s">
        <v>170</v>
      </c>
      <c r="E31" s="75"/>
      <c r="F31" s="76">
        <f>0.9*0.8*0.1*36</f>
        <v>2.5920000000000005</v>
      </c>
      <c r="G31" s="32"/>
      <c r="H31" s="70"/>
    </row>
    <row r="32" spans="1:9" s="2" customFormat="1">
      <c r="A32" s="61"/>
      <c r="B32" s="23" t="s">
        <v>11</v>
      </c>
      <c r="C32" s="202"/>
      <c r="D32" s="71" t="s">
        <v>19</v>
      </c>
      <c r="E32" s="72"/>
      <c r="F32" s="73" t="s">
        <v>1</v>
      </c>
      <c r="G32" s="27"/>
      <c r="H32" s="65"/>
    </row>
    <row r="33" spans="1:11" s="3" customFormat="1">
      <c r="A33" s="66"/>
      <c r="B33" s="23" t="s">
        <v>11</v>
      </c>
      <c r="C33" s="202"/>
      <c r="D33" s="74" t="s">
        <v>171</v>
      </c>
      <c r="E33" s="75"/>
      <c r="F33" s="76">
        <f>1.1*0.8*0.1*40</f>
        <v>3.5200000000000009</v>
      </c>
      <c r="G33" s="32"/>
      <c r="H33" s="70"/>
    </row>
    <row r="34" spans="1:11" s="3" customFormat="1">
      <c r="A34" s="66"/>
      <c r="B34" s="23"/>
      <c r="C34" s="28"/>
      <c r="D34" s="29"/>
      <c r="E34" s="30"/>
      <c r="F34" s="52">
        <f>SUM(F30:F33)</f>
        <v>6.1120000000000019</v>
      </c>
      <c r="G34" s="32"/>
      <c r="H34" s="70"/>
    </row>
    <row r="35" spans="1:11" s="1" customFormat="1" ht="21.75" customHeight="1">
      <c r="A35" s="77" t="s">
        <v>37</v>
      </c>
      <c r="B35" s="5" t="s">
        <v>5</v>
      </c>
      <c r="C35" s="6" t="s">
        <v>44</v>
      </c>
      <c r="D35" s="7" t="s">
        <v>45</v>
      </c>
      <c r="E35" s="8" t="s">
        <v>12</v>
      </c>
      <c r="F35" s="9">
        <v>-27.148</v>
      </c>
      <c r="G35" s="10">
        <v>3200</v>
      </c>
      <c r="H35" s="78">
        <f>G35*F35</f>
        <v>-86873.600000000006</v>
      </c>
      <c r="I35" s="162" t="s">
        <v>124</v>
      </c>
    </row>
    <row r="36" spans="1:11" s="2" customFormat="1">
      <c r="A36" s="61"/>
      <c r="B36" s="23" t="s">
        <v>11</v>
      </c>
      <c r="C36" s="203" t="s">
        <v>124</v>
      </c>
      <c r="D36" s="62" t="s">
        <v>15</v>
      </c>
      <c r="E36" s="63"/>
      <c r="F36" s="64" t="s">
        <v>1</v>
      </c>
      <c r="G36" s="27"/>
      <c r="H36" s="65"/>
    </row>
    <row r="37" spans="1:11" s="3" customFormat="1">
      <c r="A37" s="66"/>
      <c r="B37" s="23" t="s">
        <v>11</v>
      </c>
      <c r="C37" s="202" t="s">
        <v>1</v>
      </c>
      <c r="D37" s="67" t="s">
        <v>46</v>
      </c>
      <c r="E37" s="68"/>
      <c r="F37" s="69">
        <v>0</v>
      </c>
      <c r="G37" s="32"/>
      <c r="H37" s="70"/>
    </row>
    <row r="38" spans="1:11" s="2" customFormat="1">
      <c r="A38" s="61"/>
      <c r="B38" s="23" t="s">
        <v>11</v>
      </c>
      <c r="C38" s="202" t="s">
        <v>1</v>
      </c>
      <c r="D38" s="62" t="s">
        <v>17</v>
      </c>
      <c r="E38" s="63"/>
      <c r="F38" s="64" t="s">
        <v>1</v>
      </c>
      <c r="G38" s="27"/>
      <c r="H38" s="65"/>
    </row>
    <row r="39" spans="1:11" s="3" customFormat="1">
      <c r="A39" s="66"/>
      <c r="B39" s="23" t="s">
        <v>11</v>
      </c>
      <c r="C39" s="202" t="s">
        <v>1</v>
      </c>
      <c r="D39" s="67" t="s">
        <v>47</v>
      </c>
      <c r="E39" s="68"/>
      <c r="F39" s="69">
        <v>10.656000000000001</v>
      </c>
      <c r="G39" s="32"/>
      <c r="H39" s="70"/>
    </row>
    <row r="40" spans="1:11" s="2" customFormat="1">
      <c r="A40" s="61"/>
      <c r="B40" s="23" t="s">
        <v>11</v>
      </c>
      <c r="C40" s="202" t="s">
        <v>1</v>
      </c>
      <c r="D40" s="62" t="s">
        <v>19</v>
      </c>
      <c r="E40" s="63"/>
      <c r="F40" s="64" t="s">
        <v>1</v>
      </c>
      <c r="G40" s="27"/>
      <c r="H40" s="65"/>
    </row>
    <row r="41" spans="1:11" s="3" customFormat="1">
      <c r="A41" s="66"/>
      <c r="B41" s="23" t="s">
        <v>11</v>
      </c>
      <c r="C41" s="202" t="s">
        <v>1</v>
      </c>
      <c r="D41" s="67" t="s">
        <v>48</v>
      </c>
      <c r="E41" s="68"/>
      <c r="F41" s="69">
        <v>14.592000000000001</v>
      </c>
      <c r="G41" s="32"/>
      <c r="H41" s="70"/>
    </row>
    <row r="42" spans="1:11" s="3" customFormat="1">
      <c r="A42" s="66"/>
      <c r="B42" s="23"/>
      <c r="C42" s="50"/>
      <c r="D42" s="29"/>
      <c r="E42" s="30"/>
      <c r="F42" s="51">
        <f>-SUM(F36:F41)</f>
        <v>-25.248000000000001</v>
      </c>
      <c r="G42" s="32"/>
      <c r="H42" s="70"/>
    </row>
    <row r="43" spans="1:11" s="1" customFormat="1" ht="21.6" customHeight="1">
      <c r="A43" s="77" t="s">
        <v>37</v>
      </c>
      <c r="B43" s="5" t="s">
        <v>5</v>
      </c>
      <c r="C43" s="6" t="s">
        <v>136</v>
      </c>
      <c r="D43" s="7" t="s">
        <v>137</v>
      </c>
      <c r="E43" s="8" t="s">
        <v>12</v>
      </c>
      <c r="F43" s="9">
        <f>F48</f>
        <v>66.009600000000006</v>
      </c>
      <c r="G43" s="10">
        <v>3120</v>
      </c>
      <c r="H43" s="78">
        <f>G43*F43</f>
        <v>205949.95200000002</v>
      </c>
      <c r="I43" s="162"/>
      <c r="K43" s="200"/>
    </row>
    <row r="44" spans="1:11" s="3" customFormat="1">
      <c r="A44" s="66"/>
      <c r="B44" s="23"/>
      <c r="C44" s="202" t="s">
        <v>135</v>
      </c>
      <c r="D44" s="71" t="s">
        <v>17</v>
      </c>
      <c r="E44" s="72"/>
      <c r="F44" s="73" t="s">
        <v>1</v>
      </c>
      <c r="G44" s="32"/>
      <c r="H44" s="70"/>
    </row>
    <row r="45" spans="1:11" s="3" customFormat="1">
      <c r="A45" s="66"/>
      <c r="B45" s="23"/>
      <c r="C45" s="202" t="s">
        <v>1</v>
      </c>
      <c r="D45" s="74" t="s">
        <v>172</v>
      </c>
      <c r="E45" s="75"/>
      <c r="F45" s="76">
        <f>(0.9*0.8*1*36)*1.08</f>
        <v>27.993600000000004</v>
      </c>
      <c r="G45" s="32"/>
      <c r="H45" s="70"/>
    </row>
    <row r="46" spans="1:11" s="3" customFormat="1">
      <c r="A46" s="66"/>
      <c r="B46" s="23"/>
      <c r="C46" s="202" t="s">
        <v>1</v>
      </c>
      <c r="D46" s="71" t="s">
        <v>19</v>
      </c>
      <c r="E46" s="72"/>
      <c r="F46" s="73" t="s">
        <v>1</v>
      </c>
      <c r="G46" s="32"/>
      <c r="H46" s="70"/>
    </row>
    <row r="47" spans="1:11" s="3" customFormat="1">
      <c r="A47" s="66"/>
      <c r="B47" s="23"/>
      <c r="C47" s="202" t="s">
        <v>1</v>
      </c>
      <c r="D47" s="74" t="s">
        <v>173</v>
      </c>
      <c r="E47" s="75"/>
      <c r="F47" s="76">
        <f>(1.1*0.8*1*40)*1.08</f>
        <v>38.016000000000005</v>
      </c>
      <c r="G47" s="32"/>
      <c r="H47" s="70"/>
    </row>
    <row r="48" spans="1:11" s="3" customFormat="1">
      <c r="A48" s="66"/>
      <c r="B48" s="23"/>
      <c r="C48" s="28"/>
      <c r="D48" s="29"/>
      <c r="E48" s="30"/>
      <c r="F48" s="52">
        <f>SUM(F44:F47)</f>
        <v>66.009600000000006</v>
      </c>
      <c r="G48" s="32"/>
      <c r="H48" s="70"/>
    </row>
    <row r="49" spans="1:9" s="1" customFormat="1" ht="16.5" customHeight="1">
      <c r="A49" s="77" t="s">
        <v>49</v>
      </c>
      <c r="B49" s="5" t="s">
        <v>5</v>
      </c>
      <c r="C49" s="6" t="s">
        <v>50</v>
      </c>
      <c r="D49" s="7" t="s">
        <v>51</v>
      </c>
      <c r="E49" s="8" t="s">
        <v>34</v>
      </c>
      <c r="F49" s="9">
        <f>F56+F61</f>
        <v>-84.16</v>
      </c>
      <c r="G49" s="10">
        <v>300</v>
      </c>
      <c r="H49" s="78">
        <f>G49*F49</f>
        <v>-25248</v>
      </c>
      <c r="I49" s="162" t="s">
        <v>124</v>
      </c>
    </row>
    <row r="50" spans="1:9" s="2" customFormat="1">
      <c r="A50" s="61"/>
      <c r="B50" s="23" t="s">
        <v>11</v>
      </c>
      <c r="C50" s="203" t="s">
        <v>124</v>
      </c>
      <c r="D50" s="62" t="s">
        <v>15</v>
      </c>
      <c r="E50" s="63"/>
      <c r="F50" s="64" t="s">
        <v>1</v>
      </c>
      <c r="G50" s="27"/>
      <c r="H50" s="65"/>
    </row>
    <row r="51" spans="1:9" s="3" customFormat="1">
      <c r="A51" s="66"/>
      <c r="B51" s="23" t="s">
        <v>11</v>
      </c>
      <c r="C51" s="202" t="s">
        <v>1</v>
      </c>
      <c r="D51" s="67" t="s">
        <v>52</v>
      </c>
      <c r="E51" s="68"/>
      <c r="F51" s="69">
        <v>0</v>
      </c>
      <c r="G51" s="32"/>
      <c r="H51" s="70"/>
    </row>
    <row r="52" spans="1:9" s="2" customFormat="1">
      <c r="A52" s="61"/>
      <c r="B52" s="23" t="s">
        <v>11</v>
      </c>
      <c r="C52" s="202" t="s">
        <v>1</v>
      </c>
      <c r="D52" s="62" t="s">
        <v>17</v>
      </c>
      <c r="E52" s="63"/>
      <c r="F52" s="64" t="s">
        <v>1</v>
      </c>
      <c r="G52" s="27"/>
      <c r="H52" s="65"/>
    </row>
    <row r="53" spans="1:9" s="3" customFormat="1">
      <c r="A53" s="66"/>
      <c r="B53" s="23" t="s">
        <v>11</v>
      </c>
      <c r="C53" s="202" t="s">
        <v>1</v>
      </c>
      <c r="D53" s="67" t="s">
        <v>53</v>
      </c>
      <c r="E53" s="68"/>
      <c r="F53" s="69">
        <v>35.520000000000003</v>
      </c>
      <c r="G53" s="32"/>
      <c r="H53" s="70"/>
    </row>
    <row r="54" spans="1:9" s="2" customFormat="1">
      <c r="A54" s="61"/>
      <c r="B54" s="23" t="s">
        <v>11</v>
      </c>
      <c r="C54" s="202" t="s">
        <v>1</v>
      </c>
      <c r="D54" s="62" t="s">
        <v>19</v>
      </c>
      <c r="E54" s="63"/>
      <c r="F54" s="64" t="s">
        <v>1</v>
      </c>
      <c r="G54" s="27"/>
      <c r="H54" s="65"/>
    </row>
    <row r="55" spans="1:9" s="3" customFormat="1">
      <c r="A55" s="66"/>
      <c r="B55" s="23" t="s">
        <v>11</v>
      </c>
      <c r="C55" s="202" t="s">
        <v>1</v>
      </c>
      <c r="D55" s="67" t="s">
        <v>54</v>
      </c>
      <c r="E55" s="68"/>
      <c r="F55" s="69">
        <v>48.64</v>
      </c>
      <c r="G55" s="32"/>
      <c r="H55" s="70"/>
    </row>
    <row r="56" spans="1:9" s="3" customFormat="1">
      <c r="A56" s="66"/>
      <c r="B56" s="23"/>
      <c r="C56" s="50"/>
      <c r="D56" s="29"/>
      <c r="E56" s="30"/>
      <c r="F56" s="51">
        <f>-SUM(F50:F55)</f>
        <v>-84.16</v>
      </c>
      <c r="G56" s="32"/>
      <c r="H56" s="70"/>
    </row>
    <row r="57" spans="1:9" s="3" customFormat="1">
      <c r="A57" s="66"/>
      <c r="B57" s="23"/>
      <c r="C57" s="202" t="s">
        <v>135</v>
      </c>
      <c r="D57" s="71" t="s">
        <v>17</v>
      </c>
      <c r="E57" s="72"/>
      <c r="F57" s="73" t="s">
        <v>1</v>
      </c>
      <c r="G57" s="32"/>
      <c r="H57" s="70"/>
    </row>
    <row r="58" spans="1:9" s="3" customFormat="1">
      <c r="A58" s="66"/>
      <c r="B58" s="23"/>
      <c r="C58" s="202" t="s">
        <v>1</v>
      </c>
      <c r="D58" s="74" t="s">
        <v>174</v>
      </c>
      <c r="E58" s="75"/>
      <c r="F58" s="76">
        <v>0</v>
      </c>
      <c r="G58" s="32"/>
      <c r="H58" s="70"/>
    </row>
    <row r="59" spans="1:9" s="3" customFormat="1">
      <c r="A59" s="66"/>
      <c r="B59" s="23"/>
      <c r="C59" s="202" t="s">
        <v>1</v>
      </c>
      <c r="D59" s="71" t="s">
        <v>19</v>
      </c>
      <c r="E59" s="72"/>
      <c r="F59" s="73" t="s">
        <v>1</v>
      </c>
      <c r="G59" s="32"/>
      <c r="H59" s="70"/>
    </row>
    <row r="60" spans="1:9" s="3" customFormat="1">
      <c r="A60" s="66"/>
      <c r="B60" s="23"/>
      <c r="C60" s="202" t="s">
        <v>1</v>
      </c>
      <c r="D60" s="74" t="s">
        <v>175</v>
      </c>
      <c r="E60" s="75"/>
      <c r="F60" s="76">
        <v>0</v>
      </c>
      <c r="G60" s="32"/>
      <c r="H60" s="70"/>
    </row>
    <row r="61" spans="1:9" s="3" customFormat="1">
      <c r="A61" s="66"/>
      <c r="B61" s="23"/>
      <c r="C61" s="50"/>
      <c r="D61" s="29"/>
      <c r="E61" s="30"/>
      <c r="F61" s="163">
        <f>SUM(F58:F60)</f>
        <v>0</v>
      </c>
      <c r="G61" s="32"/>
      <c r="H61" s="70"/>
    </row>
    <row r="62" spans="1:9" s="3" customFormat="1">
      <c r="A62" s="66"/>
      <c r="B62" s="23"/>
      <c r="C62" s="50"/>
      <c r="D62" s="29"/>
      <c r="E62" s="30"/>
      <c r="F62" s="31"/>
      <c r="G62" s="32"/>
      <c r="H62" s="70"/>
    </row>
    <row r="63" spans="1:9" s="3" customFormat="1" ht="11.4">
      <c r="A63" s="5" t="s">
        <v>55</v>
      </c>
      <c r="B63" s="5" t="s">
        <v>5</v>
      </c>
      <c r="C63" s="6" t="s">
        <v>56</v>
      </c>
      <c r="D63" s="7" t="s">
        <v>57</v>
      </c>
      <c r="E63" s="8" t="s">
        <v>34</v>
      </c>
      <c r="F63" s="38">
        <f>F49</f>
        <v>-84.16</v>
      </c>
      <c r="G63" s="10">
        <v>150</v>
      </c>
      <c r="H63" s="78">
        <f>G63*F63</f>
        <v>-12624</v>
      </c>
    </row>
    <row r="64" spans="1:9" s="3" customFormat="1" ht="10.8" thickBot="1">
      <c r="A64" s="79"/>
      <c r="B64" s="80"/>
      <c r="C64" s="81"/>
      <c r="D64" s="82"/>
      <c r="E64" s="83"/>
      <c r="F64" s="164"/>
      <c r="G64" s="84"/>
      <c r="H64" s="85"/>
    </row>
    <row r="65" spans="8:11" ht="14.4" thickBot="1">
      <c r="H65" s="86">
        <f>SUM(H4:H64)</f>
        <v>91176.552000000011</v>
      </c>
    </row>
    <row r="66" spans="8:11">
      <c r="K66" s="201"/>
    </row>
  </sheetData>
  <mergeCells count="14">
    <mergeCell ref="C57:C60"/>
    <mergeCell ref="C36:C41"/>
    <mergeCell ref="C44:C47"/>
    <mergeCell ref="C50:C55"/>
    <mergeCell ref="A1:H1"/>
    <mergeCell ref="C23:C28"/>
    <mergeCell ref="C30:C33"/>
    <mergeCell ref="C5:C10"/>
    <mergeCell ref="C12:C15"/>
    <mergeCell ref="A2:B2"/>
    <mergeCell ref="A3:B3"/>
    <mergeCell ref="C3:D3"/>
    <mergeCell ref="C2:H2"/>
    <mergeCell ref="E3:G3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0FCC0-769B-428C-ABBD-15A02AB20A21}">
  <dimension ref="A1:I80"/>
  <sheetViews>
    <sheetView tabSelected="1" topLeftCell="A3" zoomScale="115" zoomScaleNormal="115" workbookViewId="0">
      <selection activeCell="F83" sqref="F83"/>
    </sheetView>
  </sheetViews>
  <sheetFormatPr defaultColWidth="8.7109375" defaultRowHeight="10.199999999999999"/>
  <cols>
    <col min="1" max="1" width="4.28515625" customWidth="1"/>
    <col min="2" max="2" width="17.28515625" customWidth="1"/>
    <col min="3" max="3" width="50.7109375" customWidth="1"/>
    <col min="4" max="4" width="7" customWidth="1"/>
    <col min="5" max="5" width="11.42578125" customWidth="1"/>
    <col min="6" max="6" width="20.28515625" style="4" customWidth="1"/>
    <col min="7" max="7" width="17.42578125" customWidth="1"/>
  </cols>
  <sheetData>
    <row r="1" spans="1:9" ht="15.75" customHeight="1" thickBot="1">
      <c r="A1" s="204" t="s">
        <v>129</v>
      </c>
      <c r="B1" s="204"/>
      <c r="C1" s="204"/>
      <c r="D1" s="204"/>
      <c r="E1" s="204"/>
      <c r="F1" s="204"/>
      <c r="G1" s="204"/>
    </row>
    <row r="2" spans="1:9" ht="15.6" customHeight="1">
      <c r="A2" s="205" t="s">
        <v>0</v>
      </c>
      <c r="B2" s="206"/>
      <c r="C2" s="221" t="s">
        <v>134</v>
      </c>
      <c r="D2" s="206"/>
      <c r="E2" s="206"/>
      <c r="F2" s="206"/>
      <c r="G2" s="222"/>
    </row>
    <row r="3" spans="1:9" ht="16.95" customHeight="1" thickBot="1">
      <c r="A3" s="215" t="s">
        <v>132</v>
      </c>
      <c r="B3" s="216"/>
      <c r="C3" s="217" t="s">
        <v>140</v>
      </c>
      <c r="D3" s="216"/>
      <c r="E3" s="217" t="s">
        <v>189</v>
      </c>
      <c r="F3" s="220"/>
      <c r="G3" s="161">
        <v>2</v>
      </c>
    </row>
    <row r="4" spans="1:9" s="1" customFormat="1" ht="16.5" customHeight="1">
      <c r="A4" s="53" t="s">
        <v>71</v>
      </c>
      <c r="B4" s="145" t="s">
        <v>72</v>
      </c>
      <c r="C4" s="146" t="s">
        <v>73</v>
      </c>
      <c r="D4" s="147" t="s">
        <v>35</v>
      </c>
      <c r="E4" s="148">
        <f>E6+E9</f>
        <v>200.28499999999985</v>
      </c>
      <c r="F4" s="59">
        <v>35</v>
      </c>
      <c r="G4" s="60">
        <f>F4*E4</f>
        <v>7009.9749999999949</v>
      </c>
      <c r="H4" s="162" t="s">
        <v>124</v>
      </c>
    </row>
    <row r="5" spans="1:9" s="2" customFormat="1">
      <c r="A5" s="61"/>
      <c r="B5" s="218" t="s">
        <v>124</v>
      </c>
      <c r="C5" s="87" t="s">
        <v>74</v>
      </c>
      <c r="D5" s="88"/>
      <c r="E5" s="89" t="s">
        <v>1</v>
      </c>
      <c r="F5" s="27"/>
      <c r="G5" s="65"/>
    </row>
    <row r="6" spans="1:9" s="3" customFormat="1">
      <c r="A6" s="66"/>
      <c r="B6" s="219"/>
      <c r="C6" s="91" t="s">
        <v>75</v>
      </c>
      <c r="D6" s="92"/>
      <c r="E6" s="93">
        <v>-4009</v>
      </c>
      <c r="F6" s="32"/>
      <c r="G6" s="70"/>
      <c r="I6" s="16"/>
    </row>
    <row r="7" spans="1:9" s="3" customFormat="1">
      <c r="A7" s="66"/>
      <c r="B7" s="28"/>
      <c r="C7" s="29"/>
      <c r="D7" s="30" t="s">
        <v>124</v>
      </c>
      <c r="E7" s="101">
        <f>E6</f>
        <v>-4009</v>
      </c>
      <c r="F7" s="32"/>
      <c r="G7" s="70"/>
    </row>
    <row r="8" spans="1:9" s="3" customFormat="1">
      <c r="A8" s="66"/>
      <c r="B8" s="108" t="s">
        <v>141</v>
      </c>
      <c r="C8" s="109"/>
      <c r="D8" s="110"/>
      <c r="E8" s="111">
        <f>E20+E35+E55</f>
        <v>4209.2849999999999</v>
      </c>
      <c r="F8" s="32"/>
      <c r="G8" s="70"/>
    </row>
    <row r="9" spans="1:9" s="3" customFormat="1">
      <c r="A9" s="66"/>
      <c r="B9" s="50"/>
      <c r="C9" s="29"/>
      <c r="D9" s="30" t="s">
        <v>135</v>
      </c>
      <c r="E9" s="113">
        <f>E8</f>
        <v>4209.2849999999999</v>
      </c>
      <c r="F9" s="32"/>
      <c r="G9" s="70"/>
    </row>
    <row r="10" spans="1:9" s="1" customFormat="1" ht="21.75" customHeight="1">
      <c r="A10" s="149" t="s">
        <v>76</v>
      </c>
      <c r="B10" s="119" t="s">
        <v>77</v>
      </c>
      <c r="C10" s="120" t="s">
        <v>78</v>
      </c>
      <c r="D10" s="121" t="s">
        <v>35</v>
      </c>
      <c r="E10" s="122">
        <f>E4</f>
        <v>200.28499999999985</v>
      </c>
      <c r="F10" s="123">
        <v>60</v>
      </c>
      <c r="G10" s="150">
        <f>F10*E10</f>
        <v>12017.099999999991</v>
      </c>
      <c r="H10" s="162" t="s">
        <v>124</v>
      </c>
    </row>
    <row r="11" spans="1:9" s="1" customFormat="1" ht="16.5" customHeight="1">
      <c r="A11" s="151" t="s">
        <v>79</v>
      </c>
      <c r="B11" s="124" t="s">
        <v>80</v>
      </c>
      <c r="C11" s="125" t="s">
        <v>81</v>
      </c>
      <c r="D11" s="126" t="s">
        <v>36</v>
      </c>
      <c r="E11" s="127">
        <f>E15+E19</f>
        <v>13.600000000000023</v>
      </c>
      <c r="F11" s="128">
        <v>1000</v>
      </c>
      <c r="G11" s="176">
        <f>F11*E11</f>
        <v>13600.000000000022</v>
      </c>
      <c r="H11" s="162" t="s">
        <v>124</v>
      </c>
    </row>
    <row r="12" spans="1:9" s="2" customFormat="1">
      <c r="A12" s="61"/>
      <c r="B12" s="218" t="s">
        <v>124</v>
      </c>
      <c r="C12" s="87" t="s">
        <v>82</v>
      </c>
      <c r="D12" s="88"/>
      <c r="E12" s="89" t="s">
        <v>1</v>
      </c>
      <c r="F12" s="27"/>
      <c r="G12" s="65"/>
    </row>
    <row r="13" spans="1:9" s="3" customFormat="1">
      <c r="A13" s="66"/>
      <c r="B13" s="226"/>
      <c r="C13" s="67" t="s">
        <v>83</v>
      </c>
      <c r="D13" s="68"/>
      <c r="E13" s="90">
        <f>-6.8*38</f>
        <v>-258.39999999999998</v>
      </c>
      <c r="F13" s="32"/>
      <c r="G13" s="70"/>
    </row>
    <row r="14" spans="1:9" s="3" customFormat="1">
      <c r="A14" s="66"/>
      <c r="B14" s="219"/>
      <c r="C14" s="91" t="s">
        <v>142</v>
      </c>
      <c r="D14" s="92"/>
      <c r="E14" s="93"/>
      <c r="F14" s="32"/>
      <c r="G14" s="70"/>
    </row>
    <row r="15" spans="1:9" s="3" customFormat="1">
      <c r="A15" s="66"/>
      <c r="B15" s="50"/>
      <c r="C15" s="29"/>
      <c r="D15" s="30" t="s">
        <v>124</v>
      </c>
      <c r="E15" s="101">
        <f>E13</f>
        <v>-258.39999999999998</v>
      </c>
      <c r="F15" s="32"/>
      <c r="G15" s="70"/>
    </row>
    <row r="16" spans="1:9" s="3" customFormat="1">
      <c r="A16" s="66"/>
      <c r="B16" s="223" t="s">
        <v>135</v>
      </c>
      <c r="C16" s="94" t="s">
        <v>82</v>
      </c>
      <c r="D16" s="95"/>
      <c r="E16" s="100" t="s">
        <v>1</v>
      </c>
      <c r="F16" s="27"/>
      <c r="G16" s="70"/>
    </row>
    <row r="17" spans="1:9" s="3" customFormat="1">
      <c r="A17" s="66"/>
      <c r="B17" s="224"/>
      <c r="C17" s="74" t="s">
        <v>146</v>
      </c>
      <c r="D17" s="75"/>
      <c r="E17" s="96">
        <f>6.8*40</f>
        <v>272</v>
      </c>
      <c r="F17" s="32"/>
      <c r="G17" s="70"/>
    </row>
    <row r="18" spans="1:9" s="3" customFormat="1">
      <c r="A18" s="66"/>
      <c r="B18" s="224"/>
      <c r="C18" s="74" t="s">
        <v>147</v>
      </c>
      <c r="D18" s="75"/>
      <c r="E18" s="96"/>
      <c r="F18" s="32"/>
      <c r="G18" s="70"/>
    </row>
    <row r="19" spans="1:9" s="3" customFormat="1">
      <c r="A19" s="66"/>
      <c r="B19" s="224"/>
      <c r="C19" s="29"/>
      <c r="D19" s="30" t="s">
        <v>135</v>
      </c>
      <c r="E19" s="112">
        <f>E17</f>
        <v>272</v>
      </c>
      <c r="F19" s="32"/>
      <c r="G19" s="70"/>
    </row>
    <row r="20" spans="1:9" s="3" customFormat="1">
      <c r="A20" s="152"/>
      <c r="B20" s="225"/>
      <c r="C20" s="33" t="s">
        <v>148</v>
      </c>
      <c r="D20" s="34"/>
      <c r="E20" s="129">
        <f>E17*8.39</f>
        <v>2282.08</v>
      </c>
      <c r="F20" s="130" t="s">
        <v>35</v>
      </c>
      <c r="G20" s="153"/>
    </row>
    <row r="21" spans="1:9" s="1" customFormat="1" ht="16.5" customHeight="1">
      <c r="A21" s="151" t="s">
        <v>84</v>
      </c>
      <c r="B21" s="131" t="s">
        <v>85</v>
      </c>
      <c r="C21" s="132" t="s">
        <v>86</v>
      </c>
      <c r="D21" s="133" t="s">
        <v>36</v>
      </c>
      <c r="E21" s="134">
        <v>-19.2</v>
      </c>
      <c r="F21" s="128">
        <v>750</v>
      </c>
      <c r="G21" s="78">
        <f>F21*E21</f>
        <v>-14400</v>
      </c>
      <c r="H21" s="162" t="s">
        <v>124</v>
      </c>
    </row>
    <row r="22" spans="1:9" s="2" customFormat="1">
      <c r="A22" s="61"/>
      <c r="B22" s="24" t="s">
        <v>1</v>
      </c>
      <c r="C22" s="25" t="s">
        <v>87</v>
      </c>
      <c r="D22" s="26"/>
      <c r="E22" s="24" t="s">
        <v>1</v>
      </c>
      <c r="F22" s="27"/>
      <c r="G22" s="65"/>
    </row>
    <row r="23" spans="1:9" s="3" customFormat="1">
      <c r="A23" s="152"/>
      <c r="B23" s="135" t="s">
        <v>1</v>
      </c>
      <c r="C23" s="39" t="s">
        <v>88</v>
      </c>
      <c r="D23" s="98"/>
      <c r="E23" s="40">
        <v>19.2</v>
      </c>
      <c r="F23" s="130"/>
      <c r="G23" s="153"/>
    </row>
    <row r="24" spans="1:9" s="1" customFormat="1" ht="16.5" customHeight="1">
      <c r="A24" s="151" t="s">
        <v>89</v>
      </c>
      <c r="B24" s="124" t="s">
        <v>90</v>
      </c>
      <c r="C24" s="125" t="s">
        <v>91</v>
      </c>
      <c r="D24" s="126" t="s">
        <v>36</v>
      </c>
      <c r="E24" s="127">
        <f>E30+E34</f>
        <v>-3.0999999999999943</v>
      </c>
      <c r="F24" s="198">
        <v>750</v>
      </c>
      <c r="G24" s="78">
        <f>F24*E24</f>
        <v>-2324.9999999999959</v>
      </c>
      <c r="H24" s="162" t="s">
        <v>124</v>
      </c>
      <c r="I24" s="199"/>
    </row>
    <row r="25" spans="1:9" s="2" customFormat="1">
      <c r="A25" s="61"/>
      <c r="B25" s="218" t="s">
        <v>124</v>
      </c>
      <c r="C25" s="87" t="s">
        <v>87</v>
      </c>
      <c r="D25" s="88"/>
      <c r="E25" s="89" t="s">
        <v>1</v>
      </c>
      <c r="F25" s="27"/>
      <c r="G25" s="65"/>
    </row>
    <row r="26" spans="1:9" s="3" customFormat="1">
      <c r="A26" s="66"/>
      <c r="B26" s="226"/>
      <c r="C26" s="67" t="s">
        <v>92</v>
      </c>
      <c r="D26" s="68"/>
      <c r="E26" s="90">
        <v>-153.6</v>
      </c>
      <c r="F26" s="32"/>
      <c r="G26" s="70"/>
    </row>
    <row r="27" spans="1:9" s="3" customFormat="1">
      <c r="A27" s="66"/>
      <c r="B27" s="226"/>
      <c r="C27" s="67" t="s">
        <v>93</v>
      </c>
      <c r="D27" s="68"/>
      <c r="E27" s="90">
        <v>-5.6</v>
      </c>
      <c r="F27" s="32"/>
      <c r="G27" s="70"/>
    </row>
    <row r="28" spans="1:9" s="2" customFormat="1">
      <c r="A28" s="61"/>
      <c r="B28" s="226"/>
      <c r="C28" s="62" t="s">
        <v>94</v>
      </c>
      <c r="D28" s="63"/>
      <c r="E28" s="99" t="s">
        <v>1</v>
      </c>
      <c r="F28" s="27"/>
      <c r="G28" s="65"/>
    </row>
    <row r="29" spans="1:9" s="3" customFormat="1">
      <c r="A29" s="66"/>
      <c r="B29" s="219"/>
      <c r="C29" s="91" t="s">
        <v>95</v>
      </c>
      <c r="D29" s="92"/>
      <c r="E29" s="93">
        <v>-11</v>
      </c>
      <c r="F29" s="32"/>
      <c r="G29" s="70"/>
    </row>
    <row r="30" spans="1:9" s="3" customFormat="1">
      <c r="A30" s="66"/>
      <c r="B30" s="28"/>
      <c r="C30" s="29"/>
      <c r="D30" s="30" t="s">
        <v>124</v>
      </c>
      <c r="E30" s="101">
        <f>SUM(E25:E29)</f>
        <v>-170.2</v>
      </c>
      <c r="F30" s="32"/>
      <c r="G30" s="70"/>
    </row>
    <row r="31" spans="1:9" s="3" customFormat="1">
      <c r="A31" s="66"/>
      <c r="B31" s="223" t="s">
        <v>135</v>
      </c>
      <c r="C31" s="94" t="s">
        <v>87</v>
      </c>
      <c r="D31" s="95"/>
      <c r="E31" s="100" t="s">
        <v>1</v>
      </c>
      <c r="F31" s="27"/>
      <c r="G31" s="70"/>
    </row>
    <row r="32" spans="1:9" s="3" customFormat="1">
      <c r="A32" s="66"/>
      <c r="B32" s="224"/>
      <c r="C32" s="74" t="s">
        <v>149</v>
      </c>
      <c r="D32" s="75"/>
      <c r="E32" s="96">
        <f>4.8*33 + 2.9*3</f>
        <v>167.1</v>
      </c>
      <c r="F32" s="32"/>
      <c r="G32" s="70"/>
    </row>
    <row r="33" spans="1:8" s="3" customFormat="1">
      <c r="A33" s="66"/>
      <c r="B33" s="224"/>
      <c r="C33" s="74" t="s">
        <v>150</v>
      </c>
      <c r="D33" s="75"/>
      <c r="E33" s="96"/>
      <c r="F33" s="32"/>
      <c r="G33" s="70"/>
    </row>
    <row r="34" spans="1:8" s="3" customFormat="1">
      <c r="A34" s="66"/>
      <c r="B34" s="224"/>
      <c r="C34" s="29"/>
      <c r="D34" s="30" t="s">
        <v>135</v>
      </c>
      <c r="E34" s="112">
        <f>E32</f>
        <v>167.1</v>
      </c>
      <c r="F34" s="32"/>
      <c r="G34" s="70"/>
    </row>
    <row r="35" spans="1:8" s="3" customFormat="1">
      <c r="A35" s="152"/>
      <c r="B35" s="225"/>
      <c r="C35" s="33" t="s">
        <v>151</v>
      </c>
      <c r="D35" s="34"/>
      <c r="E35" s="129">
        <f>E32*5.75</f>
        <v>960.82499999999993</v>
      </c>
      <c r="F35" s="130" t="s">
        <v>35</v>
      </c>
      <c r="G35" s="153"/>
    </row>
    <row r="36" spans="1:8" s="1" customFormat="1" ht="16.5" customHeight="1">
      <c r="A36" s="151" t="s">
        <v>96</v>
      </c>
      <c r="B36" s="131" t="s">
        <v>97</v>
      </c>
      <c r="C36" s="132" t="s">
        <v>98</v>
      </c>
      <c r="D36" s="133" t="s">
        <v>36</v>
      </c>
      <c r="E36" s="134">
        <f>E41+E54</f>
        <v>142.85</v>
      </c>
      <c r="F36" s="128">
        <v>650</v>
      </c>
      <c r="G36" s="78">
        <f>F36*E36</f>
        <v>92852.5</v>
      </c>
      <c r="H36" s="162" t="s">
        <v>124</v>
      </c>
    </row>
    <row r="37" spans="1:8" s="2" customFormat="1">
      <c r="A37" s="61"/>
      <c r="B37" s="218" t="s">
        <v>124</v>
      </c>
      <c r="C37" s="87" t="s">
        <v>99</v>
      </c>
      <c r="D37" s="88"/>
      <c r="E37" s="89" t="s">
        <v>1</v>
      </c>
      <c r="F37" s="27"/>
      <c r="G37" s="65"/>
    </row>
    <row r="38" spans="1:8" s="3" customFormat="1">
      <c r="A38" s="66"/>
      <c r="B38" s="226"/>
      <c r="C38" s="67" t="s">
        <v>100</v>
      </c>
      <c r="D38" s="68"/>
      <c r="E38" s="90">
        <v>-35.200000000000003</v>
      </c>
      <c r="F38" s="32"/>
      <c r="G38" s="70"/>
    </row>
    <row r="39" spans="1:8" s="2" customFormat="1">
      <c r="A39" s="61"/>
      <c r="B39" s="226"/>
      <c r="C39" s="67" t="s">
        <v>101</v>
      </c>
      <c r="D39" s="68"/>
      <c r="E39" s="90" t="s">
        <v>1</v>
      </c>
      <c r="F39" s="27"/>
      <c r="G39" s="65"/>
    </row>
    <row r="40" spans="1:8" s="3" customFormat="1">
      <c r="A40" s="66"/>
      <c r="B40" s="219"/>
      <c r="C40" s="103" t="s">
        <v>102</v>
      </c>
      <c r="D40" s="104"/>
      <c r="E40" s="105">
        <v>-51.2</v>
      </c>
      <c r="F40" s="32"/>
      <c r="G40" s="70"/>
    </row>
    <row r="41" spans="1:8" s="3" customFormat="1">
      <c r="A41" s="66"/>
      <c r="B41" s="28"/>
      <c r="C41" s="29"/>
      <c r="D41" s="30" t="s">
        <v>143</v>
      </c>
      <c r="E41" s="102">
        <f>E38+E40</f>
        <v>-86.4</v>
      </c>
      <c r="F41" s="32"/>
      <c r="G41" s="70"/>
    </row>
    <row r="42" spans="1:8" s="3" customFormat="1">
      <c r="A42" s="66"/>
      <c r="B42" s="28"/>
      <c r="C42" s="29"/>
      <c r="D42" s="30"/>
      <c r="E42" s="31"/>
      <c r="F42" s="32"/>
      <c r="G42" s="70"/>
    </row>
    <row r="43" spans="1:8" s="3" customFormat="1">
      <c r="A43" s="66"/>
      <c r="B43" s="227" t="s">
        <v>135</v>
      </c>
      <c r="C43" s="94" t="s">
        <v>82</v>
      </c>
      <c r="D43" s="106"/>
      <c r="E43" s="107"/>
      <c r="F43" s="32"/>
      <c r="G43" s="70"/>
    </row>
    <row r="44" spans="1:8">
      <c r="A44" s="154"/>
      <c r="B44" s="228"/>
      <c r="C44" s="74" t="s">
        <v>121</v>
      </c>
      <c r="D44" s="75"/>
      <c r="E44" s="96">
        <v>109</v>
      </c>
      <c r="F44" s="32"/>
      <c r="G44" s="155"/>
    </row>
    <row r="45" spans="1:8" s="3" customFormat="1">
      <c r="A45" s="66"/>
      <c r="B45" s="228"/>
      <c r="C45" s="71" t="s">
        <v>87</v>
      </c>
      <c r="D45" s="75"/>
      <c r="E45" s="96"/>
      <c r="F45" s="32"/>
      <c r="G45" s="70"/>
    </row>
    <row r="46" spans="1:8" s="3" customFormat="1">
      <c r="A46" s="66"/>
      <c r="B46" s="228"/>
      <c r="C46" s="74" t="s">
        <v>122</v>
      </c>
      <c r="D46" s="75"/>
      <c r="E46" s="96">
        <v>109</v>
      </c>
      <c r="F46" s="32"/>
      <c r="G46" s="70"/>
    </row>
    <row r="47" spans="1:8" s="3" customFormat="1">
      <c r="A47" s="66"/>
      <c r="B47" s="228"/>
      <c r="C47" s="74" t="s">
        <v>120</v>
      </c>
      <c r="D47" s="75"/>
      <c r="E47" s="96"/>
      <c r="F47" s="32"/>
      <c r="G47" s="70"/>
    </row>
    <row r="48" spans="1:8" s="3" customFormat="1">
      <c r="A48" s="66"/>
      <c r="B48" s="228"/>
      <c r="C48" s="74" t="s">
        <v>152</v>
      </c>
      <c r="D48" s="75"/>
      <c r="E48" s="96">
        <v>1.25</v>
      </c>
      <c r="F48" s="32"/>
      <c r="G48" s="70"/>
    </row>
    <row r="49" spans="1:8" s="3" customFormat="1">
      <c r="A49" s="66"/>
      <c r="B49" s="228"/>
      <c r="C49" s="74" t="s">
        <v>153</v>
      </c>
      <c r="D49" s="75"/>
      <c r="E49" s="96">
        <v>2.75</v>
      </c>
      <c r="F49" s="32"/>
      <c r="G49" s="70"/>
    </row>
    <row r="50" spans="1:8" s="3" customFormat="1">
      <c r="A50" s="66"/>
      <c r="B50" s="228"/>
      <c r="C50" s="74" t="s">
        <v>154</v>
      </c>
      <c r="D50" s="75"/>
      <c r="E50" s="96">
        <v>3.5</v>
      </c>
      <c r="F50" s="32"/>
      <c r="G50" s="70"/>
    </row>
    <row r="51" spans="1:8" s="3" customFormat="1">
      <c r="A51" s="66"/>
      <c r="B51" s="228"/>
      <c r="C51" s="74" t="s">
        <v>155</v>
      </c>
      <c r="D51" s="75"/>
      <c r="E51" s="96">
        <v>1.25</v>
      </c>
      <c r="F51" s="32"/>
      <c r="G51" s="70"/>
    </row>
    <row r="52" spans="1:8" s="3" customFormat="1">
      <c r="A52" s="66"/>
      <c r="B52" s="228"/>
      <c r="C52" s="74" t="s">
        <v>156</v>
      </c>
      <c r="D52" s="75"/>
      <c r="E52" s="96">
        <v>1.25</v>
      </c>
      <c r="F52" s="32"/>
      <c r="G52" s="70"/>
    </row>
    <row r="53" spans="1:8" s="3" customFormat="1">
      <c r="A53" s="66"/>
      <c r="B53" s="228"/>
      <c r="C53" s="74" t="s">
        <v>157</v>
      </c>
      <c r="D53" s="75"/>
      <c r="E53" s="96">
        <v>1.25</v>
      </c>
      <c r="F53" s="32"/>
      <c r="G53" s="70"/>
    </row>
    <row r="54" spans="1:8" s="3" customFormat="1">
      <c r="A54" s="66"/>
      <c r="B54" s="228"/>
      <c r="C54" s="29"/>
      <c r="D54" s="30" t="s">
        <v>135</v>
      </c>
      <c r="E54" s="112">
        <f>SUM(E43:E53)</f>
        <v>229.25</v>
      </c>
      <c r="F54" s="32"/>
      <c r="G54" s="70"/>
    </row>
    <row r="55" spans="1:8" s="3" customFormat="1">
      <c r="A55" s="152"/>
      <c r="B55" s="229"/>
      <c r="C55" s="33" t="s">
        <v>123</v>
      </c>
      <c r="D55" s="34"/>
      <c r="E55" s="129">
        <f>229*4.22</f>
        <v>966.38</v>
      </c>
      <c r="F55" s="130" t="s">
        <v>35</v>
      </c>
      <c r="G55" s="153"/>
    </row>
    <row r="56" spans="1:8" s="1" customFormat="1" ht="16.5" customHeight="1">
      <c r="A56" s="151" t="s">
        <v>103</v>
      </c>
      <c r="B56" s="131" t="s">
        <v>104</v>
      </c>
      <c r="C56" s="132" t="s">
        <v>105</v>
      </c>
      <c r="D56" s="133" t="s">
        <v>36</v>
      </c>
      <c r="E56" s="134">
        <v>-109</v>
      </c>
      <c r="F56" s="128">
        <v>450</v>
      </c>
      <c r="G56" s="78">
        <f>F56*E56</f>
        <v>-49050</v>
      </c>
      <c r="H56" s="162" t="s">
        <v>124</v>
      </c>
    </row>
    <row r="57" spans="1:8" s="2" customFormat="1">
      <c r="A57" s="61"/>
      <c r="B57" s="24" t="s">
        <v>1</v>
      </c>
      <c r="C57" s="25" t="s">
        <v>106</v>
      </c>
      <c r="D57" s="26"/>
      <c r="E57" s="24" t="s">
        <v>1</v>
      </c>
      <c r="F57" s="27"/>
      <c r="G57" s="65"/>
    </row>
    <row r="58" spans="1:8" s="3" customFormat="1">
      <c r="A58" s="152"/>
      <c r="B58" s="135" t="s">
        <v>1</v>
      </c>
      <c r="C58" s="39" t="s">
        <v>107</v>
      </c>
      <c r="D58" s="98"/>
      <c r="E58" s="40">
        <v>109</v>
      </c>
      <c r="F58" s="130"/>
      <c r="G58" s="153"/>
    </row>
    <row r="59" spans="1:8" s="1" customFormat="1" ht="16.2" customHeight="1">
      <c r="A59" s="156" t="s">
        <v>108</v>
      </c>
      <c r="B59" s="114" t="s">
        <v>109</v>
      </c>
      <c r="C59" s="115" t="s">
        <v>110</v>
      </c>
      <c r="D59" s="116" t="s">
        <v>35</v>
      </c>
      <c r="E59" s="117">
        <f>E62+E66</f>
        <v>12.796799999999962</v>
      </c>
      <c r="F59" s="118">
        <v>100</v>
      </c>
      <c r="G59" s="78">
        <f>F59*E59</f>
        <v>1279.6799999999962</v>
      </c>
      <c r="H59" s="162" t="s">
        <v>124</v>
      </c>
    </row>
    <row r="60" spans="1:8" s="2" customFormat="1">
      <c r="A60" s="61"/>
      <c r="B60" s="218" t="s">
        <v>124</v>
      </c>
      <c r="C60" s="87" t="s">
        <v>74</v>
      </c>
      <c r="D60" s="88"/>
      <c r="E60" s="89" t="s">
        <v>1</v>
      </c>
      <c r="F60" s="27"/>
      <c r="G60" s="65"/>
    </row>
    <row r="61" spans="1:8" s="3" customFormat="1">
      <c r="A61" s="66"/>
      <c r="B61" s="219"/>
      <c r="C61" s="91" t="s">
        <v>111</v>
      </c>
      <c r="D61" s="92"/>
      <c r="E61" s="93">
        <v>-320.72000000000003</v>
      </c>
      <c r="F61" s="32"/>
      <c r="G61" s="70"/>
    </row>
    <row r="62" spans="1:8" s="3" customFormat="1">
      <c r="A62" s="66"/>
      <c r="B62" s="28"/>
      <c r="C62" s="29"/>
      <c r="D62" s="30" t="s">
        <v>143</v>
      </c>
      <c r="E62" s="102">
        <f>E61</f>
        <v>-320.72000000000003</v>
      </c>
      <c r="F62" s="32"/>
      <c r="G62" s="70"/>
    </row>
    <row r="63" spans="1:8" s="3" customFormat="1">
      <c r="A63" s="66"/>
      <c r="B63" s="28"/>
      <c r="C63" s="29"/>
      <c r="D63" s="30"/>
      <c r="E63" s="97"/>
      <c r="F63" s="32"/>
      <c r="G63" s="70"/>
    </row>
    <row r="64" spans="1:8" s="2" customFormat="1">
      <c r="A64" s="61"/>
      <c r="B64" s="218" t="s">
        <v>135</v>
      </c>
      <c r="C64" s="136" t="s">
        <v>74</v>
      </c>
      <c r="D64" s="137"/>
      <c r="E64" s="138" t="s">
        <v>1</v>
      </c>
      <c r="F64" s="27"/>
      <c r="G64" s="65"/>
    </row>
    <row r="65" spans="1:8" s="3" customFormat="1">
      <c r="A65" s="66"/>
      <c r="B65" s="219"/>
      <c r="C65" s="139" t="s">
        <v>144</v>
      </c>
      <c r="D65" s="140"/>
      <c r="E65" s="141">
        <f>4168.96*8/100</f>
        <v>333.51679999999999</v>
      </c>
      <c r="F65" s="32"/>
      <c r="G65" s="70"/>
    </row>
    <row r="66" spans="1:8" s="3" customFormat="1">
      <c r="A66" s="66"/>
      <c r="B66" s="28"/>
      <c r="C66" s="29"/>
      <c r="D66" s="30" t="s">
        <v>135</v>
      </c>
      <c r="E66" s="112">
        <f>E65</f>
        <v>333.51679999999999</v>
      </c>
      <c r="F66" s="32"/>
      <c r="G66" s="70"/>
    </row>
    <row r="67" spans="1:8" s="3" customFormat="1">
      <c r="A67" s="66"/>
      <c r="B67" s="28"/>
      <c r="C67" s="29"/>
      <c r="D67" s="30"/>
      <c r="E67" s="97"/>
      <c r="F67" s="32"/>
      <c r="G67" s="70"/>
    </row>
    <row r="68" spans="1:8" s="3" customFormat="1">
      <c r="A68" s="66"/>
      <c r="B68" s="28"/>
      <c r="C68" s="29"/>
      <c r="D68" s="30"/>
      <c r="E68" s="97"/>
      <c r="F68" s="32"/>
      <c r="G68" s="70"/>
    </row>
    <row r="69" spans="1:8" s="1" customFormat="1" ht="24.6" customHeight="1">
      <c r="A69" s="77" t="s">
        <v>114</v>
      </c>
      <c r="B69" s="35" t="s">
        <v>115</v>
      </c>
      <c r="C69" s="36" t="s">
        <v>116</v>
      </c>
      <c r="D69" s="37" t="s">
        <v>59</v>
      </c>
      <c r="E69" s="38">
        <f>E71</f>
        <v>-1</v>
      </c>
      <c r="F69" s="10">
        <v>15000</v>
      </c>
      <c r="G69" s="78">
        <f>F69*E69</f>
        <v>-15000</v>
      </c>
      <c r="H69" s="162" t="s">
        <v>124</v>
      </c>
    </row>
    <row r="70" spans="1:8" s="3" customFormat="1">
      <c r="A70" s="66"/>
      <c r="B70" s="108" t="s">
        <v>124</v>
      </c>
      <c r="C70" s="142"/>
      <c r="D70" s="143"/>
      <c r="E70" s="144">
        <v>-1</v>
      </c>
      <c r="F70" s="32"/>
      <c r="G70" s="175"/>
    </row>
    <row r="71" spans="1:8" s="3" customFormat="1">
      <c r="A71" s="66"/>
      <c r="B71" s="28"/>
      <c r="C71" s="29"/>
      <c r="D71" s="30" t="s">
        <v>143</v>
      </c>
      <c r="E71" s="102">
        <f>E70</f>
        <v>-1</v>
      </c>
      <c r="F71" s="32"/>
      <c r="G71" s="175"/>
    </row>
    <row r="72" spans="1:8" ht="22.8">
      <c r="A72" s="77" t="s">
        <v>112</v>
      </c>
      <c r="C72" s="7" t="s">
        <v>113</v>
      </c>
      <c r="D72" s="8" t="s">
        <v>59</v>
      </c>
      <c r="E72" s="9">
        <f>E74+E75</f>
        <v>2</v>
      </c>
      <c r="F72" s="10">
        <v>15000</v>
      </c>
      <c r="G72" s="78">
        <f>F72*E72</f>
        <v>30000</v>
      </c>
    </row>
    <row r="73" spans="1:8" s="3" customFormat="1">
      <c r="A73" s="66"/>
      <c r="B73" s="108" t="s">
        <v>124</v>
      </c>
      <c r="C73" s="142"/>
      <c r="D73" s="143"/>
      <c r="E73" s="144">
        <v>-2</v>
      </c>
      <c r="F73" s="32"/>
      <c r="G73" s="175"/>
    </row>
    <row r="74" spans="1:8" s="3" customFormat="1">
      <c r="A74" s="66"/>
      <c r="B74" s="28"/>
      <c r="C74" s="29"/>
      <c r="D74" s="30" t="s">
        <v>143</v>
      </c>
      <c r="E74" s="102">
        <f>E73</f>
        <v>-2</v>
      </c>
      <c r="F74" s="32"/>
      <c r="G74" s="175"/>
    </row>
    <row r="75" spans="1:8" s="3" customFormat="1">
      <c r="A75" s="66"/>
      <c r="B75" s="108" t="s">
        <v>135</v>
      </c>
      <c r="C75" s="109"/>
      <c r="D75" s="110"/>
      <c r="E75" s="111">
        <v>4</v>
      </c>
      <c r="F75" s="32"/>
      <c r="G75" s="175"/>
    </row>
    <row r="76" spans="1:8" ht="34.200000000000003">
      <c r="A76" s="77" t="s">
        <v>158</v>
      </c>
      <c r="C76" s="7" t="s">
        <v>159</v>
      </c>
      <c r="D76" s="8" t="s">
        <v>59</v>
      </c>
      <c r="E76" s="9">
        <v>1</v>
      </c>
      <c r="F76" s="10">
        <v>28000</v>
      </c>
      <c r="G76" s="78">
        <f>F76*E76</f>
        <v>28000</v>
      </c>
    </row>
    <row r="77" spans="1:8" s="3" customFormat="1">
      <c r="A77" s="66"/>
      <c r="B77" s="108" t="s">
        <v>135</v>
      </c>
      <c r="C77" s="109"/>
      <c r="D77" s="110"/>
      <c r="E77" s="111">
        <v>1</v>
      </c>
      <c r="F77" s="32"/>
      <c r="G77" s="175"/>
    </row>
    <row r="78" spans="1:8" s="1" customFormat="1" ht="33" customHeight="1">
      <c r="A78" s="77" t="s">
        <v>117</v>
      </c>
      <c r="B78" s="6" t="s">
        <v>118</v>
      </c>
      <c r="C78" s="7" t="s">
        <v>119</v>
      </c>
      <c r="D78" s="8" t="s">
        <v>33</v>
      </c>
      <c r="E78" s="9">
        <f>(E6+E9)/1000</f>
        <v>0.20028499999999985</v>
      </c>
      <c r="F78" s="10">
        <v>5000</v>
      </c>
      <c r="G78" s="78">
        <f>F78*E78</f>
        <v>1001.4249999999993</v>
      </c>
      <c r="H78" s="162" t="s">
        <v>124</v>
      </c>
    </row>
    <row r="79" spans="1:8" s="1" customFormat="1" ht="7.2" customHeight="1" thickBot="1">
      <c r="A79" s="157"/>
      <c r="B79" s="158"/>
      <c r="C79" s="158"/>
      <c r="D79" s="158"/>
      <c r="E79" s="158"/>
      <c r="F79" s="159"/>
      <c r="G79" s="160"/>
    </row>
    <row r="80" spans="1:8" ht="14.4" thickBot="1">
      <c r="G80" s="86">
        <f>SUM(G4:G79)</f>
        <v>104985.68000000001</v>
      </c>
    </row>
  </sheetData>
  <mergeCells count="15">
    <mergeCell ref="B60:B61"/>
    <mergeCell ref="B64:B65"/>
    <mergeCell ref="B16:B20"/>
    <mergeCell ref="B12:B14"/>
    <mergeCell ref="B25:B29"/>
    <mergeCell ref="B31:B35"/>
    <mergeCell ref="B37:B40"/>
    <mergeCell ref="B43:B55"/>
    <mergeCell ref="A1:G1"/>
    <mergeCell ref="A2:B2"/>
    <mergeCell ref="A3:B3"/>
    <mergeCell ref="C3:D3"/>
    <mergeCell ref="B5:B6"/>
    <mergeCell ref="E3:F3"/>
    <mergeCell ref="C2:G2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975DA1-5123-4BDD-B48B-FD96C250DF25}">
  <dimension ref="A1:I12"/>
  <sheetViews>
    <sheetView workbookViewId="0">
      <selection activeCell="I12" sqref="I12"/>
    </sheetView>
  </sheetViews>
  <sheetFormatPr defaultColWidth="8.7109375" defaultRowHeight="10.199999999999999"/>
  <cols>
    <col min="1" max="1" width="4.28515625" customWidth="1"/>
    <col min="2" max="2" width="17.28515625" customWidth="1"/>
    <col min="3" max="3" width="50.7109375" customWidth="1"/>
    <col min="4" max="4" width="7" customWidth="1"/>
    <col min="5" max="5" width="11.42578125" customWidth="1"/>
    <col min="6" max="6" width="20.28515625" style="4" customWidth="1"/>
    <col min="7" max="7" width="17.42578125" customWidth="1"/>
  </cols>
  <sheetData>
    <row r="1" spans="1:9" ht="15.75" customHeight="1" thickBot="1">
      <c r="A1" s="204" t="s">
        <v>129</v>
      </c>
      <c r="B1" s="204"/>
      <c r="C1" s="204"/>
      <c r="D1" s="204"/>
      <c r="E1" s="204"/>
      <c r="F1" s="204"/>
      <c r="G1" s="204"/>
    </row>
    <row r="2" spans="1:9" ht="15.6" customHeight="1">
      <c r="A2" s="205" t="s">
        <v>0</v>
      </c>
      <c r="B2" s="206"/>
      <c r="C2" s="221" t="s">
        <v>134</v>
      </c>
      <c r="D2" s="206"/>
      <c r="E2" s="206"/>
      <c r="F2" s="206"/>
      <c r="G2" s="222"/>
    </row>
    <row r="3" spans="1:9" ht="16.95" customHeight="1" thickBot="1">
      <c r="A3" s="215" t="s">
        <v>132</v>
      </c>
      <c r="B3" s="216"/>
      <c r="C3" s="217" t="s">
        <v>145</v>
      </c>
      <c r="D3" s="216"/>
      <c r="E3" s="217" t="s">
        <v>189</v>
      </c>
      <c r="F3" s="220"/>
      <c r="G3" s="161">
        <v>3</v>
      </c>
    </row>
    <row r="4" spans="1:9" ht="22.8">
      <c r="A4" s="53" t="s">
        <v>58</v>
      </c>
      <c r="B4" s="55" t="s">
        <v>60</v>
      </c>
      <c r="C4" s="56" t="s">
        <v>61</v>
      </c>
      <c r="D4" s="57" t="s">
        <v>36</v>
      </c>
      <c r="E4" s="58">
        <v>138</v>
      </c>
      <c r="F4" s="59">
        <v>-250</v>
      </c>
      <c r="G4" s="60">
        <f>ROUND(F4*E4,2)</f>
        <v>-34500</v>
      </c>
    </row>
    <row r="5" spans="1:9">
      <c r="A5" s="61"/>
      <c r="B5" s="24" t="s">
        <v>1</v>
      </c>
      <c r="C5" s="25" t="s">
        <v>62</v>
      </c>
      <c r="D5" s="26"/>
      <c r="E5" s="24" t="s">
        <v>1</v>
      </c>
      <c r="F5" s="27"/>
      <c r="G5" s="65"/>
    </row>
    <row r="6" spans="1:9">
      <c r="A6" s="66"/>
      <c r="B6" s="28" t="s">
        <v>1</v>
      </c>
      <c r="C6" s="29" t="s">
        <v>63</v>
      </c>
      <c r="D6" s="30"/>
      <c r="E6" s="31">
        <v>138</v>
      </c>
      <c r="F6" s="32"/>
      <c r="G6" s="70"/>
    </row>
    <row r="7" spans="1:9" ht="11.4">
      <c r="A7" s="165" t="s">
        <v>64</v>
      </c>
      <c r="B7" s="18" t="s">
        <v>65</v>
      </c>
      <c r="C7" s="19" t="s">
        <v>66</v>
      </c>
      <c r="D7" s="20" t="s">
        <v>33</v>
      </c>
      <c r="E7" s="21">
        <v>1.3</v>
      </c>
      <c r="F7" s="22">
        <v>-45000</v>
      </c>
      <c r="G7" s="166">
        <f>ROUND(F7*E7,2)</f>
        <v>-58500</v>
      </c>
    </row>
    <row r="8" spans="1:9">
      <c r="A8" s="66"/>
      <c r="B8" s="28" t="s">
        <v>1</v>
      </c>
      <c r="C8" s="29" t="s">
        <v>67</v>
      </c>
      <c r="D8" s="30"/>
      <c r="E8" s="31">
        <v>1.3</v>
      </c>
      <c r="F8" s="32"/>
      <c r="G8" s="70"/>
    </row>
    <row r="9" spans="1:9" ht="12" thickBot="1">
      <c r="A9" s="167" t="s">
        <v>68</v>
      </c>
      <c r="B9" s="168" t="s">
        <v>69</v>
      </c>
      <c r="C9" s="169" t="s">
        <v>70</v>
      </c>
      <c r="D9" s="170" t="s">
        <v>35</v>
      </c>
      <c r="E9" s="171">
        <v>1300</v>
      </c>
      <c r="F9" s="172">
        <v>-40</v>
      </c>
      <c r="G9" s="173">
        <f>ROUND(F9*E9,2)</f>
        <v>-52000</v>
      </c>
    </row>
    <row r="10" spans="1:9" ht="14.4" thickBot="1">
      <c r="G10" s="86">
        <f>SUM(G4:G9)</f>
        <v>-145000</v>
      </c>
    </row>
    <row r="12" spans="1:9">
      <c r="I12" s="201"/>
    </row>
  </sheetData>
  <mergeCells count="6">
    <mergeCell ref="A1:G1"/>
    <mergeCell ref="A2:B2"/>
    <mergeCell ref="C2:G2"/>
    <mergeCell ref="A3:B3"/>
    <mergeCell ref="C3:D3"/>
    <mergeCell ref="E3:F3"/>
  </mergeCells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F635A9-8120-4CDB-A493-DF1123A03E70}">
  <dimension ref="A1:G19"/>
  <sheetViews>
    <sheetView workbookViewId="0">
      <selection activeCell="E34" sqref="E34"/>
    </sheetView>
  </sheetViews>
  <sheetFormatPr defaultColWidth="8.7109375" defaultRowHeight="10.199999999999999"/>
  <cols>
    <col min="1" max="1" width="4.28515625" customWidth="1"/>
    <col min="2" max="2" width="17.28515625" customWidth="1"/>
    <col min="3" max="3" width="50.7109375" customWidth="1"/>
    <col min="4" max="4" width="7" customWidth="1"/>
    <col min="5" max="5" width="11.42578125" customWidth="1"/>
    <col min="6" max="6" width="20.28515625" style="4" customWidth="1"/>
    <col min="7" max="7" width="17.42578125" customWidth="1"/>
  </cols>
  <sheetData>
    <row r="1" spans="1:7" ht="15.75" customHeight="1" thickBot="1">
      <c r="A1" s="204" t="s">
        <v>129</v>
      </c>
      <c r="B1" s="204"/>
      <c r="C1" s="204"/>
      <c r="D1" s="204"/>
      <c r="E1" s="204"/>
      <c r="F1" s="204"/>
      <c r="G1" s="204"/>
    </row>
    <row r="2" spans="1:7" ht="15.6" customHeight="1">
      <c r="A2" s="205" t="s">
        <v>0</v>
      </c>
      <c r="B2" s="206"/>
      <c r="C2" s="221" t="s">
        <v>134</v>
      </c>
      <c r="D2" s="206"/>
      <c r="E2" s="206"/>
      <c r="F2" s="206"/>
      <c r="G2" s="222"/>
    </row>
    <row r="3" spans="1:7" ht="16.95" customHeight="1" thickBot="1">
      <c r="A3" s="215" t="s">
        <v>132</v>
      </c>
      <c r="B3" s="216"/>
      <c r="C3" s="217" t="s">
        <v>160</v>
      </c>
      <c r="D3" s="216"/>
      <c r="E3" s="217" t="s">
        <v>189</v>
      </c>
      <c r="F3" s="220"/>
      <c r="G3" s="161">
        <v>5</v>
      </c>
    </row>
    <row r="4" spans="1:7" ht="11.4">
      <c r="A4" s="53" t="s">
        <v>10</v>
      </c>
      <c r="B4" s="55" t="s">
        <v>161</v>
      </c>
      <c r="C4" s="56" t="s">
        <v>162</v>
      </c>
      <c r="D4" s="57" t="s">
        <v>163</v>
      </c>
      <c r="E4" s="58">
        <f>E8+E13+E17</f>
        <v>17</v>
      </c>
      <c r="F4" s="180">
        <v>5000</v>
      </c>
      <c r="G4" s="60">
        <f>F4*E4</f>
        <v>85000</v>
      </c>
    </row>
    <row r="5" spans="1:7" s="2" customFormat="1">
      <c r="A5" s="61"/>
      <c r="B5" s="218" t="s">
        <v>124</v>
      </c>
      <c r="C5" s="87" t="s">
        <v>164</v>
      </c>
      <c r="D5" s="88"/>
      <c r="E5" s="89" t="s">
        <v>1</v>
      </c>
      <c r="F5" s="27"/>
      <c r="G5" s="65"/>
    </row>
    <row r="6" spans="1:7" s="3" customFormat="1">
      <c r="A6" s="66"/>
      <c r="B6" s="226"/>
      <c r="C6" s="67" t="s">
        <v>165</v>
      </c>
      <c r="D6" s="68"/>
      <c r="E6" s="90">
        <v>6</v>
      </c>
      <c r="F6" s="32"/>
      <c r="G6" s="70"/>
    </row>
    <row r="7" spans="1:7">
      <c r="A7" s="61"/>
      <c r="B7" s="219"/>
      <c r="C7" s="91"/>
      <c r="D7" s="92"/>
      <c r="E7" s="93"/>
      <c r="F7" s="181"/>
      <c r="G7" s="65"/>
    </row>
    <row r="8" spans="1:7">
      <c r="A8" s="61"/>
      <c r="B8" s="50"/>
      <c r="C8" s="29"/>
      <c r="D8" s="30" t="s">
        <v>124</v>
      </c>
      <c r="E8" s="186">
        <f>-E6</f>
        <v>-6</v>
      </c>
      <c r="F8" s="181"/>
      <c r="G8" s="65"/>
    </row>
    <row r="9" spans="1:7">
      <c r="A9" s="61"/>
      <c r="B9" s="231" t="s">
        <v>166</v>
      </c>
      <c r="C9" s="232"/>
      <c r="D9" s="232"/>
      <c r="E9" s="233"/>
      <c r="F9" s="181"/>
      <c r="G9" s="65"/>
    </row>
    <row r="10" spans="1:7">
      <c r="A10" s="61"/>
      <c r="B10" s="224" t="s">
        <v>135</v>
      </c>
      <c r="C10" s="184">
        <v>44736</v>
      </c>
      <c r="D10" s="72"/>
      <c r="E10" s="188">
        <v>9</v>
      </c>
      <c r="F10" s="181"/>
      <c r="G10" s="65"/>
    </row>
    <row r="11" spans="1:7">
      <c r="A11" s="61"/>
      <c r="B11" s="224" t="s">
        <v>1</v>
      </c>
      <c r="C11" s="184">
        <v>44753</v>
      </c>
      <c r="D11" s="72"/>
      <c r="E11" s="188">
        <v>5</v>
      </c>
      <c r="F11" s="181"/>
      <c r="G11" s="65"/>
    </row>
    <row r="12" spans="1:7">
      <c r="A12" s="61"/>
      <c r="B12" s="230" t="s">
        <v>1</v>
      </c>
      <c r="C12" s="189">
        <v>44781</v>
      </c>
      <c r="D12" s="190"/>
      <c r="E12" s="191">
        <v>6</v>
      </c>
      <c r="F12" s="181"/>
      <c r="G12" s="65"/>
    </row>
    <row r="13" spans="1:7">
      <c r="A13" s="61"/>
      <c r="B13" s="50"/>
      <c r="C13" s="29"/>
      <c r="D13" s="30" t="s">
        <v>135</v>
      </c>
      <c r="E13" s="187">
        <f>SUM(E10:E12)</f>
        <v>20</v>
      </c>
      <c r="F13" s="181"/>
      <c r="G13" s="65"/>
    </row>
    <row r="14" spans="1:7">
      <c r="A14" s="61"/>
      <c r="B14" s="50"/>
      <c r="C14" s="29"/>
      <c r="D14" s="30"/>
      <c r="E14" s="174"/>
      <c r="F14" s="181"/>
      <c r="G14" s="65"/>
    </row>
    <row r="15" spans="1:7">
      <c r="A15" s="193"/>
      <c r="B15" s="234" t="s">
        <v>167</v>
      </c>
      <c r="C15" s="235"/>
      <c r="D15" s="235"/>
      <c r="E15" s="236"/>
      <c r="F15" s="194"/>
      <c r="G15" s="195"/>
    </row>
    <row r="16" spans="1:7">
      <c r="A16" s="61"/>
      <c r="B16" s="192" t="s">
        <v>1</v>
      </c>
      <c r="C16" s="189"/>
      <c r="D16" s="190"/>
      <c r="E16" s="191">
        <v>3</v>
      </c>
      <c r="F16" s="181"/>
      <c r="G16" s="65"/>
    </row>
    <row r="17" spans="1:7">
      <c r="A17" s="61"/>
      <c r="B17" s="50"/>
      <c r="C17" s="29"/>
      <c r="D17" s="30" t="s">
        <v>135</v>
      </c>
      <c r="E17" s="187">
        <f>SUM(E16:E16)</f>
        <v>3</v>
      </c>
      <c r="F17" s="181"/>
      <c r="G17" s="65"/>
    </row>
    <row r="18" spans="1:7" ht="10.8" thickBot="1">
      <c r="A18" s="79"/>
      <c r="B18" s="81" t="s">
        <v>1</v>
      </c>
      <c r="C18" s="82"/>
      <c r="D18" s="83"/>
      <c r="E18" s="182"/>
      <c r="F18" s="183"/>
      <c r="G18" s="85"/>
    </row>
    <row r="19" spans="1:7" ht="14.4" thickBot="1">
      <c r="A19" s="177"/>
      <c r="B19" s="177"/>
      <c r="C19" s="177"/>
      <c r="D19" s="177"/>
      <c r="E19" s="177"/>
      <c r="F19" s="178"/>
      <c r="G19" s="179">
        <f>SUM(G4:G18)</f>
        <v>85000</v>
      </c>
    </row>
  </sheetData>
  <mergeCells count="10">
    <mergeCell ref="B5:B7"/>
    <mergeCell ref="B10:B12"/>
    <mergeCell ref="B9:E9"/>
    <mergeCell ref="B15:E15"/>
    <mergeCell ref="A1:G1"/>
    <mergeCell ref="A2:B2"/>
    <mergeCell ref="C2:G2"/>
    <mergeCell ref="A3:B3"/>
    <mergeCell ref="C3:D3"/>
    <mergeCell ref="E3:F3"/>
  </mergeCells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E05837-B098-4514-8626-4309130E49A3}">
  <dimension ref="A1:G10"/>
  <sheetViews>
    <sheetView workbookViewId="0">
      <selection activeCell="C4" sqref="C4"/>
    </sheetView>
  </sheetViews>
  <sheetFormatPr defaultColWidth="8.7109375" defaultRowHeight="10.199999999999999"/>
  <cols>
    <col min="1" max="1" width="4.28515625" customWidth="1"/>
    <col min="2" max="2" width="17.28515625" customWidth="1"/>
    <col min="3" max="3" width="50.7109375" customWidth="1"/>
    <col min="4" max="4" width="7" customWidth="1"/>
    <col min="5" max="5" width="11.42578125" customWidth="1"/>
    <col min="6" max="6" width="20.28515625" style="4" customWidth="1"/>
    <col min="7" max="7" width="17.42578125" customWidth="1"/>
  </cols>
  <sheetData>
    <row r="1" spans="1:7" ht="15.75" customHeight="1" thickBot="1">
      <c r="A1" s="204" t="s">
        <v>129</v>
      </c>
      <c r="B1" s="204"/>
      <c r="C1" s="204"/>
      <c r="D1" s="204"/>
      <c r="E1" s="204"/>
      <c r="F1" s="204"/>
      <c r="G1" s="204"/>
    </row>
    <row r="2" spans="1:7" ht="15.6" customHeight="1">
      <c r="A2" s="205" t="s">
        <v>0</v>
      </c>
      <c r="B2" s="206"/>
      <c r="C2" s="221" t="s">
        <v>134</v>
      </c>
      <c r="D2" s="206"/>
      <c r="E2" s="206"/>
      <c r="F2" s="206"/>
      <c r="G2" s="222"/>
    </row>
    <row r="3" spans="1:7" ht="16.95" customHeight="1" thickBot="1">
      <c r="A3" s="215" t="s">
        <v>132</v>
      </c>
      <c r="B3" s="216"/>
      <c r="C3" s="217" t="s">
        <v>194</v>
      </c>
      <c r="D3" s="216"/>
      <c r="E3" s="217" t="s">
        <v>189</v>
      </c>
      <c r="F3" s="220"/>
      <c r="G3" s="161">
        <v>6</v>
      </c>
    </row>
    <row r="4" spans="1:7" ht="57">
      <c r="A4" s="5" t="s">
        <v>7</v>
      </c>
      <c r="B4" s="6" t="s">
        <v>25</v>
      </c>
      <c r="C4" s="7" t="s">
        <v>26</v>
      </c>
      <c r="D4" s="8" t="s">
        <v>12</v>
      </c>
      <c r="E4" s="9">
        <v>-100</v>
      </c>
      <c r="F4" s="10">
        <v>180</v>
      </c>
      <c r="G4" s="60">
        <f>F4*E4</f>
        <v>-18000</v>
      </c>
    </row>
    <row r="5" spans="1:7" ht="11.4">
      <c r="A5" s="2"/>
      <c r="B5" s="11" t="s">
        <v>1</v>
      </c>
      <c r="C5" s="12" t="s">
        <v>23</v>
      </c>
      <c r="D5" s="2"/>
      <c r="E5" s="11" t="s">
        <v>1</v>
      </c>
      <c r="F5" s="13"/>
      <c r="G5" s="185"/>
    </row>
    <row r="6" spans="1:7" ht="11.4">
      <c r="A6" s="3"/>
      <c r="B6" s="14" t="s">
        <v>1</v>
      </c>
      <c r="C6" s="15" t="s">
        <v>24</v>
      </c>
      <c r="D6" s="3"/>
      <c r="E6" s="16">
        <v>165.52699999999999</v>
      </c>
      <c r="F6" s="17"/>
      <c r="G6" s="185"/>
    </row>
    <row r="7" spans="1:7" ht="68.400000000000006">
      <c r="A7" s="5" t="s">
        <v>4</v>
      </c>
      <c r="B7" s="6" t="s">
        <v>27</v>
      </c>
      <c r="C7" s="7" t="s">
        <v>28</v>
      </c>
      <c r="D7" s="8" t="s">
        <v>12</v>
      </c>
      <c r="E7" s="9">
        <f>E4</f>
        <v>-100</v>
      </c>
      <c r="F7" s="10">
        <v>25</v>
      </c>
      <c r="G7" s="78">
        <f>F7*E7</f>
        <v>-2500</v>
      </c>
    </row>
    <row r="8" spans="1:7" ht="45.6">
      <c r="A8" s="5" t="s">
        <v>9</v>
      </c>
      <c r="B8" s="6" t="s">
        <v>31</v>
      </c>
      <c r="C8" s="7" t="s">
        <v>32</v>
      </c>
      <c r="D8" s="8" t="s">
        <v>33</v>
      </c>
      <c r="E8" s="9">
        <f>E4*1.6</f>
        <v>-160</v>
      </c>
      <c r="F8" s="10">
        <v>350</v>
      </c>
      <c r="G8" s="78">
        <f>F8*E8</f>
        <v>-56000</v>
      </c>
    </row>
    <row r="9" spans="1:7" ht="10.8" thickBot="1">
      <c r="A9" s="79"/>
      <c r="B9" s="81" t="s">
        <v>1</v>
      </c>
      <c r="C9" s="82"/>
      <c r="D9" s="83"/>
      <c r="E9" s="182"/>
      <c r="F9" s="183"/>
      <c r="G9" s="85"/>
    </row>
    <row r="10" spans="1:7" ht="14.4" thickBot="1">
      <c r="A10" s="177"/>
      <c r="B10" s="177"/>
      <c r="C10" s="177"/>
      <c r="D10" s="177"/>
      <c r="E10" s="177"/>
      <c r="F10" s="178"/>
      <c r="G10" s="179">
        <f>SUM(G4:G9)</f>
        <v>-76500</v>
      </c>
    </row>
  </sheetData>
  <mergeCells count="6">
    <mergeCell ref="A1:G1"/>
    <mergeCell ref="A2:B2"/>
    <mergeCell ref="C2:G2"/>
    <mergeCell ref="A3:B3"/>
    <mergeCell ref="C3:D3"/>
    <mergeCell ref="E3:F3"/>
  </mergeCells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D78BD-BF1A-4335-BB18-A94C834D3BE6}">
  <dimension ref="A1:J7"/>
  <sheetViews>
    <sheetView workbookViewId="0">
      <selection activeCell="G16" sqref="G16"/>
    </sheetView>
  </sheetViews>
  <sheetFormatPr defaultColWidth="8.7109375" defaultRowHeight="10.199999999999999"/>
  <cols>
    <col min="1" max="1" width="4.28515625" customWidth="1"/>
    <col min="2" max="2" width="17.28515625" customWidth="1"/>
    <col min="3" max="3" width="50.7109375" customWidth="1"/>
    <col min="4" max="4" width="7" customWidth="1"/>
    <col min="5" max="5" width="11.42578125" customWidth="1"/>
    <col min="6" max="6" width="20.28515625" style="4" customWidth="1"/>
    <col min="7" max="7" width="17.42578125" customWidth="1"/>
  </cols>
  <sheetData>
    <row r="1" spans="1:10" ht="15.75" customHeight="1" thickBot="1">
      <c r="A1" s="204" t="s">
        <v>129</v>
      </c>
      <c r="B1" s="204"/>
      <c r="C1" s="204"/>
      <c r="D1" s="204"/>
      <c r="E1" s="204"/>
      <c r="F1" s="204"/>
      <c r="G1" s="204"/>
    </row>
    <row r="2" spans="1:10" ht="15.6" customHeight="1">
      <c r="A2" s="205" t="s">
        <v>0</v>
      </c>
      <c r="B2" s="206"/>
      <c r="C2" s="221" t="s">
        <v>134</v>
      </c>
      <c r="D2" s="206"/>
      <c r="E2" s="206"/>
      <c r="F2" s="206"/>
      <c r="G2" s="222"/>
    </row>
    <row r="3" spans="1:10" ht="16.95" customHeight="1" thickBot="1">
      <c r="A3" s="215" t="s">
        <v>132</v>
      </c>
      <c r="B3" s="216"/>
      <c r="C3" s="217" t="s">
        <v>177</v>
      </c>
      <c r="D3" s="216"/>
      <c r="E3" s="217" t="s">
        <v>189</v>
      </c>
      <c r="F3" s="220"/>
      <c r="G3" s="161">
        <v>7</v>
      </c>
    </row>
    <row r="4" spans="1:10" ht="22.8">
      <c r="A4" s="53" t="s">
        <v>9</v>
      </c>
      <c r="B4" s="55" t="s">
        <v>176</v>
      </c>
      <c r="C4" s="56" t="s">
        <v>179</v>
      </c>
      <c r="D4" s="57" t="s">
        <v>163</v>
      </c>
      <c r="E4" s="58">
        <v>1</v>
      </c>
      <c r="F4" s="180">
        <f>4*5750</f>
        <v>23000</v>
      </c>
      <c r="G4" s="60">
        <f>F4*E4</f>
        <v>23000</v>
      </c>
      <c r="I4" s="197"/>
    </row>
    <row r="5" spans="1:10" ht="10.8" thickBot="1">
      <c r="A5" s="79"/>
      <c r="B5" s="81" t="s">
        <v>1</v>
      </c>
      <c r="C5" s="82"/>
      <c r="D5" s="83"/>
      <c r="E5" s="182"/>
      <c r="F5" s="183"/>
      <c r="G5" s="85"/>
    </row>
    <row r="6" spans="1:10" ht="14.4" thickBot="1">
      <c r="A6" s="177"/>
      <c r="B6" s="177"/>
      <c r="C6" s="177"/>
      <c r="D6" s="177"/>
      <c r="E6" s="177"/>
      <c r="F6" s="178"/>
      <c r="G6" s="179">
        <f>SUM(G4:G5)</f>
        <v>23000</v>
      </c>
      <c r="J6" s="201"/>
    </row>
    <row r="7" spans="1:10">
      <c r="J7" s="201"/>
    </row>
  </sheetData>
  <mergeCells count="6">
    <mergeCell ref="A1:G1"/>
    <mergeCell ref="A2:B2"/>
    <mergeCell ref="C2:G2"/>
    <mergeCell ref="A3:B3"/>
    <mergeCell ref="C3:D3"/>
    <mergeCell ref="E3:F3"/>
  </mergeCells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4D318-639E-404A-900D-10FA12747B41}">
  <dimension ref="A1:AE16"/>
  <sheetViews>
    <sheetView workbookViewId="0">
      <selection activeCell="J20" sqref="J20"/>
    </sheetView>
  </sheetViews>
  <sheetFormatPr defaultColWidth="8.7109375" defaultRowHeight="10.199999999999999"/>
  <cols>
    <col min="1" max="2" width="4.28515625" customWidth="1"/>
    <col min="3" max="3" width="17.28515625" customWidth="1"/>
    <col min="4" max="4" width="50.7109375" customWidth="1"/>
    <col min="5" max="5" width="7" customWidth="1"/>
    <col min="6" max="6" width="11.42578125" customWidth="1"/>
    <col min="7" max="7" width="18.42578125" style="4" customWidth="1"/>
    <col min="8" max="8" width="17" customWidth="1"/>
  </cols>
  <sheetData>
    <row r="1" spans="1:31" ht="15.75" customHeight="1" thickBot="1">
      <c r="A1" s="204" t="s">
        <v>129</v>
      </c>
      <c r="B1" s="204"/>
      <c r="C1" s="204"/>
      <c r="D1" s="204"/>
      <c r="E1" s="204"/>
      <c r="F1" s="204"/>
      <c r="G1" s="204"/>
      <c r="H1" s="204"/>
      <c r="AE1" t="s">
        <v>130</v>
      </c>
    </row>
    <row r="2" spans="1:31" ht="15.6" customHeight="1">
      <c r="A2" s="205" t="s">
        <v>0</v>
      </c>
      <c r="B2" s="206"/>
      <c r="C2" s="210" t="s">
        <v>134</v>
      </c>
      <c r="D2" s="211"/>
      <c r="E2" s="211"/>
      <c r="F2" s="211"/>
      <c r="G2" s="211"/>
      <c r="H2" s="212"/>
      <c r="AE2" t="s">
        <v>131</v>
      </c>
    </row>
    <row r="3" spans="1:31" ht="16.95" customHeight="1" thickBot="1">
      <c r="A3" s="207" t="s">
        <v>132</v>
      </c>
      <c r="B3" s="208"/>
      <c r="C3" s="209" t="s">
        <v>138</v>
      </c>
      <c r="D3" s="208"/>
      <c r="E3" s="209" t="s">
        <v>189</v>
      </c>
      <c r="F3" s="213"/>
      <c r="G3" s="214"/>
      <c r="H3" s="49">
        <v>8</v>
      </c>
      <c r="AE3" t="s">
        <v>133</v>
      </c>
    </row>
    <row r="4" spans="1:31" ht="22.8">
      <c r="A4" s="53" t="s">
        <v>3</v>
      </c>
      <c r="B4" s="54" t="s">
        <v>5</v>
      </c>
      <c r="C4" s="55" t="s">
        <v>13</v>
      </c>
      <c r="D4" s="56" t="s">
        <v>14</v>
      </c>
      <c r="E4" s="57" t="s">
        <v>12</v>
      </c>
      <c r="F4" s="58">
        <f>F7</f>
        <v>12.8</v>
      </c>
      <c r="G4" s="59">
        <v>50</v>
      </c>
      <c r="H4" s="60">
        <f>G4*F4</f>
        <v>640</v>
      </c>
      <c r="I4" s="162" t="s">
        <v>124</v>
      </c>
    </row>
    <row r="5" spans="1:31" s="2" customFormat="1">
      <c r="A5" s="61"/>
      <c r="B5" s="23" t="s">
        <v>11</v>
      </c>
      <c r="C5" s="202" t="s">
        <v>135</v>
      </c>
      <c r="D5" s="71" t="s">
        <v>181</v>
      </c>
      <c r="E5" s="72"/>
      <c r="F5" s="73" t="s">
        <v>1</v>
      </c>
      <c r="G5" s="27"/>
      <c r="H5" s="65"/>
    </row>
    <row r="6" spans="1:31" s="3" customFormat="1">
      <c r="A6" s="66"/>
      <c r="B6" s="23" t="s">
        <v>11</v>
      </c>
      <c r="C6" s="202" t="s">
        <v>1</v>
      </c>
      <c r="D6" s="74" t="s">
        <v>190</v>
      </c>
      <c r="E6" s="75"/>
      <c r="F6" s="76">
        <f>8*1*1*1.6</f>
        <v>12.8</v>
      </c>
      <c r="G6" s="32"/>
      <c r="H6" s="70"/>
      <c r="I6" s="196"/>
      <c r="J6" s="196"/>
    </row>
    <row r="7" spans="1:31">
      <c r="A7" s="66"/>
      <c r="B7" s="23"/>
      <c r="C7" s="28"/>
      <c r="D7" s="29"/>
      <c r="E7" s="30"/>
      <c r="F7" s="52">
        <f>SUM(F5:F6)</f>
        <v>12.8</v>
      </c>
      <c r="G7" s="32"/>
      <c r="H7" s="70"/>
    </row>
    <row r="8" spans="1:31" ht="57">
      <c r="A8" s="77" t="s">
        <v>6</v>
      </c>
      <c r="B8" s="5" t="s">
        <v>5</v>
      </c>
      <c r="C8" s="6" t="s">
        <v>21</v>
      </c>
      <c r="D8" s="7" t="s">
        <v>22</v>
      </c>
      <c r="E8" s="8" t="s">
        <v>12</v>
      </c>
      <c r="F8" s="9">
        <f>F4</f>
        <v>12.8</v>
      </c>
      <c r="G8" s="10">
        <v>60</v>
      </c>
      <c r="H8" s="78">
        <f t="shared" ref="H8:H9" si="0">G8*F8</f>
        <v>768</v>
      </c>
      <c r="I8" s="162" t="s">
        <v>124</v>
      </c>
    </row>
    <row r="9" spans="1:31" ht="34.200000000000003">
      <c r="A9" s="77" t="s">
        <v>8</v>
      </c>
      <c r="B9" s="5" t="s">
        <v>5</v>
      </c>
      <c r="C9" s="6" t="s">
        <v>29</v>
      </c>
      <c r="D9" s="7" t="s">
        <v>30</v>
      </c>
      <c r="E9" s="8" t="s">
        <v>12</v>
      </c>
      <c r="F9" s="9">
        <f>F8</f>
        <v>12.8</v>
      </c>
      <c r="G9" s="10">
        <v>90</v>
      </c>
      <c r="H9" s="78">
        <f t="shared" si="0"/>
        <v>1152</v>
      </c>
      <c r="I9" s="162" t="s">
        <v>124</v>
      </c>
    </row>
    <row r="10" spans="1:31" s="1" customFormat="1" ht="21.6" customHeight="1">
      <c r="A10" s="77" t="s">
        <v>37</v>
      </c>
      <c r="B10" s="5" t="s">
        <v>5</v>
      </c>
      <c r="C10" s="6" t="s">
        <v>136</v>
      </c>
      <c r="D10" s="7" t="s">
        <v>137</v>
      </c>
      <c r="E10" s="8" t="s">
        <v>12</v>
      </c>
      <c r="F10" s="9">
        <f>F13</f>
        <v>14.080000000000002</v>
      </c>
      <c r="G10" s="10">
        <v>3120</v>
      </c>
      <c r="H10" s="78">
        <f>G10*F10</f>
        <v>43929.600000000006</v>
      </c>
      <c r="I10" s="162" t="s">
        <v>124</v>
      </c>
      <c r="K10" s="200"/>
    </row>
    <row r="11" spans="1:31" s="2" customFormat="1">
      <c r="A11" s="61"/>
      <c r="B11" s="23" t="s">
        <v>11</v>
      </c>
      <c r="C11" s="202" t="s">
        <v>135</v>
      </c>
      <c r="D11" s="71" t="s">
        <v>181</v>
      </c>
      <c r="E11" s="72"/>
      <c r="F11" s="73" t="s">
        <v>1</v>
      </c>
      <c r="G11" s="27"/>
      <c r="H11" s="65"/>
    </row>
    <row r="12" spans="1:31" s="3" customFormat="1">
      <c r="A12" s="66"/>
      <c r="B12" s="23" t="s">
        <v>11</v>
      </c>
      <c r="C12" s="202" t="s">
        <v>1</v>
      </c>
      <c r="D12" s="74" t="s">
        <v>191</v>
      </c>
      <c r="E12" s="75"/>
      <c r="F12" s="76">
        <f>(8*1*1*1.6)*1.1</f>
        <v>14.080000000000002</v>
      </c>
      <c r="G12" s="32"/>
      <c r="H12" s="70"/>
      <c r="J12" s="196"/>
    </row>
    <row r="13" spans="1:31">
      <c r="A13" s="66"/>
      <c r="B13" s="23"/>
      <c r="C13" s="202" t="s">
        <v>1</v>
      </c>
      <c r="D13" s="29"/>
      <c r="E13" s="30"/>
      <c r="F13" s="52">
        <f>SUM(F11:F12)</f>
        <v>14.080000000000002</v>
      </c>
      <c r="G13" s="32"/>
      <c r="H13" s="70"/>
    </row>
    <row r="14" spans="1:31" s="1" customFormat="1" ht="24.6" customHeight="1">
      <c r="A14" s="77" t="s">
        <v>158</v>
      </c>
      <c r="B14" s="5" t="s">
        <v>5</v>
      </c>
      <c r="C14" s="6"/>
      <c r="D14" s="7" t="s">
        <v>182</v>
      </c>
      <c r="E14" s="8" t="s">
        <v>59</v>
      </c>
      <c r="F14" s="9">
        <v>8</v>
      </c>
      <c r="G14" s="10">
        <v>4000</v>
      </c>
      <c r="H14" s="78">
        <f>G14*F14</f>
        <v>32000</v>
      </c>
      <c r="I14" s="162" t="s">
        <v>124</v>
      </c>
      <c r="J14" s="199"/>
    </row>
    <row r="15" spans="1:31" s="3" customFormat="1" ht="10.8" thickBot="1">
      <c r="A15" s="79"/>
      <c r="B15" s="80"/>
      <c r="C15" s="81"/>
      <c r="D15" s="82"/>
      <c r="E15" s="83"/>
      <c r="F15" s="164"/>
      <c r="G15" s="84"/>
      <c r="H15" s="85"/>
    </row>
    <row r="16" spans="1:31" ht="14.4" thickBot="1">
      <c r="H16" s="86">
        <f>SUM(H4:H15)</f>
        <v>78489.600000000006</v>
      </c>
    </row>
  </sheetData>
  <mergeCells count="8">
    <mergeCell ref="C5:C6"/>
    <mergeCell ref="C11:C13"/>
    <mergeCell ref="A1:H1"/>
    <mergeCell ref="A2:B2"/>
    <mergeCell ref="C2:H2"/>
    <mergeCell ref="A3:B3"/>
    <mergeCell ref="C3:D3"/>
    <mergeCell ref="E3:G3"/>
  </mergeCells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Osoby xmlns="95b419f4-261c-4a5d-b742-5f3743c0166a">
      <UserInfo>
        <DisplayName/>
        <AccountId xsi:nil="true"/>
        <AccountType/>
      </UserInfo>
    </Osoby>
    <TaxCatchAll xmlns="9f3ad58d-445d-40ba-9cc1-3cc97fa0dc19" xsi:nil="true"/>
    <lcf76f155ced4ddcb4097134ff3c332f xmlns="95b419f4-261c-4a5d-b742-5f3743c0166a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82659024F3442418007FBC67063E419" ma:contentTypeVersion="17" ma:contentTypeDescription="Vytvoří nový dokument" ma:contentTypeScope="" ma:versionID="29d7a2ecfba768dabc374d3a43de0be3">
  <xsd:schema xmlns:xsd="http://www.w3.org/2001/XMLSchema" xmlns:xs="http://www.w3.org/2001/XMLSchema" xmlns:p="http://schemas.microsoft.com/office/2006/metadata/properties" xmlns:ns2="95b419f4-261c-4a5d-b742-5f3743c0166a" xmlns:ns3="9f3ad58d-445d-40ba-9cc1-3cc97fa0dc19" targetNamespace="http://schemas.microsoft.com/office/2006/metadata/properties" ma:root="true" ma:fieldsID="c12ccb20ff10a2524a1d8b014e967fd5" ns2:_="" ns3:_="">
    <xsd:import namespace="95b419f4-261c-4a5d-b742-5f3743c0166a"/>
    <xsd:import namespace="9f3ad58d-445d-40ba-9cc1-3cc97fa0dc1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OCR" minOccurs="0"/>
                <xsd:element ref="ns2:MediaServiceLocation" minOccurs="0"/>
                <xsd:element ref="ns2:Osoby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b419f4-261c-4a5d-b742-5f3743c016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Osoby" ma:index="18" nillable="true" ma:displayName="Osoby" ma:list="UserInfo" ma:SharePointGroup="0" ma:internalName="Osoby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Značky obrázků" ma:readOnly="false" ma:fieldId="{5cf76f15-5ced-4ddc-b409-7134ff3c332f}" ma:taxonomyMulti="true" ma:sspId="3c39a8f0-0e74-4675-afc0-d454c6128de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3ad58d-445d-40ba-9cc1-3cc97fa0dc19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8fc8204f-c9e9-44bd-8d34-ab0ad8c9e17e}" ma:internalName="TaxCatchAll" ma:showField="CatchAllData" ma:web="9f3ad58d-445d-40ba-9cc1-3cc97fa0dc1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B5BF2B9-7389-49FA-97F2-F741206F6807}">
  <ds:schemaRefs>
    <ds:schemaRef ds:uri="http://schemas.microsoft.com/office/2006/metadata/properties"/>
    <ds:schemaRef ds:uri="http://schemas.microsoft.com/office/infopath/2007/PartnerControls"/>
    <ds:schemaRef ds:uri="95b419f4-261c-4a5d-b742-5f3743c0166a"/>
    <ds:schemaRef ds:uri="9f3ad58d-445d-40ba-9cc1-3cc97fa0dc19"/>
  </ds:schemaRefs>
</ds:datastoreItem>
</file>

<file path=customXml/itemProps2.xml><?xml version="1.0" encoding="utf-8"?>
<ds:datastoreItem xmlns:ds="http://schemas.openxmlformats.org/officeDocument/2006/customXml" ds:itemID="{75913733-EB51-4BEE-93D4-8E2D6A5DCDF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156AA69-B63A-4529-BC8B-4D09FCC392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b419f4-261c-4a5d-b742-5f3743c0166a"/>
    <ds:schemaRef ds:uri="9f3ad58d-445d-40ba-9cc1-3cc97fa0dc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8</vt:i4>
      </vt:variant>
    </vt:vector>
  </HeadingPairs>
  <TitlesOfParts>
    <vt:vector size="8" baseType="lpstr">
      <vt:lpstr>PŘEHLED</vt:lpstr>
      <vt:lpstr>1</vt:lpstr>
      <vt:lpstr>2</vt:lpstr>
      <vt:lpstr>3</vt:lpstr>
      <vt:lpstr>5</vt:lpstr>
      <vt:lpstr>6</vt:lpstr>
      <vt:lpstr>7</vt:lpstr>
      <vt:lpstr>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PALOVA-PC\Marek</dc:creator>
  <cp:lastModifiedBy>Katka Milošová</cp:lastModifiedBy>
  <cp:lastPrinted>2022-08-22T15:45:56Z</cp:lastPrinted>
  <dcterms:created xsi:type="dcterms:W3CDTF">2020-08-10T15:57:47Z</dcterms:created>
  <dcterms:modified xsi:type="dcterms:W3CDTF">2022-12-08T12:11:39Z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0x010100C82659024F3442418007FBC67063E419</vt:lpwstr>
  </property>
  <property fmtid="{D5CDD505-2E9C-101B-9397-08002B2CF9AE}" pid="3" name="MediaServiceImageTags">
    <vt:lpwstr/>
  </property>
</Properties>
</file>