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<sst xmlns="http://schemas.openxmlformats.org/spreadsheetml/2006/main" count="1181" uniqueCount="508">
  <si>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</si>
  <si>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</si>
  <si>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</si>
  <si>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</si>
  <si>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</si>
  <si>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</si>
  <si>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</si>
  <si>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</si>
  <si>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</si>
  <si>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</si>
  <si>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</si>
  <si>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</si>
  <si>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</si>
  <si>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</si>
  <si>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</si>
  <si>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</si>
  <si>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</si>
  <si>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</si>
  <si>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</si>
  <si>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</si>
  <si>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</si>
  <si>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</si>
  <si>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</si>
  <si>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</si>
  <si>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</si>
  <si>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</si>
  <si>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</si>
  <si>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</si>
  <si>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</si>
  <si>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</si>
  <si>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</si>
  <si>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</si>
  <si>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</si>
  <si>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</si>
  <si>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</si>
  <si>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</si>
  <si>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</si>
  <si>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</si>
  <si>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</si>
  <si>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</si>
  <si>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</si>
  <si>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</si>
  <si>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</si>
  <si>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</si>
  <si>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</si>
  <si>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</si>
  <si>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</si>
  <si>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</si>
  <si>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</si>
  <si>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</si>
  <si>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</si>
  <si>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</si>
  <si>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</si>
  <si>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</si>
  <si>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</si>
  <si>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</si>
  <si>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</si>
  <si>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</si>
  <si>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</si>
  <si>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</si>
  <si>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</si>
  <si>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</si>
  <si>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</si>
  <si>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</si>
  <si>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</si>
  <si>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</si>
  <si>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</si>
  <si>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</si>
  <si>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</si>
  <si>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</si>
  <si>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</si>
  <si>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</si>
  <si>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</si>
  <si>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</si>
  <si>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</si>
  <si>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</si>
  <si>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</si>
  <si>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</si>
  <si>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</si>
  <si>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</si>
  <si>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</si>
  <si>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</si>
  <si>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</si>
  <si>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</si>
  <si>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</si>
  <si>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</si>
  <si>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</si>
  <si>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</si>
  <si>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</si>
  <si>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</si>
  <si>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Poznámka:</t>
  </si>
  <si>
    <t>Kód</t>
  </si>
  <si>
    <t>602016195R00</t>
  </si>
  <si>
    <t>602011184RT1</t>
  </si>
  <si>
    <t>Varianta:</t>
  </si>
  <si>
    <t>602011189R00</t>
  </si>
  <si>
    <t>602011191R00</t>
  </si>
  <si>
    <t>612471411R00</t>
  </si>
  <si>
    <t>612425931R00</t>
  </si>
  <si>
    <t>55392750.A</t>
  </si>
  <si>
    <t>620991121R00</t>
  </si>
  <si>
    <t>622311833RV1</t>
  </si>
  <si>
    <t>622311832RV1</t>
  </si>
  <si>
    <t>622311353RT7</t>
  </si>
  <si>
    <t>622311013R00</t>
  </si>
  <si>
    <t>622311563R00</t>
  </si>
  <si>
    <t>622311113R00</t>
  </si>
  <si>
    <t>622421491R00</t>
  </si>
  <si>
    <t>622421492R00</t>
  </si>
  <si>
    <t>622421493R00</t>
  </si>
  <si>
    <t>622421494R00</t>
  </si>
  <si>
    <t>622904112R00</t>
  </si>
  <si>
    <t>622</t>
  </si>
  <si>
    <t>622-001VD</t>
  </si>
  <si>
    <t>631571005R00</t>
  </si>
  <si>
    <t>648991111RT4</t>
  </si>
  <si>
    <t>712</t>
  </si>
  <si>
    <t>712331101R00</t>
  </si>
  <si>
    <t>28322137</t>
  </si>
  <si>
    <t>998712103R00</t>
  </si>
  <si>
    <t>713</t>
  </si>
  <si>
    <t>713141111R00</t>
  </si>
  <si>
    <t>28375766.A</t>
  </si>
  <si>
    <t>998713103R00</t>
  </si>
  <si>
    <t>733</t>
  </si>
  <si>
    <t>733110806R00</t>
  </si>
  <si>
    <t>735</t>
  </si>
  <si>
    <t>735121810R00</t>
  </si>
  <si>
    <t>764</t>
  </si>
  <si>
    <t>764410850R00</t>
  </si>
  <si>
    <t>764410880R00</t>
  </si>
  <si>
    <t>764-003VD</t>
  </si>
  <si>
    <t>764-004VD</t>
  </si>
  <si>
    <t>764-009VD</t>
  </si>
  <si>
    <t>764-013VD</t>
  </si>
  <si>
    <t>764-019VD</t>
  </si>
  <si>
    <t>998764103R00</t>
  </si>
  <si>
    <t>766</t>
  </si>
  <si>
    <t>766-001VD</t>
  </si>
  <si>
    <t>766-002VD</t>
  </si>
  <si>
    <t>766-003VD</t>
  </si>
  <si>
    <t>766-004VD</t>
  </si>
  <si>
    <t>766-005VD</t>
  </si>
  <si>
    <t>766-006VD</t>
  </si>
  <si>
    <t>766-007VD</t>
  </si>
  <si>
    <t>766-008VD</t>
  </si>
  <si>
    <t>766-009VD</t>
  </si>
  <si>
    <t>766-010VD</t>
  </si>
  <si>
    <t>766-011VD</t>
  </si>
  <si>
    <t>766-012VD</t>
  </si>
  <si>
    <t>766-013VD</t>
  </si>
  <si>
    <t>766-014VD</t>
  </si>
  <si>
    <t>766-015VD</t>
  </si>
  <si>
    <t>766-016VD</t>
  </si>
  <si>
    <t>766-018VD</t>
  </si>
  <si>
    <t>766-019VD</t>
  </si>
  <si>
    <t>766-020VD</t>
  </si>
  <si>
    <t>766-021VD</t>
  </si>
  <si>
    <t>766-022VD</t>
  </si>
  <si>
    <t>766-023VD</t>
  </si>
  <si>
    <t>766-024VD</t>
  </si>
  <si>
    <t>766-025VD</t>
  </si>
  <si>
    <t>767</t>
  </si>
  <si>
    <t>767-001VD</t>
  </si>
  <si>
    <t>784</t>
  </si>
  <si>
    <t>784191101R00</t>
  </si>
  <si>
    <t>784195212R00</t>
  </si>
  <si>
    <t>94</t>
  </si>
  <si>
    <t>941941052R00</t>
  </si>
  <si>
    <t>941941392R00</t>
  </si>
  <si>
    <t>941941852R00</t>
  </si>
  <si>
    <t>941955001R00</t>
  </si>
  <si>
    <t>966</t>
  </si>
  <si>
    <t>966-01VD</t>
  </si>
  <si>
    <t>97</t>
  </si>
  <si>
    <t>973031324R00</t>
  </si>
  <si>
    <t>H01</t>
  </si>
  <si>
    <t>998011003R00</t>
  </si>
  <si>
    <t>S</t>
  </si>
  <si>
    <t>979081111R00</t>
  </si>
  <si>
    <t>979081121R00</t>
  </si>
  <si>
    <t>979011211R00</t>
  </si>
  <si>
    <t>979011219R00</t>
  </si>
  <si>
    <t>979082111R00</t>
  </si>
  <si>
    <t>979951111R00</t>
  </si>
  <si>
    <t>RED POINT</t>
  </si>
  <si>
    <t>zateplení objekktu</t>
  </si>
  <si>
    <t>k.ú. Chrudim, parc.č. 288/1</t>
  </si>
  <si>
    <t>Zkrácený popis / Varianta</t>
  </si>
  <si>
    <t>Rozměry</t>
  </si>
  <si>
    <t>Omítky ze suchých směsí</t>
  </si>
  <si>
    <t>891,3526+185,3605+647,92825-88,114   -odpočet plochy penetrace kabřince</t>
  </si>
  <si>
    <t>penetrace v int. a ext.</t>
  </si>
  <si>
    <t>TRC, rýhovaná, zrnitost 1,5 mm</t>
  </si>
  <si>
    <t>16,63*2,78-2,4*1,1*3+0,35*21,3+0,35*21,3+3,29*3,3+0,4*2,7*7   poh. východní</t>
  </si>
  <si>
    <t>(0,86+0,65+9,97)*2,58-1,2*1,5*3+6,01*4,55-0,6*0,9*2-1,05*2,05-1,2*1,5+0,35*17,24+0,35*21,3   poh. západní</t>
  </si>
  <si>
    <t>21,73*2,78-1,2*1,5*6-1,2*0,6*4+21,25*4,55-2,4*1,55*4-1,5*1,55*2-1,5*2,65+14,64*19,36-1,08*2,075*6   poh.jižní</t>
  </si>
  <si>
    <t>+6,38*2,78   poh. jižní</t>
  </si>
  <si>
    <t>4,815*2,78-1,8*1,8-1,5*1,2+14,64*21,34-1,58*17,19-6,475*3,0-5,725*3,0+25,46*3,5-4,8*2,75*3+6,27*0,6   poh. severní</t>
  </si>
  <si>
    <t>41,786   ostění</t>
  </si>
  <si>
    <t>16,63*1,0-2,4*1,0*3+13,8*2,0+14,27*2,0-2,4*1,5*8   poh. východní</t>
  </si>
  <si>
    <t>(0,86+0,65+9,97)*1,0+6,01*1,0+24,0*1,45-2,4*0,9*4-1,2*0,9*5   poh. západní</t>
  </si>
  <si>
    <t>21,73*1,0+11,65*1,0+9,6*2,98-2,4*2,1*3   poh. jižní</t>
  </si>
  <si>
    <t>4,815*1,0-1,8*1,0+5,97*1,45+17,91*1,45-1,5*0,9*6+6,27*1,45   poh. severní</t>
  </si>
  <si>
    <t>24,84   ostění</t>
  </si>
  <si>
    <t>891,3526+185,3605   </t>
  </si>
  <si>
    <t>Úprava povrchů vnitřní</t>
  </si>
  <si>
    <t>Úprava vnitřních stěn aktivovaným štukem</t>
  </si>
  <si>
    <t>(6,925+3,25+3,5+3,5+3,3+3,5+3,075)*3,0-3,0*1,8*6-2,825*1,8*2   strana východní 1n.p.</t>
  </si>
  <si>
    <t>(3,325+3,5+3,25+3,5+3,5+3,5+3,5+3,075)*3,0*5-3,0*1,8*6*5-2,825*1,8*2*5   strana východní 2 - 6n.p.</t>
  </si>
  <si>
    <t>(3,325+3,25+3,5+3,5+1,7+1,95+1,5+1,9+3,25)*3,0-3,0*1,8*3-2,825*1,8-1,2*1,2*4-1,5*1,8   strana západní 1n.p.</t>
  </si>
  <si>
    <t>(3,325+3,25+3,5+3,5+1,7+1,95+1,5+1,9+3,5+6,675)*3,0*5-3,0*1,8*5*5-2,825*1,8*2*5-1,2*1,2*4*5   strana východní 2 - 6n.p.</t>
  </si>
  <si>
    <t>Omítka vápenná vnitřního ostění - štuková</t>
  </si>
  <si>
    <t>(3,0*64+1,8*128+2,825*23+1,8*46+1,2*24+1,2*48+1,5+1,8*2)*0,19   </t>
  </si>
  <si>
    <t>Lišta rohová AL s tkaninou 10/10 /2,5 m</t>
  </si>
  <si>
    <t>Úprava povrchů vnější</t>
  </si>
  <si>
    <t>Zakrývání výplní vnějších otvorů z lešení</t>
  </si>
  <si>
    <t>zakončený stěrkou s výztužnou tkaninou</t>
  </si>
  <si>
    <t>185,3605   výpočet stěrka mozaiková</t>
  </si>
  <si>
    <t>-24,84   ostění</t>
  </si>
  <si>
    <t>Součinitel tepelné vodivosti izolantu 0,037 W/mK.</t>
  </si>
  <si>
    <t>(1,5+0,325)*3,0*6-1,2*1,2*6   </t>
  </si>
  <si>
    <t>zateplení stěn v interiéru (wc)
Součinitel tepelné vodivost izolantu 0,022 W/mK</t>
  </si>
  <si>
    <t>(6,925+3,25+3,5+3,5+3,3+3,5+3,075)*3,0-3,0*1,8*6-2,825*1,8*2   int. strana východní 1n.p.</t>
  </si>
  <si>
    <t>(3,325+3,5+3,25+3,5+3,5+3,5+3,5+3,075)*3,0*5-3,0*1,8*6*5-2,825*1,8*2*5   int. strana východní 2 - 6n.p.</t>
  </si>
  <si>
    <t>(3,325+3,25+3,5+3,5+1,7+1,95+1,5+1,9+3,25)*3,0-3,0*1,8*3-2,825*1,8-1,2*1,2*4-1,5*1,8   int. strana západní 1n.p.</t>
  </si>
  <si>
    <t>(3,325+3,25+3,5+3,5+1,7+1,95+1,5+1,9+3,5+6,675)*3,0*5-3,0*1,8*5*5-2,825*1,8*2*5-1,2*1,2*4*5   int. strana východní 2 - 6n.p.</t>
  </si>
  <si>
    <t>-24,21   zateplení minerál. desky tl. 50</t>
  </si>
  <si>
    <t>Součinitel tepelné vodivost izolantu 0,036 W/mK</t>
  </si>
  <si>
    <t>6,48*19,36-1,08*2,075*6   ext. pohled jižní požár. pás</t>
  </si>
  <si>
    <t>6,575*0,9*12+1,65*1,5   ext. pohled severní požár. pás</t>
  </si>
  <si>
    <t>0,4*2,7*7   </t>
  </si>
  <si>
    <t>zateplení mezi okny na schodišti (před podestami)</t>
  </si>
  <si>
    <t>883,7926   výpočet stěrka silikátová</t>
  </si>
  <si>
    <t>-41,786   ostění</t>
  </si>
  <si>
    <t>-185,4918   ex. vata požár. pás</t>
  </si>
  <si>
    <t>-10,857   izolace tl. 140mm</t>
  </si>
  <si>
    <t>3,29*3,3   </t>
  </si>
  <si>
    <t>(2,4*3+1,1*6+1,2*10+1,5*20+1,2*4+0,6*8+0,6*2+0,9*4+1,05+2,05*2+2,4*4+1,55*8+1,5*2+1,55*4)*0,2   </t>
  </si>
  <si>
    <t>(1,5+2,65*2+6,475+3,0*2+5,725+3,0*2+4,8*3+2,75*6+1,5+1,1*2+1,8+1,8*2+1,08*6+2,075*12)*0,2   </t>
  </si>
  <si>
    <t>(1,0*6+2,4*8+1,5*16+2,4*4+0,9*8+1,2*5+0,9*10+2,4*3+2,1*6+1,8*2+1,5*6+0,9*12)*0,2   ostění z XPS</t>
  </si>
  <si>
    <t>(2,4*22+1,2*19+0,6*2+1,5*9+4,8*3+1,8+1,08*6)*0,2   </t>
  </si>
  <si>
    <t>Doplňky zatepl. systémů, rohová lišta s okapničkou</t>
  </si>
  <si>
    <t>Doplňky zatepl. systémů, okenní lišta s tkaninou</t>
  </si>
  <si>
    <t>Doplňky zatepl. systémů, dilatační lišta s tkan.</t>
  </si>
  <si>
    <t>Doplňky zatepl. systémů, podparapetní lišta s tkan</t>
  </si>
  <si>
    <t>Očištění fasád tlakovou vodou složitost 1 - 2</t>
  </si>
  <si>
    <t>stěn</t>
  </si>
  <si>
    <t>Adhezní můstek - bezrozpouštědlový adhézní nátěr</t>
  </si>
  <si>
    <t>13,8*2,0+14,27*2,0-2,4*1,5*8+24,0*1,45-2,4*0,9*4-1,2*0,9*5+9,6*2,98-2,4*2,1*3   </t>
  </si>
  <si>
    <t>5,97*1,45+17,91*1,45-1,5*0,9*6   </t>
  </si>
  <si>
    <t>penetrace kabřince</t>
  </si>
  <si>
    <t>Podlahy a podlahové konstrukce</t>
  </si>
  <si>
    <t>Násyp z kameniva těž. praného fr. 22-32 (kačírku)</t>
  </si>
  <si>
    <t>859,62*0,05   </t>
  </si>
  <si>
    <t>Výplně otvorů</t>
  </si>
  <si>
    <t>Osazení parapet.desek plast. a lamin. š. do 20cm</t>
  </si>
  <si>
    <t>včetně dodávky plastové parapetní desky š. 200 mm</t>
  </si>
  <si>
    <t>Izolace střech (živičné krytiny)</t>
  </si>
  <si>
    <t>Povlaková krytina střech do 10°, pásy na sucho</t>
  </si>
  <si>
    <t>859,62   </t>
  </si>
  <si>
    <t>;ztratné 15%; 128,943   </t>
  </si>
  <si>
    <t>Přesun hmot pro povlakové krytiny, výšky do 24 m</t>
  </si>
  <si>
    <t>Izolace tepelné</t>
  </si>
  <si>
    <t>Izolace tepelná střech plně lep.asfaltem, 1vrstvá</t>
  </si>
  <si>
    <t>Deska izolační polystyrén samozhášivý EPS 100</t>
  </si>
  <si>
    <t>Přesun hmot pro izolace tepelné, výšky do 24 m</t>
  </si>
  <si>
    <t>Rozvod potrubí</t>
  </si>
  <si>
    <t>Demontáž potrubí ocelového závitového do DN 15-32</t>
  </si>
  <si>
    <t>Otopná tělesa</t>
  </si>
  <si>
    <t>Demontáž otopných těles ocelových článkových</t>
  </si>
  <si>
    <t>Konstrukce klempířské</t>
  </si>
  <si>
    <t>Demontáž oplechování parapetů,rš od 100 do 330 mm</t>
  </si>
  <si>
    <t>Demontáž oplechování parapetů,rš od 400 do 600 mm</t>
  </si>
  <si>
    <t>Oplechování hliník. plech přírodní, rš 105 mm</t>
  </si>
  <si>
    <t>Oplechování hliník. plech přírodní, rš 116 mm</t>
  </si>
  <si>
    <t>Oplechování hliník. plech přírodní, rš 231 mm</t>
  </si>
  <si>
    <t>Oplechování hliník. plech přírodní,, rš 300 mm</t>
  </si>
  <si>
    <t>Oplechování hliník. plech přírodní,, rš 500 mm</t>
  </si>
  <si>
    <t>Přesun hmot pro klempířské konstr., výšky do 24 m</t>
  </si>
  <si>
    <t>Konstrukce truhlářské</t>
  </si>
  <si>
    <t>vč. žaluzie</t>
  </si>
  <si>
    <t>vč. žaluzie, aerocontrol pro otevíravě-sklopná okna 4-pólová se sabotáž. linkou</t>
  </si>
  <si>
    <t>vč. kování, vložky, aerocontrol pro vchodové dveře 4-pólový se sabotážní linkou</t>
  </si>
  <si>
    <t>vč. kování, vložky a samozavíračů</t>
  </si>
  <si>
    <t>vč. kování, vložky a samozavírače</t>
  </si>
  <si>
    <t>Montáž samozavírače</t>
  </si>
  <si>
    <t>Montáž plastových oken, dveří</t>
  </si>
  <si>
    <t>Doprava plastových oken, dveří včetně nakládkky</t>
  </si>
  <si>
    <t>Pomocný materiál</t>
  </si>
  <si>
    <t>Komprimační páska do 15 mm</t>
  </si>
  <si>
    <t>Příplatek za nadrozměrná skla</t>
  </si>
  <si>
    <t>D+M krycí meziokenní PVC lišta š. 150mm, v. 1800mm</t>
  </si>
  <si>
    <t>Konstrukce doplňkové stavební (zámečnické)</t>
  </si>
  <si>
    <t>D+M ocel. profil pro osazení oken na schodišti</t>
  </si>
  <si>
    <t>jekl 80/100 a jekl 80/40</t>
  </si>
  <si>
    <t>Malby</t>
  </si>
  <si>
    <t>Lešení a stavební výtahy</t>
  </si>
  <si>
    <t>Montáž lešení leh.řad.s podlahami,š.1,5 m, H 24 m</t>
  </si>
  <si>
    <t>Příplatek za každý měsíc použití lešení k pol.1052</t>
  </si>
  <si>
    <t>Demontáž lešení leh.řad.s podlahami,š.1,5 m,H 24 m</t>
  </si>
  <si>
    <t>Lešení lehké pomocné, výška podlahy do 1,2 m</t>
  </si>
  <si>
    <t>ostatních stavebních konstrukcí</t>
  </si>
  <si>
    <t>Demontáž a likvidace  stávajících oken a dveří, vč. odvozu a likvidace</t>
  </si>
  <si>
    <t>Prorážení otvorů a ostatní bourací práce</t>
  </si>
  <si>
    <t>Vysekání kapes zeď cihel. MVC, pl. 0,1m2, hl. 15cm</t>
  </si>
  <si>
    <t>Budovy občanské výstavby</t>
  </si>
  <si>
    <t>Přesun hmot pro budovy zděné výšky do 24 m</t>
  </si>
  <si>
    <t>Přesuny sutí</t>
  </si>
  <si>
    <t>Odvoz suti a vybour. hmot na skládku do 1 km</t>
  </si>
  <si>
    <t>Příplatek k odvozu za každý další 1 km</t>
  </si>
  <si>
    <t>Svislá doprava suti a vybour. hmot za 2.NP nošením</t>
  </si>
  <si>
    <t>Přípl.k svislé dopr.suti za každé další NP nošením</t>
  </si>
  <si>
    <t>Vnitrostaveništní doprava suti do 10 m</t>
  </si>
  <si>
    <t>Výkup kovů - železný šrot tl. do 4 mm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</si>
  <si>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</si>
  <si>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</si>
  <si>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</si>
  <si>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</si>
  <si>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</si>
  <si>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</si>
  <si>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</si>
  <si>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m3</t>
  </si>
  <si>
    <t>t</t>
  </si>
  <si>
    <t>kus</t>
  </si>
  <si>
    <t>km</t>
  </si>
  <si>
    <t>ks</t>
  </si>
  <si>
    <t>kg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</si>
  <si>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</si>
  <si>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</si>
  <si>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</si>
  <si>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</si>
  <si>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</si>
  <si>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</si>
  <si>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</si>
  <si>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</si>
  <si>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</si>
  <si>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</si>
  <si>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</si>
  <si>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</si>
  <si>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</si>
  <si>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</si>
  <si>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</si>
  <si>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2019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</si>
  <si>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</si>
  <si>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</si>
  <si>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</si>
  <si>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</si>
  <si>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</si>
  <si>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</si>
  <si>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</si>
  <si>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</si>
  <si>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</si>
  <si>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</si>
  <si>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60_</t>
  </si>
  <si>
    <t>61_</t>
  </si>
  <si>
    <t>62_</t>
  </si>
  <si>
    <t>622_</t>
  </si>
  <si>
    <t>63_</t>
  </si>
  <si>
    <t>64_</t>
  </si>
  <si>
    <t>712_</t>
  </si>
  <si>
    <t>713_</t>
  </si>
  <si>
    <t>733_</t>
  </si>
  <si>
    <t>735_</t>
  </si>
  <si>
    <t>764_</t>
  </si>
  <si>
    <t>766_</t>
  </si>
  <si>
    <t>767_</t>
  </si>
  <si>
    <t>784_</t>
  </si>
  <si>
    <t>94_</t>
  </si>
  <si>
    <t>966_</t>
  </si>
  <si>
    <t>97_</t>
  </si>
  <si>
    <t>H01_</t>
  </si>
  <si>
    <t>S_</t>
  </si>
  <si>
    <t>6_</t>
  </si>
  <si>
    <t>71_</t>
  </si>
  <si>
    <t>73_</t>
  </si>
  <si>
    <t>76_</t>
  </si>
  <si>
    <t>78_</t>
  </si>
  <si>
    <t>9_</t>
  </si>
  <si>
    <t>_</t>
  </si>
  <si>
    <t>MAT</t>
  </si>
  <si>
    <t>WORK</t>
  </si>
  <si>
    <t>CELK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</si>
  <si>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</si>
  <si>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</si>
  <si>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</si>
  <si>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</si>
  <si>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</si>
  <si>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</si>
  <si>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</si>
  <si>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</si>
  <si>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</si>
  <si>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</si>
  <si>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</si>
  <si>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</si>
  <si>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</si>
  <si>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</si>
  <si>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</si>
  <si>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</si>
  <si>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</si>
  <si>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</si>
  <si>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</si>
  <si>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</si>
  <si>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</si>
  <si>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</si>
  <si>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</si>
  <si>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</si>
  <si>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</si>
  <si>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</si>
  <si>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</si>
  <si>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</si>
  <si>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</si>
  <si>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</si>
  <si>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</si>
  <si>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</si>
  <si>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</si>
  <si>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</si>
  <si>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</si>
  <si>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</si>
  <si>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</si>
  <si>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</si>
  <si>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</si>
  <si>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</si>
  <si>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</si>
  <si>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</si>
  <si>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</si>
  <si>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</si>
  <si>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</si>
  <si>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</si>
  <si>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</si>
  <si>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</si>
  <si>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</si>
  <si>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</si>
  <si>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</si>
  <si>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</si>
  <si>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</si>
  <si>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</si>
  <si>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</si>
  <si>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</si>
  <si>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</si>
  <si>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</si>
  <si>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</si>
  <si>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</si>
  <si>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</si>
  <si>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</si>
  <si>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622311523-VD</t>
  </si>
  <si>
    <t>622311830-VD</t>
  </si>
  <si>
    <t>622311833-VD</t>
  </si>
  <si>
    <t>622311333-VD</t>
  </si>
  <si>
    <t>622311334-VD</t>
  </si>
  <si>
    <t>E</t>
  </si>
  <si>
    <t>Elektroinstalace</t>
  </si>
  <si>
    <t>1-01</t>
  </si>
  <si>
    <t>V 1  -   spínač jednopólový vestavný 250V,10A,50Hz,  bílá</t>
  </si>
  <si>
    <t>1-02</t>
  </si>
  <si>
    <t>V 2  -   spínač sériový vestavný 250V,10A, 50Hz, bílá</t>
  </si>
  <si>
    <t>4-01</t>
  </si>
  <si>
    <t>4-02</t>
  </si>
  <si>
    <t>4-03</t>
  </si>
  <si>
    <t>Montáž svítidel přisazených</t>
  </si>
  <si>
    <t>Penetrace hloubková stěn</t>
  </si>
  <si>
    <t>Stěrka na stěnách silikátová barevná</t>
  </si>
  <si>
    <t xml:space="preserve">Stěrka na stěnách mozaiková </t>
  </si>
  <si>
    <t>Zateplovací systém, sokl, XPS tl. 120 mm</t>
  </si>
  <si>
    <t>Zatepl.syst., fasáda, miner.desky PV 50 mm</t>
  </si>
  <si>
    <t>Zatepl.syst., fasáda, miner.desky PV 120 mm</t>
  </si>
  <si>
    <t>Zatepl.syst., fasáda, miner.desky PV 100 mm</t>
  </si>
  <si>
    <t>Zatepl.systém, fasáda, EPS F plus tl.120 mm</t>
  </si>
  <si>
    <t>Zatepl.systém, fasáda, EPS F plus tl.140 mm</t>
  </si>
  <si>
    <t>Zatepl.systém, ostění, EPS F plus tl. 30 mm</t>
  </si>
  <si>
    <t>Soklová lišta hliník KZS tl. 120 mm</t>
  </si>
  <si>
    <t>Zateplovací systém, parapet, XPS tl. 30 mm</t>
  </si>
  <si>
    <t>Dilatační profil KZS rohový V</t>
  </si>
  <si>
    <t>Fólie hydroizolační střešní PVC 1,5</t>
  </si>
  <si>
    <t>Okno plastové 1370x1800 mm Uw=0,85, otevíravé, sklopné, levé s 3-sklem, barva šedá</t>
  </si>
  <si>
    <t>Okno plastové 1370x1800 mm Uw=0,85, otevíravé, sklopné, pravé s 3-sklem, barva šedá</t>
  </si>
  <si>
    <t>Okno plastové 1100x1250 mm Uw=0,85, otevíravé, sklopné, pravé s 3-sklem, barva šedá</t>
  </si>
  <si>
    <t>Dveře plastové 1080x2050 mm Uw=0,9, barva šedá</t>
  </si>
  <si>
    <t>Okno plastové 2400x1480 mm Uw=0,85, otevíravé, sklopné, pravé/levé s 3-sklem, barva šedá</t>
  </si>
  <si>
    <t>Okno plastové 1200x900 mm Uw=0,85, otevíravé, sklopné, levé s 3-sklem, barva šedá</t>
  </si>
  <si>
    <t>Okno plastové 2400x900 mm Uw=0,85, otevíravé, sklopné, pravé/levé s 3-sklem, barva šedá</t>
  </si>
  <si>
    <t>Okno plastové 1200x1500 mm Uw=0,85, otevíravé, sklopné, pravé s 3-sklem, barva šedá</t>
  </si>
  <si>
    <t>Okno plastové 1200x600 mm Uw=0,85, sklopné s 3-sklem, barva šedá</t>
  </si>
  <si>
    <t>Dveře plastové 4700x3000 mm Uw=0,85, barva šedá</t>
  </si>
  <si>
    <t>Dveře plastové 3250x3000 mm Uw=0,85, barva šedá</t>
  </si>
  <si>
    <t>Okno plastové 2700x3000 mm Uw=0,85, sklopné s 3-sklem, barva šedá</t>
  </si>
  <si>
    <t>Okno plastové 2700x2690 mm Uw=0,85, sklopné s 3-sklem, barva šedá</t>
  </si>
  <si>
    <t>Okno plastové 2700x1870 mm Uw=0,85 s 3-sklem, barva šedá</t>
  </si>
  <si>
    <t>Penetrace podkladu univerzální 1x</t>
  </si>
  <si>
    <t>Malba, bílá, bez penetrace, 2 x</t>
  </si>
  <si>
    <t>LED svítidla 1x806lm, 9W</t>
  </si>
  <si>
    <t>LED svítidla 1x806lm, 9W, nouzové</t>
  </si>
  <si>
    <t>Demont. svítidel a spínačů, ekologická likvidace</t>
  </si>
  <si>
    <t>K2 invest s.r.o.</t>
  </si>
  <si>
    <t>Svítidlo LED panel 60x60 45W</t>
  </si>
  <si>
    <t>Svítidlo prachotěs. LED 120cm 40W průmyslové IP65 40W</t>
  </si>
  <si>
    <t>84</t>
  </si>
  <si>
    <t>85</t>
  </si>
  <si>
    <t>86</t>
  </si>
  <si>
    <t>87</t>
  </si>
  <si>
    <t>88</t>
  </si>
  <si>
    <t>89</t>
  </si>
  <si>
    <t>90</t>
  </si>
  <si>
    <t>91</t>
  </si>
  <si>
    <t>4-04</t>
  </si>
  <si>
    <t>4-05</t>
  </si>
  <si>
    <t>9-01</t>
  </si>
  <si>
    <t>Podklad.nátěr stěn pod tenkovr.omítky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</si>
</sst>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i/>
      <sz val="10"/>
      <color indexed="58"/>
      <name val="Arial"/>
      <family val="0"/>
    </font>
    <font>
      <i/>
      <sz val="10"/>
      <color indexed="63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14" fillId="34" borderId="28" xfId="0" applyNumberFormat="1" applyFont="1" applyFill="1" applyBorder="1" applyAlignment="1" applyProtection="1">
      <alignment horizontal="center" vertical="center"/>
      <protection/>
    </xf>
    <xf numFmtId="49" fontId="15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6" fillId="0" borderId="28" xfId="0" applyNumberFormat="1" applyFont="1" applyFill="1" applyBorder="1" applyAlignment="1" applyProtection="1">
      <alignment horizontal="right" vertical="center"/>
      <protection/>
    </xf>
    <xf numFmtId="49" fontId="16" fillId="0" borderId="28" xfId="0" applyNumberFormat="1" applyFont="1" applyFill="1" applyBorder="1" applyAlignment="1" applyProtection="1">
      <alignment horizontal="right" vertical="center"/>
      <protection/>
    </xf>
    <xf numFmtId="4" fontId="16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5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40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NumberFormat="1" applyFont="1" applyFill="1" applyBorder="1" applyAlignment="1" applyProtection="1">
      <alignment horizontal="left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NumberFormat="1" applyFont="1" applyFill="1" applyBorder="1" applyAlignment="1" applyProtection="1">
      <alignment horizontal="left" vertical="center"/>
      <protection locked="0"/>
    </xf>
    <xf numFmtId="0" fontId="1" fillId="0" borderId="46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16" fillId="0" borderId="24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0" xfId="0" applyNumberFormat="1" applyFont="1" applyFill="1" applyBorder="1" applyAlignment="1" applyProtection="1">
      <alignment horizontal="left" vertical="center"/>
      <protection/>
    </xf>
    <xf numFmtId="49" fontId="16" fillId="0" borderId="51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0" fontId="16" fillId="0" borderId="52" xfId="0" applyNumberFormat="1" applyFont="1" applyFill="1" applyBorder="1" applyAlignment="1" applyProtection="1">
      <alignment horizontal="left" vertical="center"/>
      <protection/>
    </xf>
    <xf numFmtId="49" fontId="15" fillId="34" borderId="53" xfId="0" applyNumberFormat="1" applyFont="1" applyFill="1" applyBorder="1" applyAlignment="1" applyProtection="1">
      <alignment horizontal="left" vertical="center"/>
      <protection/>
    </xf>
    <xf numFmtId="0" fontId="15" fillId="34" borderId="54" xfId="0" applyNumberFormat="1" applyFont="1" applyFill="1" applyBorder="1" applyAlignment="1" applyProtection="1">
      <alignment horizontal="left" vertical="center"/>
      <protection/>
    </xf>
    <xf numFmtId="49" fontId="16" fillId="0" borderId="55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center"/>
      <protection/>
    </xf>
    <xf numFmtId="49" fontId="15" fillId="0" borderId="53" xfId="0" applyNumberFormat="1" applyFont="1" applyFill="1" applyBorder="1" applyAlignment="1" applyProtection="1">
      <alignment horizontal="left" vertical="center"/>
      <protection/>
    </xf>
    <xf numFmtId="0" fontId="15" fillId="0" borderId="36" xfId="0" applyNumberFormat="1" applyFont="1" applyFill="1" applyBorder="1" applyAlignment="1" applyProtection="1">
      <alignment horizontal="left" vertical="center"/>
      <protection/>
    </xf>
    <xf numFmtId="49" fontId="16" fillId="0" borderId="53" xfId="0" applyNumberFormat="1" applyFont="1" applyFill="1" applyBorder="1" applyAlignment="1" applyProtection="1">
      <alignment horizontal="left" vertical="center"/>
      <protection/>
    </xf>
    <xf numFmtId="0" fontId="16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54" xfId="0" applyNumberFormat="1" applyFont="1" applyFill="1" applyBorder="1" applyAlignment="1" applyProtection="1">
      <alignment horizontal="center" vertical="center"/>
      <protection/>
    </xf>
    <xf numFmtId="0" fontId="13" fillId="0" borderId="54" xfId="0" applyNumberFormat="1" applyFont="1" applyFill="1" applyBorder="1" applyAlignment="1" applyProtection="1">
      <alignment horizontal="center" vertical="center"/>
      <protection/>
    </xf>
    <xf numFmtId="49" fontId="17" fillId="0" borderId="53" xfId="0" applyNumberFormat="1" applyFont="1" applyFill="1" applyBorder="1" applyAlignment="1" applyProtection="1">
      <alignment horizontal="left" vertical="center"/>
      <protection/>
    </xf>
    <xf numFmtId="0" fontId="17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58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5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49" fontId="15" fillId="0" borderId="60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61" xfId="0" applyNumberFormat="1" applyFont="1" applyFill="1" applyBorder="1" applyAlignment="1" applyProtection="1">
      <alignment horizontal="left" vertical="center"/>
      <protection/>
    </xf>
    <xf numFmtId="4" fontId="15" fillId="0" borderId="60" xfId="0" applyNumberFormat="1" applyFont="1" applyFill="1" applyBorder="1" applyAlignment="1" applyProtection="1">
      <alignment horizontal="right" vertical="center"/>
      <protection/>
    </xf>
    <xf numFmtId="0" fontId="15" fillId="0" borderId="37" xfId="0" applyNumberFormat="1" applyFont="1" applyFill="1" applyBorder="1" applyAlignment="1" applyProtection="1">
      <alignment horizontal="right" vertical="center"/>
      <protection/>
    </xf>
    <xf numFmtId="0" fontId="15" fillId="0" borderId="61" xfId="0" applyNumberFormat="1" applyFont="1" applyFill="1" applyBorder="1" applyAlignment="1" applyProtection="1">
      <alignment horizontal="right" vertical="center"/>
      <protection/>
    </xf>
    <xf numFmtId="49" fontId="15" fillId="0" borderId="38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8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0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19" sqref="C19:E1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7.28125" style="0" customWidth="1"/>
    <col min="4" max="5" width="11.574218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hidden="1" customWidth="1"/>
    <col min="13" max="24" width="11.57421875" style="0" customWidth="1"/>
    <col min="25" max="62" width="12.140625" style="0" hidden="1" customWidth="1"/>
  </cols>
  <sheetData>
    <row r="1" spans="1:12" ht="72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2.75">
      <c r="A2" s="119" t="s">
        <v>1</v>
      </c>
      <c r="B2" s="120"/>
      <c r="C2" s="121" t="s">
        <v>185</v>
      </c>
      <c r="D2" s="123" t="s">
        <v>315</v>
      </c>
      <c r="E2" s="120"/>
      <c r="F2" s="123"/>
      <c r="G2" s="120"/>
      <c r="H2" s="124" t="s">
        <v>329</v>
      </c>
      <c r="I2" s="124" t="s">
        <v>493</v>
      </c>
      <c r="J2" s="120"/>
      <c r="K2" s="120"/>
      <c r="L2" s="125"/>
      <c r="M2" s="31"/>
    </row>
    <row r="3" spans="1:13" ht="12.75">
      <c r="A3" s="114"/>
      <c r="B3" s="81"/>
      <c r="C3" s="122"/>
      <c r="D3" s="81"/>
      <c r="E3" s="81"/>
      <c r="F3" s="81"/>
      <c r="G3" s="81"/>
      <c r="H3" s="81"/>
      <c r="I3" s="81"/>
      <c r="J3" s="81"/>
      <c r="K3" s="81"/>
      <c r="L3" s="113"/>
      <c r="M3" s="31"/>
    </row>
    <row r="4" spans="1:13" ht="12.75">
      <c r="A4" s="106" t="s">
        <v>2</v>
      </c>
      <c r="B4" s="81"/>
      <c r="C4" s="80" t="s">
        <v>186</v>
      </c>
      <c r="D4" s="109" t="s">
        <v>316</v>
      </c>
      <c r="E4" s="81"/>
      <c r="F4" s="109"/>
      <c r="G4" s="81"/>
      <c r="H4" s="80" t="s">
        <v>330</v>
      </c>
      <c r="I4" s="109"/>
      <c r="J4" s="81"/>
      <c r="K4" s="81"/>
      <c r="L4" s="113"/>
      <c r="M4" s="31"/>
    </row>
    <row r="5" spans="1:13" ht="12.75">
      <c r="A5" s="114"/>
      <c r="B5" s="81"/>
      <c r="C5" s="81"/>
      <c r="D5" s="81"/>
      <c r="E5" s="81"/>
      <c r="F5" s="81"/>
      <c r="G5" s="81"/>
      <c r="H5" s="81"/>
      <c r="I5" s="81"/>
      <c r="J5" s="81"/>
      <c r="K5" s="81"/>
      <c r="L5" s="113"/>
      <c r="M5" s="31"/>
    </row>
    <row r="6" spans="1:13" ht="12.75">
      <c r="A6" s="106" t="s">
        <v>3</v>
      </c>
      <c r="B6" s="81"/>
      <c r="C6" s="80" t="s">
        <v>187</v>
      </c>
      <c r="D6" s="109" t="s">
        <v>317</v>
      </c>
      <c r="E6" s="81"/>
      <c r="F6" s="109"/>
      <c r="G6" s="81"/>
      <c r="H6" s="80" t="s">
        <v>331</v>
      </c>
      <c r="I6" s="103"/>
      <c r="J6" s="104"/>
      <c r="K6" s="104"/>
      <c r="L6" s="105"/>
      <c r="M6" s="31"/>
    </row>
    <row r="7" spans="1:13" ht="12.75">
      <c r="A7" s="114"/>
      <c r="B7" s="81"/>
      <c r="C7" s="81"/>
      <c r="D7" s="81"/>
      <c r="E7" s="81"/>
      <c r="F7" s="81"/>
      <c r="G7" s="81"/>
      <c r="H7" s="81"/>
      <c r="I7" s="104"/>
      <c r="J7" s="104"/>
      <c r="K7" s="104"/>
      <c r="L7" s="105"/>
      <c r="M7" s="31"/>
    </row>
    <row r="8" spans="1:13" ht="12.75">
      <c r="A8" s="106" t="s">
        <v>4</v>
      </c>
      <c r="B8" s="81"/>
      <c r="C8" s="80" t="s">
        <v>6</v>
      </c>
      <c r="D8" s="109" t="s">
        <v>318</v>
      </c>
      <c r="E8" s="81"/>
      <c r="F8" s="109"/>
      <c r="G8" s="81"/>
      <c r="H8" s="80" t="s">
        <v>332</v>
      </c>
      <c r="I8" s="110" t="s">
        <v>335</v>
      </c>
      <c r="J8" s="104"/>
      <c r="K8" s="104"/>
      <c r="L8" s="105"/>
      <c r="M8" s="31"/>
    </row>
    <row r="9" spans="1:13" ht="12.75">
      <c r="A9" s="107"/>
      <c r="B9" s="108"/>
      <c r="C9" s="108"/>
      <c r="D9" s="108"/>
      <c r="E9" s="108"/>
      <c r="F9" s="108"/>
      <c r="G9" s="108"/>
      <c r="H9" s="108"/>
      <c r="I9" s="111"/>
      <c r="J9" s="111"/>
      <c r="K9" s="111"/>
      <c r="L9" s="112"/>
      <c r="M9" s="31"/>
    </row>
    <row r="10" spans="1:13" ht="12.75">
      <c r="A10" s="1" t="s">
        <v>5</v>
      </c>
      <c r="B10" s="9" t="s">
        <v>91</v>
      </c>
      <c r="C10" s="92" t="s">
        <v>188</v>
      </c>
      <c r="D10" s="93"/>
      <c r="E10" s="94"/>
      <c r="F10" s="9" t="s">
        <v>319</v>
      </c>
      <c r="G10" s="16" t="s">
        <v>328</v>
      </c>
      <c r="H10" s="20" t="s">
        <v>333</v>
      </c>
      <c r="I10" s="95" t="s">
        <v>336</v>
      </c>
      <c r="J10" s="96"/>
      <c r="K10" s="97"/>
      <c r="L10" s="25" t="s">
        <v>341</v>
      </c>
      <c r="M10" s="32"/>
    </row>
    <row r="11" spans="1:62" ht="12.75">
      <c r="A11" s="2" t="s">
        <v>6</v>
      </c>
      <c r="B11" s="10" t="s">
        <v>6</v>
      </c>
      <c r="C11" s="98" t="s">
        <v>189</v>
      </c>
      <c r="D11" s="99"/>
      <c r="E11" s="100"/>
      <c r="F11" s="10" t="s">
        <v>6</v>
      </c>
      <c r="G11" s="10" t="s">
        <v>6</v>
      </c>
      <c r="H11" s="21" t="s">
        <v>334</v>
      </c>
      <c r="I11" s="22" t="s">
        <v>337</v>
      </c>
      <c r="J11" s="23" t="s">
        <v>339</v>
      </c>
      <c r="K11" s="24" t="s">
        <v>340</v>
      </c>
      <c r="L11" s="26" t="s">
        <v>342</v>
      </c>
      <c r="M11" s="32"/>
      <c r="Z11" s="29" t="s">
        <v>345</v>
      </c>
      <c r="AA11" s="29" t="s">
        <v>346</v>
      </c>
      <c r="AB11" s="29" t="s">
        <v>347</v>
      </c>
      <c r="AC11" s="29" t="s">
        <v>348</v>
      </c>
      <c r="AD11" s="29" t="s">
        <v>349</v>
      </c>
      <c r="AE11" s="29" t="s">
        <v>350</v>
      </c>
      <c r="AF11" s="29" t="s">
        <v>351</v>
      </c>
      <c r="AG11" s="29" t="s">
        <v>352</v>
      </c>
      <c r="AH11" s="29" t="s">
        <v>353</v>
      </c>
      <c r="BH11" s="29" t="s">
        <v>380</v>
      </c>
      <c r="BI11" s="29" t="s">
        <v>381</v>
      </c>
      <c r="BJ11" s="29" t="s">
        <v>382</v>
      </c>
    </row>
    <row r="12" spans="1:47" ht="12.75">
      <c r="A12" s="3"/>
      <c r="B12" s="11" t="s">
        <v>66</v>
      </c>
      <c r="C12" s="101" t="s">
        <v>190</v>
      </c>
      <c r="D12" s="102"/>
      <c r="E12" s="102"/>
      <c r="F12" s="3" t="s">
        <v>6</v>
      </c>
      <c r="G12" s="3" t="s">
        <v>6</v>
      </c>
      <c r="H12" s="3" t="s">
        <v>6</v>
      </c>
      <c r="I12" s="35">
        <f>SUM(I13:I30)</f>
        <v>0</v>
      </c>
      <c r="J12" s="35">
        <f>SUM(J13:J30)</f>
        <v>0</v>
      </c>
      <c r="K12" s="35">
        <f>SUM(K13:K30)</f>
        <v>0</v>
      </c>
      <c r="L12" s="27"/>
      <c r="AI12" s="29"/>
      <c r="AS12" s="36">
        <f>SUM(AJ13:AJ30)</f>
        <v>0</v>
      </c>
      <c r="AT12" s="36">
        <f>SUM(AK13:AK30)</f>
        <v>0</v>
      </c>
      <c r="AU12" s="36">
        <f>SUM(AL13:AL30)</f>
        <v>0</v>
      </c>
    </row>
    <row r="13" spans="1:62" ht="12.75">
      <c r="A13" s="4" t="s">
        <v>7</v>
      </c>
      <c r="B13" s="4" t="s">
        <v>92</v>
      </c>
      <c r="C13" s="78" t="s">
        <v>460</v>
      </c>
      <c r="D13" s="79"/>
      <c r="E13" s="79"/>
      <c r="F13" s="4" t="s">
        <v>320</v>
      </c>
      <c r="G13" s="17">
        <v>1636.52735</v>
      </c>
      <c r="H13" s="72"/>
      <c r="I13" s="17">
        <f>G13*AO13</f>
        <v>0</v>
      </c>
      <c r="J13" s="17">
        <f>G13*AP13</f>
        <v>0</v>
      </c>
      <c r="K13" s="17">
        <f>G13*H13</f>
        <v>0</v>
      </c>
      <c r="L13" s="28" t="s">
        <v>343</v>
      </c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9"/>
      <c r="AJ13" s="17">
        <f>IF(AN13=0,K13,0)</f>
        <v>0</v>
      </c>
      <c r="AK13" s="17">
        <f>IF(AN13=15,K13,0)</f>
        <v>0</v>
      </c>
      <c r="AL13" s="17">
        <f>IF(AN13=21,K13,0)</f>
        <v>0</v>
      </c>
      <c r="AN13" s="33">
        <v>21</v>
      </c>
      <c r="AO13" s="33">
        <f>H13*0.559348446331852</f>
        <v>0</v>
      </c>
      <c r="AP13" s="33">
        <f>H13*(1-0.559348446331852)</f>
        <v>0</v>
      </c>
      <c r="AQ13" s="28" t="s">
        <v>7</v>
      </c>
      <c r="AV13" s="33">
        <f>AW13+AX13</f>
        <v>0</v>
      </c>
      <c r="AW13" s="33">
        <f>G13*AO13</f>
        <v>0</v>
      </c>
      <c r="AX13" s="33">
        <f>G13*AP13</f>
        <v>0</v>
      </c>
      <c r="AY13" s="34" t="s">
        <v>354</v>
      </c>
      <c r="AZ13" s="34" t="s">
        <v>373</v>
      </c>
      <c r="BA13" s="29" t="s">
        <v>379</v>
      </c>
      <c r="BC13" s="33">
        <f>AW13+AX13</f>
        <v>0</v>
      </c>
      <c r="BD13" s="33">
        <f>H13/(100-BE13)*100</f>
        <v>0</v>
      </c>
      <c r="BE13" s="33">
        <v>0</v>
      </c>
      <c r="BF13" s="33">
        <f>13</f>
        <v>13</v>
      </c>
      <c r="BH13" s="17">
        <f>G13*AO13</f>
        <v>0</v>
      </c>
      <c r="BI13" s="17">
        <f>G13*AP13</f>
        <v>0</v>
      </c>
      <c r="BJ13" s="17">
        <f>G13*H13</f>
        <v>0</v>
      </c>
    </row>
    <row r="14" spans="3:8" ht="12.75">
      <c r="C14" s="88" t="s">
        <v>191</v>
      </c>
      <c r="D14" s="89"/>
      <c r="E14" s="89"/>
      <c r="G14" s="18">
        <v>1636.52735</v>
      </c>
      <c r="H14" s="76"/>
    </row>
    <row r="15" spans="2:12" ht="12.75">
      <c r="B15" s="12" t="s">
        <v>90</v>
      </c>
      <c r="C15" s="90" t="s">
        <v>192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62" ht="12.75">
      <c r="A16" s="4" t="s">
        <v>8</v>
      </c>
      <c r="B16" s="4" t="s">
        <v>93</v>
      </c>
      <c r="C16" s="78" t="s">
        <v>461</v>
      </c>
      <c r="D16" s="79"/>
      <c r="E16" s="79"/>
      <c r="F16" s="4" t="s">
        <v>320</v>
      </c>
      <c r="G16" s="17">
        <v>891.3526</v>
      </c>
      <c r="H16" s="72"/>
      <c r="I16" s="17">
        <f>G16*AO16</f>
        <v>0</v>
      </c>
      <c r="J16" s="17">
        <f>G16*AP16</f>
        <v>0</v>
      </c>
      <c r="K16" s="17">
        <f>G16*H16</f>
        <v>0</v>
      </c>
      <c r="L16" s="28" t="s">
        <v>344</v>
      </c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9"/>
      <c r="AJ16" s="17">
        <f>IF(AN16=0,K16,0)</f>
        <v>0</v>
      </c>
      <c r="AK16" s="17">
        <f>IF(AN16=15,K16,0)</f>
        <v>0</v>
      </c>
      <c r="AL16" s="17">
        <f>IF(AN16=21,K16,0)</f>
        <v>0</v>
      </c>
      <c r="AN16" s="33">
        <v>21</v>
      </c>
      <c r="AO16" s="33">
        <f>H16*0.556065032172784</f>
        <v>0</v>
      </c>
      <c r="AP16" s="33">
        <f>H16*(1-0.556065032172784)</f>
        <v>0</v>
      </c>
      <c r="AQ16" s="28" t="s">
        <v>7</v>
      </c>
      <c r="AV16" s="33">
        <f>AW16+AX16</f>
        <v>0</v>
      </c>
      <c r="AW16" s="33">
        <f>G16*AO16</f>
        <v>0</v>
      </c>
      <c r="AX16" s="33">
        <f>G16*AP16</f>
        <v>0</v>
      </c>
      <c r="AY16" s="34" t="s">
        <v>354</v>
      </c>
      <c r="AZ16" s="34" t="s">
        <v>373</v>
      </c>
      <c r="BA16" s="29" t="s">
        <v>379</v>
      </c>
      <c r="BC16" s="33">
        <f>AW16+AX16</f>
        <v>0</v>
      </c>
      <c r="BD16" s="33">
        <f>H16/(100-BE16)*100</f>
        <v>0</v>
      </c>
      <c r="BE16" s="33">
        <v>0</v>
      </c>
      <c r="BF16" s="33">
        <f>16</f>
        <v>16</v>
      </c>
      <c r="BH16" s="17">
        <f>G16*AO16</f>
        <v>0</v>
      </c>
      <c r="BI16" s="17">
        <f>G16*AP16</f>
        <v>0</v>
      </c>
      <c r="BJ16" s="17">
        <f>G16*H16</f>
        <v>0</v>
      </c>
    </row>
    <row r="17" spans="2:12" ht="12.75">
      <c r="B17" s="13" t="s">
        <v>94</v>
      </c>
      <c r="C17" s="84" t="s">
        <v>193</v>
      </c>
      <c r="D17" s="85"/>
      <c r="E17" s="85"/>
      <c r="F17" s="85"/>
      <c r="G17" s="85"/>
      <c r="H17" s="85"/>
      <c r="I17" s="85"/>
      <c r="J17" s="85"/>
      <c r="K17" s="85"/>
      <c r="L17" s="85"/>
    </row>
    <row r="18" spans="3:8" ht="12.75">
      <c r="C18" s="88" t="s">
        <v>194</v>
      </c>
      <c r="D18" s="89"/>
      <c r="E18" s="89"/>
      <c r="G18" s="18">
        <v>71.6384</v>
      </c>
      <c r="H18" s="76"/>
    </row>
    <row r="19" spans="3:8" ht="12.75">
      <c r="C19" s="88" t="s">
        <v>195</v>
      </c>
      <c r="D19" s="89"/>
      <c r="E19" s="89"/>
      <c r="G19" s="18">
        <v>60.0204</v>
      </c>
      <c r="H19" s="76"/>
    </row>
    <row r="20" spans="3:8" ht="12.75">
      <c r="C20" s="88" t="s">
        <v>196</v>
      </c>
      <c r="D20" s="89"/>
      <c r="E20" s="89"/>
      <c r="G20" s="18">
        <v>389.8963</v>
      </c>
      <c r="H20" s="76"/>
    </row>
    <row r="21" spans="3:8" ht="12.75">
      <c r="C21" s="88" t="s">
        <v>197</v>
      </c>
      <c r="D21" s="89"/>
      <c r="E21" s="89"/>
      <c r="G21" s="18">
        <v>17.7364</v>
      </c>
      <c r="H21" s="76"/>
    </row>
    <row r="22" spans="3:8" ht="12.75">
      <c r="C22" s="88" t="s">
        <v>198</v>
      </c>
      <c r="D22" s="89"/>
      <c r="E22" s="89"/>
      <c r="G22" s="18">
        <v>310.2751</v>
      </c>
      <c r="H22" s="76"/>
    </row>
    <row r="23" spans="3:8" ht="12.75">
      <c r="C23" s="88" t="s">
        <v>199</v>
      </c>
      <c r="D23" s="89"/>
      <c r="E23" s="89"/>
      <c r="G23" s="18">
        <v>41.786</v>
      </c>
      <c r="H23" s="76"/>
    </row>
    <row r="24" spans="1:62" ht="12.75">
      <c r="A24" s="4" t="s">
        <v>9</v>
      </c>
      <c r="B24" s="4" t="s">
        <v>95</v>
      </c>
      <c r="C24" s="78" t="s">
        <v>462</v>
      </c>
      <c r="D24" s="79"/>
      <c r="E24" s="79"/>
      <c r="F24" s="4" t="s">
        <v>320</v>
      </c>
      <c r="G24" s="17">
        <v>185.3605</v>
      </c>
      <c r="H24" s="72"/>
      <c r="I24" s="17">
        <f>G24*AO24</f>
        <v>0</v>
      </c>
      <c r="J24" s="17">
        <f>G24*AP24</f>
        <v>0</v>
      </c>
      <c r="K24" s="17">
        <f>G24*H24</f>
        <v>0</v>
      </c>
      <c r="L24" s="28" t="s">
        <v>343</v>
      </c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29"/>
      <c r="AJ24" s="17">
        <f>IF(AN24=0,K24,0)</f>
        <v>0</v>
      </c>
      <c r="AK24" s="17">
        <f>IF(AN24=15,K24,0)</f>
        <v>0</v>
      </c>
      <c r="AL24" s="17">
        <f>IF(AN24=21,K24,0)</f>
        <v>0</v>
      </c>
      <c r="AN24" s="33">
        <v>21</v>
      </c>
      <c r="AO24" s="33">
        <f>H24*0.671024198454087</f>
        <v>0</v>
      </c>
      <c r="AP24" s="33">
        <f>H24*(1-0.671024198454087)</f>
        <v>0</v>
      </c>
      <c r="AQ24" s="28" t="s">
        <v>7</v>
      </c>
      <c r="AV24" s="33">
        <f>AW24+AX24</f>
        <v>0</v>
      </c>
      <c r="AW24" s="33">
        <f>G24*AO24</f>
        <v>0</v>
      </c>
      <c r="AX24" s="33">
        <f>G24*AP24</f>
        <v>0</v>
      </c>
      <c r="AY24" s="34" t="s">
        <v>354</v>
      </c>
      <c r="AZ24" s="34" t="s">
        <v>373</v>
      </c>
      <c r="BA24" s="29" t="s">
        <v>379</v>
      </c>
      <c r="BC24" s="33">
        <f>AW24+AX24</f>
        <v>0</v>
      </c>
      <c r="BD24" s="33">
        <f>H24/(100-BE24)*100</f>
        <v>0</v>
      </c>
      <c r="BE24" s="33">
        <v>0</v>
      </c>
      <c r="BF24" s="33">
        <f>24</f>
        <v>24</v>
      </c>
      <c r="BH24" s="17">
        <f>G24*AO24</f>
        <v>0</v>
      </c>
      <c r="BI24" s="17">
        <f>G24*AP24</f>
        <v>0</v>
      </c>
      <c r="BJ24" s="17">
        <f>G24*H24</f>
        <v>0</v>
      </c>
    </row>
    <row r="25" spans="3:8" ht="12.75">
      <c r="C25" s="88" t="s">
        <v>200</v>
      </c>
      <c r="D25" s="89"/>
      <c r="E25" s="89"/>
      <c r="G25" s="18">
        <v>36.77</v>
      </c>
      <c r="H25" s="76"/>
    </row>
    <row r="26" spans="3:8" ht="12.75">
      <c r="C26" s="88" t="s">
        <v>201</v>
      </c>
      <c r="D26" s="89"/>
      <c r="E26" s="89"/>
      <c r="G26" s="18">
        <v>38.25</v>
      </c>
      <c r="H26" s="76"/>
    </row>
    <row r="27" spans="3:8" ht="12.75">
      <c r="C27" s="88" t="s">
        <v>202</v>
      </c>
      <c r="D27" s="89"/>
      <c r="E27" s="89"/>
      <c r="G27" s="18">
        <v>46.868</v>
      </c>
      <c r="H27" s="76"/>
    </row>
    <row r="28" spans="3:8" ht="12.75">
      <c r="C28" s="88" t="s">
        <v>203</v>
      </c>
      <c r="D28" s="89"/>
      <c r="E28" s="89"/>
      <c r="G28" s="18">
        <v>38.6325</v>
      </c>
      <c r="H28" s="76"/>
    </row>
    <row r="29" spans="3:8" ht="12.75">
      <c r="C29" s="88" t="s">
        <v>204</v>
      </c>
      <c r="D29" s="89"/>
      <c r="E29" s="89"/>
      <c r="G29" s="18">
        <v>24.84</v>
      </c>
      <c r="H29" s="76"/>
    </row>
    <row r="30" spans="1:62" ht="12.75">
      <c r="A30" s="4" t="s">
        <v>10</v>
      </c>
      <c r="B30" s="4" t="s">
        <v>96</v>
      </c>
      <c r="C30" s="78" t="s">
        <v>507</v>
      </c>
      <c r="D30" s="79"/>
      <c r="E30" s="79"/>
      <c r="F30" s="4" t="s">
        <v>320</v>
      </c>
      <c r="G30" s="17">
        <v>1076.7131</v>
      </c>
      <c r="H30" s="72"/>
      <c r="I30" s="17">
        <f>G30*AO30</f>
        <v>0</v>
      </c>
      <c r="J30" s="17">
        <f>G30*AP30</f>
        <v>0</v>
      </c>
      <c r="K30" s="17">
        <f>G30*H30</f>
        <v>0</v>
      </c>
      <c r="L30" s="28" t="s">
        <v>343</v>
      </c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29"/>
      <c r="AJ30" s="17">
        <f>IF(AN30=0,K30,0)</f>
        <v>0</v>
      </c>
      <c r="AK30" s="17">
        <f>IF(AN30=15,K30,0)</f>
        <v>0</v>
      </c>
      <c r="AL30" s="17">
        <f>IF(AN30=21,K30,0)</f>
        <v>0</v>
      </c>
      <c r="AN30" s="33">
        <v>21</v>
      </c>
      <c r="AO30" s="33">
        <f>H30*0.465463935501167</f>
        <v>0</v>
      </c>
      <c r="AP30" s="33">
        <f>H30*(1-0.465463935501167)</f>
        <v>0</v>
      </c>
      <c r="AQ30" s="28" t="s">
        <v>7</v>
      </c>
      <c r="AV30" s="33">
        <f>AW30+AX30</f>
        <v>0</v>
      </c>
      <c r="AW30" s="33">
        <f>G30*AO30</f>
        <v>0</v>
      </c>
      <c r="AX30" s="33">
        <f>G30*AP30</f>
        <v>0</v>
      </c>
      <c r="AY30" s="34" t="s">
        <v>354</v>
      </c>
      <c r="AZ30" s="34" t="s">
        <v>373</v>
      </c>
      <c r="BA30" s="29" t="s">
        <v>379</v>
      </c>
      <c r="BC30" s="33">
        <f>AW30+AX30</f>
        <v>0</v>
      </c>
      <c r="BD30" s="33">
        <f>H30/(100-BE30)*100</f>
        <v>0</v>
      </c>
      <c r="BE30" s="33">
        <v>0</v>
      </c>
      <c r="BF30" s="33">
        <f>30</f>
        <v>30</v>
      </c>
      <c r="BH30" s="17">
        <f>G30*AO30</f>
        <v>0</v>
      </c>
      <c r="BI30" s="17">
        <f>G30*AP30</f>
        <v>0</v>
      </c>
      <c r="BJ30" s="17">
        <f>G30*H30</f>
        <v>0</v>
      </c>
    </row>
    <row r="31" spans="3:8" ht="12.75">
      <c r="C31" s="88" t="s">
        <v>205</v>
      </c>
      <c r="D31" s="89"/>
      <c r="E31" s="89"/>
      <c r="G31" s="18">
        <v>1076.7131</v>
      </c>
      <c r="H31" s="76"/>
    </row>
    <row r="32" spans="1:47" ht="12.75">
      <c r="A32" s="5"/>
      <c r="B32" s="14" t="s">
        <v>67</v>
      </c>
      <c r="C32" s="82" t="s">
        <v>206</v>
      </c>
      <c r="D32" s="83"/>
      <c r="E32" s="83"/>
      <c r="F32" s="5" t="s">
        <v>6</v>
      </c>
      <c r="G32" s="5" t="s">
        <v>6</v>
      </c>
      <c r="H32" s="5"/>
      <c r="I32" s="36">
        <f>SUM(I33:I40)</f>
        <v>0</v>
      </c>
      <c r="J32" s="36">
        <f>SUM(J33:J40)</f>
        <v>0</v>
      </c>
      <c r="K32" s="36">
        <f>SUM(K33:K40)</f>
        <v>0</v>
      </c>
      <c r="L32" s="29"/>
      <c r="AI32" s="29"/>
      <c r="AS32" s="36">
        <f>SUM(AJ33:AJ40)</f>
        <v>0</v>
      </c>
      <c r="AT32" s="36">
        <f>SUM(AK33:AK40)</f>
        <v>0</v>
      </c>
      <c r="AU32" s="36">
        <f>SUM(AL33:AL40)</f>
        <v>0</v>
      </c>
    </row>
    <row r="33" spans="1:62" ht="12.75">
      <c r="A33" s="4" t="s">
        <v>11</v>
      </c>
      <c r="B33" s="4" t="s">
        <v>97</v>
      </c>
      <c r="C33" s="78" t="s">
        <v>207</v>
      </c>
      <c r="D33" s="79"/>
      <c r="E33" s="79"/>
      <c r="F33" s="4" t="s">
        <v>320</v>
      </c>
      <c r="G33" s="17">
        <v>522.21</v>
      </c>
      <c r="H33" s="72"/>
      <c r="I33" s="17">
        <f>G33*AO33</f>
        <v>0</v>
      </c>
      <c r="J33" s="17">
        <f>G33*AP33</f>
        <v>0</v>
      </c>
      <c r="K33" s="17">
        <f>G33*H33</f>
        <v>0</v>
      </c>
      <c r="L33" s="28" t="s">
        <v>344</v>
      </c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29"/>
      <c r="AJ33" s="17">
        <f>IF(AN33=0,K33,0)</f>
        <v>0</v>
      </c>
      <c r="AK33" s="17">
        <f>IF(AN33=15,K33,0)</f>
        <v>0</v>
      </c>
      <c r="AL33" s="17">
        <f>IF(AN33=21,K33,0)</f>
        <v>0</v>
      </c>
      <c r="AN33" s="33">
        <v>21</v>
      </c>
      <c r="AO33" s="33">
        <f>H33*0.0458015251129229</f>
        <v>0</v>
      </c>
      <c r="AP33" s="33">
        <f>H33*(1-0.0458015251129229)</f>
        <v>0</v>
      </c>
      <c r="AQ33" s="28" t="s">
        <v>7</v>
      </c>
      <c r="AV33" s="33">
        <f>AW33+AX33</f>
        <v>0</v>
      </c>
      <c r="AW33" s="33">
        <f>G33*AO33</f>
        <v>0</v>
      </c>
      <c r="AX33" s="33">
        <f>G33*AP33</f>
        <v>0</v>
      </c>
      <c r="AY33" s="34" t="s">
        <v>355</v>
      </c>
      <c r="AZ33" s="34" t="s">
        <v>373</v>
      </c>
      <c r="BA33" s="29" t="s">
        <v>379</v>
      </c>
      <c r="BC33" s="33">
        <f>AW33+AX33</f>
        <v>0</v>
      </c>
      <c r="BD33" s="33">
        <f>H33/(100-BE33)*100</f>
        <v>0</v>
      </c>
      <c r="BE33" s="33">
        <v>0</v>
      </c>
      <c r="BF33" s="33">
        <f>33</f>
        <v>33</v>
      </c>
      <c r="BH33" s="17">
        <f>G33*AO33</f>
        <v>0</v>
      </c>
      <c r="BI33" s="17">
        <f>G33*AP33</f>
        <v>0</v>
      </c>
      <c r="BJ33" s="17">
        <f>G33*H33</f>
        <v>0</v>
      </c>
    </row>
    <row r="34" spans="3:8" ht="12.75">
      <c r="C34" s="88" t="s">
        <v>208</v>
      </c>
      <c r="D34" s="89"/>
      <c r="E34" s="89"/>
      <c r="G34" s="18">
        <v>38.58</v>
      </c>
      <c r="H34" s="76"/>
    </row>
    <row r="35" spans="3:8" ht="12.75">
      <c r="C35" s="88" t="s">
        <v>209</v>
      </c>
      <c r="D35" s="89"/>
      <c r="E35" s="89"/>
      <c r="G35" s="18">
        <v>194.4</v>
      </c>
      <c r="H35" s="76"/>
    </row>
    <row r="36" spans="3:8" ht="12.75">
      <c r="C36" s="88" t="s">
        <v>210</v>
      </c>
      <c r="D36" s="89"/>
      <c r="E36" s="89"/>
      <c r="G36" s="18">
        <v>41.88</v>
      </c>
      <c r="H36" s="76"/>
    </row>
    <row r="37" spans="3:8" ht="12.75">
      <c r="C37" s="88" t="s">
        <v>211</v>
      </c>
      <c r="D37" s="89"/>
      <c r="E37" s="89"/>
      <c r="G37" s="18">
        <v>247.35</v>
      </c>
      <c r="H37" s="76"/>
    </row>
    <row r="38" spans="1:62" ht="12.75">
      <c r="A38" s="4" t="s">
        <v>12</v>
      </c>
      <c r="B38" s="4" t="s">
        <v>98</v>
      </c>
      <c r="C38" s="78" t="s">
        <v>212</v>
      </c>
      <c r="D38" s="79"/>
      <c r="E38" s="79"/>
      <c r="F38" s="4" t="s">
        <v>320</v>
      </c>
      <c r="G38" s="17">
        <v>125.71825</v>
      </c>
      <c r="H38" s="72"/>
      <c r="I38" s="17">
        <f>G38*AO38</f>
        <v>0</v>
      </c>
      <c r="J38" s="17">
        <f>G38*AP38</f>
        <v>0</v>
      </c>
      <c r="K38" s="17">
        <f>G38*H38</f>
        <v>0</v>
      </c>
      <c r="L38" s="28" t="s">
        <v>344</v>
      </c>
      <c r="Z38" s="33">
        <f>IF(AQ38="5",BJ38,0)</f>
        <v>0</v>
      </c>
      <c r="AB38" s="33">
        <f>IF(AQ38="1",BH38,0)</f>
        <v>0</v>
      </c>
      <c r="AC38" s="33">
        <f>IF(AQ38="1",BI38,0)</f>
        <v>0</v>
      </c>
      <c r="AD38" s="33">
        <f>IF(AQ38="7",BH38,0)</f>
        <v>0</v>
      </c>
      <c r="AE38" s="33">
        <f>IF(AQ38="7",BI38,0)</f>
        <v>0</v>
      </c>
      <c r="AF38" s="33">
        <f>IF(AQ38="2",BH38,0)</f>
        <v>0</v>
      </c>
      <c r="AG38" s="33">
        <f>IF(AQ38="2",BI38,0)</f>
        <v>0</v>
      </c>
      <c r="AH38" s="33">
        <f>IF(AQ38="0",BJ38,0)</f>
        <v>0</v>
      </c>
      <c r="AI38" s="29"/>
      <c r="AJ38" s="17">
        <f>IF(AN38=0,K38,0)</f>
        <v>0</v>
      </c>
      <c r="AK38" s="17">
        <f>IF(AN38=15,K38,0)</f>
        <v>0</v>
      </c>
      <c r="AL38" s="17">
        <f>IF(AN38=21,K38,0)</f>
        <v>0</v>
      </c>
      <c r="AN38" s="33">
        <v>21</v>
      </c>
      <c r="AO38" s="33">
        <f>H38*0.137692302831752</f>
        <v>0</v>
      </c>
      <c r="AP38" s="33">
        <f>H38*(1-0.137692302831752)</f>
        <v>0</v>
      </c>
      <c r="AQ38" s="28" t="s">
        <v>7</v>
      </c>
      <c r="AV38" s="33">
        <f>AW38+AX38</f>
        <v>0</v>
      </c>
      <c r="AW38" s="33">
        <f>G38*AO38</f>
        <v>0</v>
      </c>
      <c r="AX38" s="33">
        <f>G38*AP38</f>
        <v>0</v>
      </c>
      <c r="AY38" s="34" t="s">
        <v>355</v>
      </c>
      <c r="AZ38" s="34" t="s">
        <v>373</v>
      </c>
      <c r="BA38" s="29" t="s">
        <v>379</v>
      </c>
      <c r="BC38" s="33">
        <f>AW38+AX38</f>
        <v>0</v>
      </c>
      <c r="BD38" s="33">
        <f>H38/(100-BE38)*100</f>
        <v>0</v>
      </c>
      <c r="BE38" s="33">
        <v>0</v>
      </c>
      <c r="BF38" s="33">
        <f>38</f>
        <v>38</v>
      </c>
      <c r="BH38" s="17">
        <f>G38*AO38</f>
        <v>0</v>
      </c>
      <c r="BI38" s="17">
        <f>G38*AP38</f>
        <v>0</v>
      </c>
      <c r="BJ38" s="17">
        <f>G38*H38</f>
        <v>0</v>
      </c>
    </row>
    <row r="39" spans="3:8" ht="12.75">
      <c r="C39" s="88" t="s">
        <v>213</v>
      </c>
      <c r="D39" s="89"/>
      <c r="E39" s="89"/>
      <c r="G39" s="18">
        <v>125.71825</v>
      </c>
      <c r="H39" s="76"/>
    </row>
    <row r="40" spans="1:62" ht="12.75">
      <c r="A40" s="6" t="s">
        <v>13</v>
      </c>
      <c r="B40" s="6" t="s">
        <v>99</v>
      </c>
      <c r="C40" s="86" t="s">
        <v>214</v>
      </c>
      <c r="D40" s="87"/>
      <c r="E40" s="87"/>
      <c r="F40" s="6" t="s">
        <v>321</v>
      </c>
      <c r="G40" s="19">
        <v>662</v>
      </c>
      <c r="H40" s="77"/>
      <c r="I40" s="19">
        <f>G40*AO40</f>
        <v>0</v>
      </c>
      <c r="J40" s="19">
        <f>G40*AP40</f>
        <v>0</v>
      </c>
      <c r="K40" s="19">
        <f>G40*H40</f>
        <v>0</v>
      </c>
      <c r="L40" s="30" t="s">
        <v>344</v>
      </c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29"/>
      <c r="AJ40" s="19">
        <f>IF(AN40=0,K40,0)</f>
        <v>0</v>
      </c>
      <c r="AK40" s="19">
        <f>IF(AN40=15,K40,0)</f>
        <v>0</v>
      </c>
      <c r="AL40" s="19">
        <f>IF(AN40=21,K40,0)</f>
        <v>0</v>
      </c>
      <c r="AN40" s="33">
        <v>21</v>
      </c>
      <c r="AO40" s="33">
        <f>H40*1</f>
        <v>0</v>
      </c>
      <c r="AP40" s="33">
        <f>H40*(1-1)</f>
        <v>0</v>
      </c>
      <c r="AQ40" s="30" t="s">
        <v>7</v>
      </c>
      <c r="AV40" s="33">
        <f>AW40+AX40</f>
        <v>0</v>
      </c>
      <c r="AW40" s="33">
        <f>G40*AO40</f>
        <v>0</v>
      </c>
      <c r="AX40" s="33">
        <f>G40*AP40</f>
        <v>0</v>
      </c>
      <c r="AY40" s="34" t="s">
        <v>355</v>
      </c>
      <c r="AZ40" s="34" t="s">
        <v>373</v>
      </c>
      <c r="BA40" s="29" t="s">
        <v>379</v>
      </c>
      <c r="BC40" s="33">
        <f>AW40+AX40</f>
        <v>0</v>
      </c>
      <c r="BD40" s="33">
        <f>H40/(100-BE40)*100</f>
        <v>0</v>
      </c>
      <c r="BE40" s="33">
        <v>0</v>
      </c>
      <c r="BF40" s="33">
        <f>40</f>
        <v>40</v>
      </c>
      <c r="BH40" s="19">
        <f>G40*AO40</f>
        <v>0</v>
      </c>
      <c r="BI40" s="19">
        <f>G40*AP40</f>
        <v>0</v>
      </c>
      <c r="BJ40" s="19">
        <f>G40*H40</f>
        <v>0</v>
      </c>
    </row>
    <row r="41" spans="1:47" ht="12.75">
      <c r="A41" s="5"/>
      <c r="B41" s="14" t="s">
        <v>68</v>
      </c>
      <c r="C41" s="82" t="s">
        <v>215</v>
      </c>
      <c r="D41" s="83"/>
      <c r="E41" s="83"/>
      <c r="F41" s="5" t="s">
        <v>6</v>
      </c>
      <c r="G41" s="5" t="s">
        <v>6</v>
      </c>
      <c r="H41" s="5"/>
      <c r="I41" s="36">
        <f>SUM(I42:I93)</f>
        <v>0</v>
      </c>
      <c r="J41" s="36">
        <f>SUM(J42:J93)</f>
        <v>0</v>
      </c>
      <c r="K41" s="36">
        <f>SUM(K42:K93)</f>
        <v>0</v>
      </c>
      <c r="L41" s="29"/>
      <c r="AI41" s="29"/>
      <c r="AS41" s="36">
        <f>SUM(AJ42:AJ93)</f>
        <v>0</v>
      </c>
      <c r="AT41" s="36">
        <f>SUM(AK42:AK93)</f>
        <v>0</v>
      </c>
      <c r="AU41" s="36">
        <f>SUM(AL42:AL93)</f>
        <v>0</v>
      </c>
    </row>
    <row r="42" spans="1:62" ht="12.75">
      <c r="A42" s="4" t="s">
        <v>14</v>
      </c>
      <c r="B42" s="4" t="s">
        <v>100</v>
      </c>
      <c r="C42" s="78" t="s">
        <v>216</v>
      </c>
      <c r="D42" s="79"/>
      <c r="E42" s="79"/>
      <c r="F42" s="4" t="s">
        <v>320</v>
      </c>
      <c r="G42" s="17">
        <v>613.332</v>
      </c>
      <c r="H42" s="72"/>
      <c r="I42" s="17">
        <f>G42*AO42</f>
        <v>0</v>
      </c>
      <c r="J42" s="17">
        <f>G42*AP42</f>
        <v>0</v>
      </c>
      <c r="K42" s="17">
        <f>G42*H42</f>
        <v>0</v>
      </c>
      <c r="L42" s="28" t="s">
        <v>344</v>
      </c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29"/>
      <c r="AJ42" s="17">
        <f>IF(AN42=0,K42,0)</f>
        <v>0</v>
      </c>
      <c r="AK42" s="17">
        <f>IF(AN42=15,K42,0)</f>
        <v>0</v>
      </c>
      <c r="AL42" s="17">
        <f>IF(AN42=21,K42,0)</f>
        <v>0</v>
      </c>
      <c r="AN42" s="33">
        <v>21</v>
      </c>
      <c r="AO42" s="33">
        <f>H42*0.285592686031838</f>
        <v>0</v>
      </c>
      <c r="AP42" s="33">
        <f>H42*(1-0.285592686031838)</f>
        <v>0</v>
      </c>
      <c r="AQ42" s="28" t="s">
        <v>7</v>
      </c>
      <c r="AV42" s="33">
        <f>AW42+AX42</f>
        <v>0</v>
      </c>
      <c r="AW42" s="33">
        <f>G42*AO42</f>
        <v>0</v>
      </c>
      <c r="AX42" s="33">
        <f>G42*AP42</f>
        <v>0</v>
      </c>
      <c r="AY42" s="34" t="s">
        <v>356</v>
      </c>
      <c r="AZ42" s="34" t="s">
        <v>373</v>
      </c>
      <c r="BA42" s="29" t="s">
        <v>379</v>
      </c>
      <c r="BC42" s="33">
        <f>AW42+AX42</f>
        <v>0</v>
      </c>
      <c r="BD42" s="33">
        <f>H42/(100-BE42)*100</f>
        <v>0</v>
      </c>
      <c r="BE42" s="33">
        <v>0</v>
      </c>
      <c r="BF42" s="33">
        <f>42</f>
        <v>42</v>
      </c>
      <c r="BH42" s="17">
        <f>G42*AO42</f>
        <v>0</v>
      </c>
      <c r="BI42" s="17">
        <f>G42*AP42</f>
        <v>0</v>
      </c>
      <c r="BJ42" s="17">
        <f>G42*H42</f>
        <v>0</v>
      </c>
    </row>
    <row r="43" spans="1:62" ht="12.75">
      <c r="A43" s="4" t="s">
        <v>15</v>
      </c>
      <c r="B43" s="4" t="s">
        <v>445</v>
      </c>
      <c r="C43" s="78" t="s">
        <v>463</v>
      </c>
      <c r="D43" s="79"/>
      <c r="E43" s="79"/>
      <c r="F43" s="4" t="s">
        <v>320</v>
      </c>
      <c r="G43" s="17">
        <v>160.5205</v>
      </c>
      <c r="H43" s="72"/>
      <c r="I43" s="17">
        <f>G43*AO43</f>
        <v>0</v>
      </c>
      <c r="J43" s="17">
        <f>G43*AP43</f>
        <v>0</v>
      </c>
      <c r="K43" s="17">
        <f>G43*H43</f>
        <v>0</v>
      </c>
      <c r="L43" s="28" t="s">
        <v>344</v>
      </c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29"/>
      <c r="AJ43" s="17">
        <f>IF(AN43=0,K43,0)</f>
        <v>0</v>
      </c>
      <c r="AK43" s="17">
        <f>IF(AN43=15,K43,0)</f>
        <v>0</v>
      </c>
      <c r="AL43" s="17">
        <f>IF(AN43=21,K43,0)</f>
        <v>0</v>
      </c>
      <c r="AN43" s="33">
        <v>21</v>
      </c>
      <c r="AO43" s="33">
        <f>H43*0.58036640272456</f>
        <v>0</v>
      </c>
      <c r="AP43" s="33">
        <f>H43*(1-0.58036640272456)</f>
        <v>0</v>
      </c>
      <c r="AQ43" s="28" t="s">
        <v>7</v>
      </c>
      <c r="AV43" s="33">
        <f>AW43+AX43</f>
        <v>0</v>
      </c>
      <c r="AW43" s="33">
        <f>G43*AO43</f>
        <v>0</v>
      </c>
      <c r="AX43" s="33">
        <f>G43*AP43</f>
        <v>0</v>
      </c>
      <c r="AY43" s="34" t="s">
        <v>356</v>
      </c>
      <c r="AZ43" s="34" t="s">
        <v>373</v>
      </c>
      <c r="BA43" s="29" t="s">
        <v>379</v>
      </c>
      <c r="BC43" s="33">
        <f>AW43+AX43</f>
        <v>0</v>
      </c>
      <c r="BD43" s="33">
        <f>H43/(100-BE43)*100</f>
        <v>0</v>
      </c>
      <c r="BE43" s="33">
        <v>0</v>
      </c>
      <c r="BF43" s="33">
        <f>43</f>
        <v>43</v>
      </c>
      <c r="BH43" s="17">
        <f>G43*AO43</f>
        <v>0</v>
      </c>
      <c r="BI43" s="17">
        <f>G43*AP43</f>
        <v>0</v>
      </c>
      <c r="BJ43" s="17">
        <f>G43*H43</f>
        <v>0</v>
      </c>
    </row>
    <row r="44" spans="2:12" ht="12.75">
      <c r="B44" s="13" t="s">
        <v>94</v>
      </c>
      <c r="C44" s="84" t="s">
        <v>217</v>
      </c>
      <c r="D44" s="85"/>
      <c r="E44" s="85"/>
      <c r="F44" s="85"/>
      <c r="G44" s="85"/>
      <c r="H44" s="85"/>
      <c r="I44" s="85"/>
      <c r="J44" s="85"/>
      <c r="K44" s="85"/>
      <c r="L44" s="85"/>
    </row>
    <row r="45" spans="3:8" ht="12.75">
      <c r="C45" s="88" t="s">
        <v>218</v>
      </c>
      <c r="D45" s="89"/>
      <c r="E45" s="89"/>
      <c r="G45" s="18">
        <v>185.3605</v>
      </c>
      <c r="H45" s="76"/>
    </row>
    <row r="46" spans="3:8" ht="12.75">
      <c r="C46" s="88" t="s">
        <v>219</v>
      </c>
      <c r="D46" s="89"/>
      <c r="E46" s="89"/>
      <c r="G46" s="18">
        <v>-24.84</v>
      </c>
      <c r="H46" s="76"/>
    </row>
    <row r="47" spans="2:12" ht="12.75">
      <c r="B47" s="12" t="s">
        <v>90</v>
      </c>
      <c r="C47" s="90" t="s">
        <v>220</v>
      </c>
      <c r="D47" s="91"/>
      <c r="E47" s="91"/>
      <c r="F47" s="91"/>
      <c r="G47" s="91"/>
      <c r="H47" s="91"/>
      <c r="I47" s="91"/>
      <c r="J47" s="91"/>
      <c r="K47" s="91"/>
      <c r="L47" s="91"/>
    </row>
    <row r="48" spans="1:62" ht="12.75">
      <c r="A48" s="4" t="s">
        <v>16</v>
      </c>
      <c r="B48" s="4" t="s">
        <v>446</v>
      </c>
      <c r="C48" s="78" t="s">
        <v>464</v>
      </c>
      <c r="D48" s="79"/>
      <c r="E48" s="79"/>
      <c r="F48" s="4" t="s">
        <v>320</v>
      </c>
      <c r="G48" s="17">
        <v>24.21</v>
      </c>
      <c r="H48" s="72"/>
      <c r="I48" s="17">
        <f>G48*AO48</f>
        <v>0</v>
      </c>
      <c r="J48" s="17">
        <f>G48*AP48</f>
        <v>0</v>
      </c>
      <c r="K48" s="17">
        <f>G48*H48</f>
        <v>0</v>
      </c>
      <c r="L48" s="28" t="s">
        <v>344</v>
      </c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29"/>
      <c r="AJ48" s="17">
        <f>IF(AN48=0,K48,0)</f>
        <v>0</v>
      </c>
      <c r="AK48" s="17">
        <f>IF(AN48=15,K48,0)</f>
        <v>0</v>
      </c>
      <c r="AL48" s="17">
        <f>IF(AN48=21,K48,0)</f>
        <v>0</v>
      </c>
      <c r="AN48" s="33">
        <v>21</v>
      </c>
      <c r="AO48" s="33">
        <f>H48*0.5484184815633</f>
        <v>0</v>
      </c>
      <c r="AP48" s="33">
        <f>H48*(1-0.5484184815633)</f>
        <v>0</v>
      </c>
      <c r="AQ48" s="28" t="s">
        <v>7</v>
      </c>
      <c r="AV48" s="33">
        <f>AW48+AX48</f>
        <v>0</v>
      </c>
      <c r="AW48" s="33">
        <f>G48*AO48</f>
        <v>0</v>
      </c>
      <c r="AX48" s="33">
        <f>G48*AP48</f>
        <v>0</v>
      </c>
      <c r="AY48" s="34" t="s">
        <v>356</v>
      </c>
      <c r="AZ48" s="34" t="s">
        <v>373</v>
      </c>
      <c r="BA48" s="29" t="s">
        <v>379</v>
      </c>
      <c r="BC48" s="33">
        <f>AW48+AX48</f>
        <v>0</v>
      </c>
      <c r="BD48" s="33">
        <f>H48/(100-BE48)*100</f>
        <v>0</v>
      </c>
      <c r="BE48" s="33">
        <v>0</v>
      </c>
      <c r="BF48" s="33">
        <f>48</f>
        <v>48</v>
      </c>
      <c r="BH48" s="17">
        <f>G48*AO48</f>
        <v>0</v>
      </c>
      <c r="BI48" s="17">
        <f>G48*AP48</f>
        <v>0</v>
      </c>
      <c r="BJ48" s="17">
        <f>G48*H48</f>
        <v>0</v>
      </c>
    </row>
    <row r="49" spans="2:12" ht="12.75">
      <c r="B49" s="13" t="s">
        <v>94</v>
      </c>
      <c r="C49" s="84" t="s">
        <v>217</v>
      </c>
      <c r="D49" s="85"/>
      <c r="E49" s="85"/>
      <c r="F49" s="85"/>
      <c r="G49" s="85"/>
      <c r="H49" s="85"/>
      <c r="I49" s="85"/>
      <c r="J49" s="85"/>
      <c r="K49" s="85"/>
      <c r="L49" s="85"/>
    </row>
    <row r="50" spans="3:8" ht="12.75">
      <c r="C50" s="88" t="s">
        <v>221</v>
      </c>
      <c r="D50" s="89"/>
      <c r="E50" s="89"/>
      <c r="G50" s="18">
        <v>24.21</v>
      </c>
      <c r="H50" s="76"/>
    </row>
    <row r="51" spans="2:12" ht="25.5" customHeight="1">
      <c r="B51" s="12" t="s">
        <v>90</v>
      </c>
      <c r="C51" s="90" t="s">
        <v>222</v>
      </c>
      <c r="D51" s="91"/>
      <c r="E51" s="91"/>
      <c r="F51" s="91"/>
      <c r="G51" s="91"/>
      <c r="H51" s="91"/>
      <c r="I51" s="91"/>
      <c r="J51" s="91"/>
      <c r="K51" s="91"/>
      <c r="L51" s="91"/>
    </row>
    <row r="52" spans="1:62" ht="12.75">
      <c r="A52" s="4" t="s">
        <v>17</v>
      </c>
      <c r="B52" s="4" t="s">
        <v>101</v>
      </c>
      <c r="C52" s="78" t="s">
        <v>465</v>
      </c>
      <c r="D52" s="79"/>
      <c r="E52" s="79"/>
      <c r="F52" s="4" t="s">
        <v>320</v>
      </c>
      <c r="G52" s="17">
        <v>498</v>
      </c>
      <c r="H52" s="72"/>
      <c r="I52" s="17">
        <f>G52*AO52</f>
        <v>0</v>
      </c>
      <c r="J52" s="17">
        <f>G52*AP52</f>
        <v>0</v>
      </c>
      <c r="K52" s="17">
        <f>G52*H52</f>
        <v>0</v>
      </c>
      <c r="L52" s="28" t="s">
        <v>344</v>
      </c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29"/>
      <c r="AJ52" s="17">
        <f>IF(AN52=0,K52,0)</f>
        <v>0</v>
      </c>
      <c r="AK52" s="17">
        <f>IF(AN52=15,K52,0)</f>
        <v>0</v>
      </c>
      <c r="AL52" s="17">
        <f>IF(AN52=21,K52,0)</f>
        <v>0</v>
      </c>
      <c r="AN52" s="33">
        <v>21</v>
      </c>
      <c r="AO52" s="33">
        <f>H52*0.651325892951925</f>
        <v>0</v>
      </c>
      <c r="AP52" s="33">
        <f>H52*(1-0.651325892951925)</f>
        <v>0</v>
      </c>
      <c r="AQ52" s="28" t="s">
        <v>7</v>
      </c>
      <c r="AV52" s="33">
        <f>AW52+AX52</f>
        <v>0</v>
      </c>
      <c r="AW52" s="33">
        <f>G52*AO52</f>
        <v>0</v>
      </c>
      <c r="AX52" s="33">
        <f>G52*AP52</f>
        <v>0</v>
      </c>
      <c r="AY52" s="34" t="s">
        <v>356</v>
      </c>
      <c r="AZ52" s="34" t="s">
        <v>373</v>
      </c>
      <c r="BA52" s="29" t="s">
        <v>379</v>
      </c>
      <c r="BC52" s="33">
        <f>AW52+AX52</f>
        <v>0</v>
      </c>
      <c r="BD52" s="33">
        <f>H52/(100-BE52)*100</f>
        <v>0</v>
      </c>
      <c r="BE52" s="33">
        <v>0</v>
      </c>
      <c r="BF52" s="33">
        <f>52</f>
        <v>52</v>
      </c>
      <c r="BH52" s="17">
        <f>G52*AO52</f>
        <v>0</v>
      </c>
      <c r="BI52" s="17">
        <f>G52*AP52</f>
        <v>0</v>
      </c>
      <c r="BJ52" s="17">
        <f>G52*H52</f>
        <v>0</v>
      </c>
    </row>
    <row r="53" spans="2:12" ht="12.75">
      <c r="B53" s="13" t="s">
        <v>94</v>
      </c>
      <c r="C53" s="84" t="s">
        <v>217</v>
      </c>
      <c r="D53" s="85"/>
      <c r="E53" s="85"/>
      <c r="F53" s="85"/>
      <c r="G53" s="85"/>
      <c r="H53" s="85"/>
      <c r="I53" s="85"/>
      <c r="J53" s="85"/>
      <c r="K53" s="85"/>
      <c r="L53" s="85"/>
    </row>
    <row r="54" spans="3:8" ht="12.75">
      <c r="C54" s="88" t="s">
        <v>223</v>
      </c>
      <c r="D54" s="89"/>
      <c r="E54" s="89"/>
      <c r="G54" s="18">
        <v>38.58</v>
      </c>
      <c r="H54" s="76"/>
    </row>
    <row r="55" spans="3:8" ht="12.75">
      <c r="C55" s="88" t="s">
        <v>224</v>
      </c>
      <c r="D55" s="89"/>
      <c r="E55" s="89"/>
      <c r="G55" s="18">
        <v>194.4</v>
      </c>
      <c r="H55" s="76"/>
    </row>
    <row r="56" spans="3:8" ht="12.75">
      <c r="C56" s="88" t="s">
        <v>225</v>
      </c>
      <c r="D56" s="89"/>
      <c r="E56" s="89"/>
      <c r="G56" s="18">
        <v>41.88</v>
      </c>
      <c r="H56" s="76"/>
    </row>
    <row r="57" spans="3:8" ht="12.75">
      <c r="C57" s="88" t="s">
        <v>226</v>
      </c>
      <c r="D57" s="89"/>
      <c r="E57" s="89"/>
      <c r="G57" s="18">
        <v>247.35</v>
      </c>
      <c r="H57" s="76"/>
    </row>
    <row r="58" spans="3:8" ht="12.75">
      <c r="C58" s="88" t="s">
        <v>227</v>
      </c>
      <c r="D58" s="89"/>
      <c r="E58" s="89"/>
      <c r="G58" s="18">
        <v>-24.21</v>
      </c>
      <c r="H58" s="76"/>
    </row>
    <row r="59" spans="2:12" ht="12.75">
      <c r="B59" s="12" t="s">
        <v>90</v>
      </c>
      <c r="C59" s="90" t="s">
        <v>228</v>
      </c>
      <c r="D59" s="91"/>
      <c r="E59" s="91"/>
      <c r="F59" s="91"/>
      <c r="G59" s="91"/>
      <c r="H59" s="91"/>
      <c r="I59" s="91"/>
      <c r="J59" s="91"/>
      <c r="K59" s="91"/>
      <c r="L59" s="91"/>
    </row>
    <row r="60" spans="1:62" ht="12.75">
      <c r="A60" s="4" t="s">
        <v>18</v>
      </c>
      <c r="B60" s="4" t="s">
        <v>447</v>
      </c>
      <c r="C60" s="78" t="s">
        <v>465</v>
      </c>
      <c r="D60" s="79"/>
      <c r="E60" s="79"/>
      <c r="F60" s="4" t="s">
        <v>320</v>
      </c>
      <c r="G60" s="17">
        <v>185.4918</v>
      </c>
      <c r="H60" s="72"/>
      <c r="I60" s="17">
        <f>G60*AO60</f>
        <v>0</v>
      </c>
      <c r="J60" s="17">
        <f>G60*AP60</f>
        <v>0</v>
      </c>
      <c r="K60" s="17">
        <f>G60*H60</f>
        <v>0</v>
      </c>
      <c r="L60" s="28" t="s">
        <v>344</v>
      </c>
      <c r="Z60" s="33">
        <f>IF(AQ60="5",BJ60,0)</f>
        <v>0</v>
      </c>
      <c r="AB60" s="33">
        <f>IF(AQ60="1",BH60,0)</f>
        <v>0</v>
      </c>
      <c r="AC60" s="33">
        <f>IF(AQ60="1",BI60,0)</f>
        <v>0</v>
      </c>
      <c r="AD60" s="33">
        <f>IF(AQ60="7",BH60,0)</f>
        <v>0</v>
      </c>
      <c r="AE60" s="33">
        <f>IF(AQ60="7",BI60,0)</f>
        <v>0</v>
      </c>
      <c r="AF60" s="33">
        <f>IF(AQ60="2",BH60,0)</f>
        <v>0</v>
      </c>
      <c r="AG60" s="33">
        <f>IF(AQ60="2",BI60,0)</f>
        <v>0</v>
      </c>
      <c r="AH60" s="33">
        <f>IF(AQ60="0",BJ60,0)</f>
        <v>0</v>
      </c>
      <c r="AI60" s="29"/>
      <c r="AJ60" s="17">
        <f>IF(AN60=0,K60,0)</f>
        <v>0</v>
      </c>
      <c r="AK60" s="17">
        <f>IF(AN60=15,K60,0)</f>
        <v>0</v>
      </c>
      <c r="AL60" s="17">
        <f>IF(AN60=21,K60,0)</f>
        <v>0</v>
      </c>
      <c r="AN60" s="33">
        <v>21</v>
      </c>
      <c r="AO60" s="33">
        <f>H60*0.651325888772136</f>
        <v>0</v>
      </c>
      <c r="AP60" s="33">
        <f>H60*(1-0.651325888772136)</f>
        <v>0</v>
      </c>
      <c r="AQ60" s="28" t="s">
        <v>7</v>
      </c>
      <c r="AV60" s="33">
        <f>AW60+AX60</f>
        <v>0</v>
      </c>
      <c r="AW60" s="33">
        <f>G60*AO60</f>
        <v>0</v>
      </c>
      <c r="AX60" s="33">
        <f>G60*AP60</f>
        <v>0</v>
      </c>
      <c r="AY60" s="34" t="s">
        <v>356</v>
      </c>
      <c r="AZ60" s="34" t="s">
        <v>373</v>
      </c>
      <c r="BA60" s="29" t="s">
        <v>379</v>
      </c>
      <c r="BC60" s="33">
        <f>AW60+AX60</f>
        <v>0</v>
      </c>
      <c r="BD60" s="33">
        <f>H60/(100-BE60)*100</f>
        <v>0</v>
      </c>
      <c r="BE60" s="33">
        <v>0</v>
      </c>
      <c r="BF60" s="33">
        <f>60</f>
        <v>60</v>
      </c>
      <c r="BH60" s="17">
        <f>G60*AO60</f>
        <v>0</v>
      </c>
      <c r="BI60" s="17">
        <f>G60*AP60</f>
        <v>0</v>
      </c>
      <c r="BJ60" s="17">
        <f>G60*H60</f>
        <v>0</v>
      </c>
    </row>
    <row r="61" spans="2:12" ht="12.75">
      <c r="B61" s="13" t="s">
        <v>94</v>
      </c>
      <c r="C61" s="84" t="s">
        <v>217</v>
      </c>
      <c r="D61" s="85"/>
      <c r="E61" s="85"/>
      <c r="F61" s="85"/>
      <c r="G61" s="85"/>
      <c r="H61" s="85"/>
      <c r="I61" s="85"/>
      <c r="J61" s="85"/>
      <c r="K61" s="85"/>
      <c r="L61" s="85"/>
    </row>
    <row r="62" spans="3:8" ht="12.75">
      <c r="C62" s="88" t="s">
        <v>229</v>
      </c>
      <c r="D62" s="89"/>
      <c r="E62" s="89"/>
      <c r="G62" s="18">
        <v>112.0068</v>
      </c>
      <c r="H62" s="76"/>
    </row>
    <row r="63" spans="3:8" ht="12.75">
      <c r="C63" s="88" t="s">
        <v>230</v>
      </c>
      <c r="D63" s="89"/>
      <c r="E63" s="89"/>
      <c r="G63" s="18">
        <v>73.485</v>
      </c>
      <c r="H63" s="76"/>
    </row>
    <row r="64" spans="2:12" ht="12.75">
      <c r="B64" s="12" t="s">
        <v>90</v>
      </c>
      <c r="C64" s="90" t="s">
        <v>220</v>
      </c>
      <c r="D64" s="91"/>
      <c r="E64" s="91"/>
      <c r="F64" s="91"/>
      <c r="G64" s="91"/>
      <c r="H64" s="91"/>
      <c r="I64" s="91"/>
      <c r="J64" s="91"/>
      <c r="K64" s="91"/>
      <c r="L64" s="91"/>
    </row>
    <row r="65" spans="1:62" ht="12.75">
      <c r="A65" s="4" t="s">
        <v>19</v>
      </c>
      <c r="B65" s="4" t="s">
        <v>102</v>
      </c>
      <c r="C65" s="78" t="s">
        <v>466</v>
      </c>
      <c r="D65" s="79"/>
      <c r="E65" s="79"/>
      <c r="F65" s="4" t="s">
        <v>320</v>
      </c>
      <c r="G65" s="17">
        <v>7.56</v>
      </c>
      <c r="H65" s="72"/>
      <c r="I65" s="17">
        <f>G65*AO65</f>
        <v>0</v>
      </c>
      <c r="J65" s="17">
        <f>G65*AP65</f>
        <v>0</v>
      </c>
      <c r="K65" s="17">
        <f>G65*H65</f>
        <v>0</v>
      </c>
      <c r="L65" s="28" t="s">
        <v>344</v>
      </c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29"/>
      <c r="AJ65" s="17">
        <f>IF(AN65=0,K65,0)</f>
        <v>0</v>
      </c>
      <c r="AK65" s="17">
        <f>IF(AN65=15,K65,0)</f>
        <v>0</v>
      </c>
      <c r="AL65" s="17">
        <f>IF(AN65=21,K65,0)</f>
        <v>0</v>
      </c>
      <c r="AN65" s="33">
        <v>21</v>
      </c>
      <c r="AO65" s="33">
        <f>H65*0.620726275187057</f>
        <v>0</v>
      </c>
      <c r="AP65" s="33">
        <f>H65*(1-0.620726275187057)</f>
        <v>0</v>
      </c>
      <c r="AQ65" s="28" t="s">
        <v>7</v>
      </c>
      <c r="AV65" s="33">
        <f>AW65+AX65</f>
        <v>0</v>
      </c>
      <c r="AW65" s="33">
        <f>G65*AO65</f>
        <v>0</v>
      </c>
      <c r="AX65" s="33">
        <f>G65*AP65</f>
        <v>0</v>
      </c>
      <c r="AY65" s="34" t="s">
        <v>356</v>
      </c>
      <c r="AZ65" s="34" t="s">
        <v>373</v>
      </c>
      <c r="BA65" s="29" t="s">
        <v>379</v>
      </c>
      <c r="BC65" s="33">
        <f>AW65+AX65</f>
        <v>0</v>
      </c>
      <c r="BD65" s="33">
        <f>H65/(100-BE65)*100</f>
        <v>0</v>
      </c>
      <c r="BE65" s="33">
        <v>0</v>
      </c>
      <c r="BF65" s="33">
        <f>65</f>
        <v>65</v>
      </c>
      <c r="BH65" s="17">
        <f>G65*AO65</f>
        <v>0</v>
      </c>
      <c r="BI65" s="17">
        <f>G65*AP65</f>
        <v>0</v>
      </c>
      <c r="BJ65" s="17">
        <f>G65*H65</f>
        <v>0</v>
      </c>
    </row>
    <row r="66" spans="2:12" ht="12.75">
      <c r="B66" s="13" t="s">
        <v>94</v>
      </c>
      <c r="C66" s="84" t="s">
        <v>217</v>
      </c>
      <c r="D66" s="85"/>
      <c r="E66" s="85"/>
      <c r="F66" s="85"/>
      <c r="G66" s="85"/>
      <c r="H66" s="85"/>
      <c r="I66" s="85"/>
      <c r="J66" s="85"/>
      <c r="K66" s="85"/>
      <c r="L66" s="85"/>
    </row>
    <row r="67" spans="3:8" ht="12.75">
      <c r="C67" s="88" t="s">
        <v>231</v>
      </c>
      <c r="D67" s="89"/>
      <c r="E67" s="89"/>
      <c r="G67" s="18">
        <v>7.56</v>
      </c>
      <c r="H67" s="76"/>
    </row>
    <row r="68" spans="2:12" ht="12.75">
      <c r="B68" s="12" t="s">
        <v>90</v>
      </c>
      <c r="C68" s="90" t="s">
        <v>232</v>
      </c>
      <c r="D68" s="91"/>
      <c r="E68" s="91"/>
      <c r="F68" s="91"/>
      <c r="G68" s="91"/>
      <c r="H68" s="91"/>
      <c r="I68" s="91"/>
      <c r="J68" s="91"/>
      <c r="K68" s="91"/>
      <c r="L68" s="91"/>
    </row>
    <row r="69" spans="1:62" ht="12.75">
      <c r="A69" s="4" t="s">
        <v>20</v>
      </c>
      <c r="B69" s="4" t="s">
        <v>448</v>
      </c>
      <c r="C69" s="78" t="s">
        <v>467</v>
      </c>
      <c r="D69" s="79"/>
      <c r="E69" s="79"/>
      <c r="F69" s="4" t="s">
        <v>320</v>
      </c>
      <c r="G69" s="17">
        <v>645.6578</v>
      </c>
      <c r="H69" s="72"/>
      <c r="I69" s="17">
        <f>G69*AO69</f>
        <v>0</v>
      </c>
      <c r="J69" s="17">
        <f>G69*AP69</f>
        <v>0</v>
      </c>
      <c r="K69" s="17">
        <f>G69*H69</f>
        <v>0</v>
      </c>
      <c r="L69" s="28" t="s">
        <v>344</v>
      </c>
      <c r="Z69" s="33">
        <f>IF(AQ69="5",BJ69,0)</f>
        <v>0</v>
      </c>
      <c r="AB69" s="33">
        <f>IF(AQ69="1",BH69,0)</f>
        <v>0</v>
      </c>
      <c r="AC69" s="33">
        <f>IF(AQ69="1",BI69,0)</f>
        <v>0</v>
      </c>
      <c r="AD69" s="33">
        <f>IF(AQ69="7",BH69,0)</f>
        <v>0</v>
      </c>
      <c r="AE69" s="33">
        <f>IF(AQ69="7",BI69,0)</f>
        <v>0</v>
      </c>
      <c r="AF69" s="33">
        <f>IF(AQ69="2",BH69,0)</f>
        <v>0</v>
      </c>
      <c r="AG69" s="33">
        <f>IF(AQ69="2",BI69,0)</f>
        <v>0</v>
      </c>
      <c r="AH69" s="33">
        <f>IF(AQ69="0",BJ69,0)</f>
        <v>0</v>
      </c>
      <c r="AI69" s="29"/>
      <c r="AJ69" s="17">
        <f>IF(AN69=0,K69,0)</f>
        <v>0</v>
      </c>
      <c r="AK69" s="17">
        <f>IF(AN69=15,K69,0)</f>
        <v>0</v>
      </c>
      <c r="AL69" s="17">
        <f>IF(AN69=21,K69,0)</f>
        <v>0</v>
      </c>
      <c r="AN69" s="33">
        <v>21</v>
      </c>
      <c r="AO69" s="33">
        <f>H69*0.561853343867504</f>
        <v>0</v>
      </c>
      <c r="AP69" s="33">
        <f>H69*(1-0.561853343867504)</f>
        <v>0</v>
      </c>
      <c r="AQ69" s="28" t="s">
        <v>7</v>
      </c>
      <c r="AV69" s="33">
        <f>AW69+AX69</f>
        <v>0</v>
      </c>
      <c r="AW69" s="33">
        <f>G69*AO69</f>
        <v>0</v>
      </c>
      <c r="AX69" s="33">
        <f>G69*AP69</f>
        <v>0</v>
      </c>
      <c r="AY69" s="34" t="s">
        <v>356</v>
      </c>
      <c r="AZ69" s="34" t="s">
        <v>373</v>
      </c>
      <c r="BA69" s="29" t="s">
        <v>379</v>
      </c>
      <c r="BC69" s="33">
        <f>AW69+AX69</f>
        <v>0</v>
      </c>
      <c r="BD69" s="33">
        <f>H69/(100-BE69)*100</f>
        <v>0</v>
      </c>
      <c r="BE69" s="33">
        <v>0</v>
      </c>
      <c r="BF69" s="33">
        <f>69</f>
        <v>69</v>
      </c>
      <c r="BH69" s="17">
        <f>G69*AO69</f>
        <v>0</v>
      </c>
      <c r="BI69" s="17">
        <f>G69*AP69</f>
        <v>0</v>
      </c>
      <c r="BJ69" s="17">
        <f>G69*H69</f>
        <v>0</v>
      </c>
    </row>
    <row r="70" spans="2:12" ht="12.75">
      <c r="B70" s="13" t="s">
        <v>94</v>
      </c>
      <c r="C70" s="84" t="s">
        <v>217</v>
      </c>
      <c r="D70" s="85"/>
      <c r="E70" s="85"/>
      <c r="F70" s="85"/>
      <c r="G70" s="85"/>
      <c r="H70" s="85"/>
      <c r="I70" s="85"/>
      <c r="J70" s="85"/>
      <c r="K70" s="85"/>
      <c r="L70" s="85"/>
    </row>
    <row r="71" spans="3:8" ht="12.75">
      <c r="C71" s="88" t="s">
        <v>233</v>
      </c>
      <c r="D71" s="89"/>
      <c r="E71" s="89"/>
      <c r="G71" s="18">
        <v>883.7926</v>
      </c>
      <c r="H71" s="76"/>
    </row>
    <row r="72" spans="3:8" ht="12.75">
      <c r="C72" s="88" t="s">
        <v>234</v>
      </c>
      <c r="D72" s="89"/>
      <c r="E72" s="89"/>
      <c r="G72" s="18">
        <v>-41.786</v>
      </c>
      <c r="H72" s="76"/>
    </row>
    <row r="73" spans="3:8" ht="12.75">
      <c r="C73" s="88" t="s">
        <v>235</v>
      </c>
      <c r="D73" s="89"/>
      <c r="E73" s="89"/>
      <c r="G73" s="18">
        <v>-185.4918</v>
      </c>
      <c r="H73" s="76"/>
    </row>
    <row r="74" spans="3:8" ht="12.75">
      <c r="C74" s="88" t="s">
        <v>236</v>
      </c>
      <c r="D74" s="89"/>
      <c r="E74" s="89"/>
      <c r="G74" s="18">
        <v>-10.857</v>
      </c>
      <c r="H74" s="76"/>
    </row>
    <row r="75" spans="2:12" ht="12.75">
      <c r="B75" s="12" t="s">
        <v>90</v>
      </c>
      <c r="C75" s="90" t="s">
        <v>220</v>
      </c>
      <c r="D75" s="91"/>
      <c r="E75" s="91"/>
      <c r="F75" s="91"/>
      <c r="G75" s="91"/>
      <c r="H75" s="91"/>
      <c r="I75" s="91"/>
      <c r="J75" s="91"/>
      <c r="K75" s="91"/>
      <c r="L75" s="91"/>
    </row>
    <row r="76" spans="1:62" ht="12.75">
      <c r="A76" s="4" t="s">
        <v>21</v>
      </c>
      <c r="B76" s="4" t="s">
        <v>449</v>
      </c>
      <c r="C76" s="78" t="s">
        <v>468</v>
      </c>
      <c r="D76" s="79"/>
      <c r="E76" s="79"/>
      <c r="F76" s="4" t="s">
        <v>320</v>
      </c>
      <c r="G76" s="17">
        <v>10.857</v>
      </c>
      <c r="H76" s="72"/>
      <c r="I76" s="17">
        <f>G76*AO76</f>
        <v>0</v>
      </c>
      <c r="J76" s="17">
        <f>G76*AP76</f>
        <v>0</v>
      </c>
      <c r="K76" s="17">
        <f>G76*H76</f>
        <v>0</v>
      </c>
      <c r="L76" s="28" t="s">
        <v>344</v>
      </c>
      <c r="Z76" s="33">
        <f>IF(AQ76="5",BJ76,0)</f>
        <v>0</v>
      </c>
      <c r="AB76" s="33">
        <f>IF(AQ76="1",BH76,0)</f>
        <v>0</v>
      </c>
      <c r="AC76" s="33">
        <f>IF(AQ76="1",BI76,0)</f>
        <v>0</v>
      </c>
      <c r="AD76" s="33">
        <f>IF(AQ76="7",BH76,0)</f>
        <v>0</v>
      </c>
      <c r="AE76" s="33">
        <f>IF(AQ76="7",BI76,0)</f>
        <v>0</v>
      </c>
      <c r="AF76" s="33">
        <f>IF(AQ76="2",BH76,0)</f>
        <v>0</v>
      </c>
      <c r="AG76" s="33">
        <f>IF(AQ76="2",BI76,0)</f>
        <v>0</v>
      </c>
      <c r="AH76" s="33">
        <f>IF(AQ76="0",BJ76,0)</f>
        <v>0</v>
      </c>
      <c r="AI76" s="29"/>
      <c r="AJ76" s="17">
        <f>IF(AN76=0,K76,0)</f>
        <v>0</v>
      </c>
      <c r="AK76" s="17">
        <f>IF(AN76=15,K76,0)</f>
        <v>0</v>
      </c>
      <c r="AL76" s="17">
        <f>IF(AN76=21,K76,0)</f>
        <v>0</v>
      </c>
      <c r="AN76" s="33">
        <v>21</v>
      </c>
      <c r="AO76" s="33">
        <f>H76*0.591463118543704</f>
        <v>0</v>
      </c>
      <c r="AP76" s="33">
        <f>H76*(1-0.591463118543704)</f>
        <v>0</v>
      </c>
      <c r="AQ76" s="28" t="s">
        <v>7</v>
      </c>
      <c r="AV76" s="33">
        <f>AW76+AX76</f>
        <v>0</v>
      </c>
      <c r="AW76" s="33">
        <f>G76*AO76</f>
        <v>0</v>
      </c>
      <c r="AX76" s="33">
        <f>G76*AP76</f>
        <v>0</v>
      </c>
      <c r="AY76" s="34" t="s">
        <v>356</v>
      </c>
      <c r="AZ76" s="34" t="s">
        <v>373</v>
      </c>
      <c r="BA76" s="29" t="s">
        <v>379</v>
      </c>
      <c r="BC76" s="33">
        <f>AW76+AX76</f>
        <v>0</v>
      </c>
      <c r="BD76" s="33">
        <f>H76/(100-BE76)*100</f>
        <v>0</v>
      </c>
      <c r="BE76" s="33">
        <v>0</v>
      </c>
      <c r="BF76" s="33">
        <f>76</f>
        <v>76</v>
      </c>
      <c r="BH76" s="17">
        <f>G76*AO76</f>
        <v>0</v>
      </c>
      <c r="BI76" s="17">
        <f>G76*AP76</f>
        <v>0</v>
      </c>
      <c r="BJ76" s="17">
        <f>G76*H76</f>
        <v>0</v>
      </c>
    </row>
    <row r="77" spans="2:12" ht="12.75">
      <c r="B77" s="13" t="s">
        <v>94</v>
      </c>
      <c r="C77" s="84" t="s">
        <v>217</v>
      </c>
      <c r="D77" s="85"/>
      <c r="E77" s="85"/>
      <c r="F77" s="85"/>
      <c r="G77" s="85"/>
      <c r="H77" s="85"/>
      <c r="I77" s="85"/>
      <c r="J77" s="85"/>
      <c r="K77" s="85"/>
      <c r="L77" s="85"/>
    </row>
    <row r="78" spans="3:8" ht="12.75">
      <c r="C78" s="88" t="s">
        <v>237</v>
      </c>
      <c r="D78" s="89"/>
      <c r="E78" s="89"/>
      <c r="G78" s="18">
        <v>10.857</v>
      </c>
      <c r="H78" s="76"/>
    </row>
    <row r="79" spans="2:12" ht="12.75">
      <c r="B79" s="12" t="s">
        <v>90</v>
      </c>
      <c r="C79" s="90" t="s">
        <v>220</v>
      </c>
      <c r="D79" s="91"/>
      <c r="E79" s="91"/>
      <c r="F79" s="91"/>
      <c r="G79" s="91"/>
      <c r="H79" s="91"/>
      <c r="I79" s="91"/>
      <c r="J79" s="91"/>
      <c r="K79" s="91"/>
      <c r="L79" s="91"/>
    </row>
    <row r="80" spans="1:62" ht="12.75">
      <c r="A80" s="4" t="s">
        <v>22</v>
      </c>
      <c r="B80" s="4" t="s">
        <v>103</v>
      </c>
      <c r="C80" s="78" t="s">
        <v>469</v>
      </c>
      <c r="D80" s="79"/>
      <c r="E80" s="79"/>
      <c r="F80" s="4" t="s">
        <v>320</v>
      </c>
      <c r="G80" s="17">
        <v>66.626</v>
      </c>
      <c r="H80" s="72"/>
      <c r="I80" s="17">
        <f>G80*AO80</f>
        <v>0</v>
      </c>
      <c r="J80" s="17">
        <f>G80*AP80</f>
        <v>0</v>
      </c>
      <c r="K80" s="17">
        <f>G80*H80</f>
        <v>0</v>
      </c>
      <c r="L80" s="28" t="s">
        <v>344</v>
      </c>
      <c r="Z80" s="33">
        <f>IF(AQ80="5",BJ80,0)</f>
        <v>0</v>
      </c>
      <c r="AB80" s="33">
        <f>IF(AQ80="1",BH80,0)</f>
        <v>0</v>
      </c>
      <c r="AC80" s="33">
        <f>IF(AQ80="1",BI80,0)</f>
        <v>0</v>
      </c>
      <c r="AD80" s="33">
        <f>IF(AQ80="7",BH80,0)</f>
        <v>0</v>
      </c>
      <c r="AE80" s="33">
        <f>IF(AQ80="7",BI80,0)</f>
        <v>0</v>
      </c>
      <c r="AF80" s="33">
        <f>IF(AQ80="2",BH80,0)</f>
        <v>0</v>
      </c>
      <c r="AG80" s="33">
        <f>IF(AQ80="2",BI80,0)</f>
        <v>0</v>
      </c>
      <c r="AH80" s="33">
        <f>IF(AQ80="0",BJ80,0)</f>
        <v>0</v>
      </c>
      <c r="AI80" s="29"/>
      <c r="AJ80" s="17">
        <f>IF(AN80=0,K80,0)</f>
        <v>0</v>
      </c>
      <c r="AK80" s="17">
        <f>IF(AN80=15,K80,0)</f>
        <v>0</v>
      </c>
      <c r="AL80" s="17">
        <f>IF(AN80=21,K80,0)</f>
        <v>0</v>
      </c>
      <c r="AN80" s="33">
        <v>21</v>
      </c>
      <c r="AO80" s="33">
        <f>H80*0.297580650702772</f>
        <v>0</v>
      </c>
      <c r="AP80" s="33">
        <f>H80*(1-0.297580650702772)</f>
        <v>0</v>
      </c>
      <c r="AQ80" s="28" t="s">
        <v>7</v>
      </c>
      <c r="AV80" s="33">
        <f>AW80+AX80</f>
        <v>0</v>
      </c>
      <c r="AW80" s="33">
        <f>G80*AO80</f>
        <v>0</v>
      </c>
      <c r="AX80" s="33">
        <f>G80*AP80</f>
        <v>0</v>
      </c>
      <c r="AY80" s="34" t="s">
        <v>356</v>
      </c>
      <c r="AZ80" s="34" t="s">
        <v>373</v>
      </c>
      <c r="BA80" s="29" t="s">
        <v>379</v>
      </c>
      <c r="BC80" s="33">
        <f>AW80+AX80</f>
        <v>0</v>
      </c>
      <c r="BD80" s="33">
        <f>H80/(100-BE80)*100</f>
        <v>0</v>
      </c>
      <c r="BE80" s="33">
        <v>0</v>
      </c>
      <c r="BF80" s="33">
        <f>80</f>
        <v>80</v>
      </c>
      <c r="BH80" s="17">
        <f>G80*AO80</f>
        <v>0</v>
      </c>
      <c r="BI80" s="17">
        <f>G80*AP80</f>
        <v>0</v>
      </c>
      <c r="BJ80" s="17">
        <f>G80*H80</f>
        <v>0</v>
      </c>
    </row>
    <row r="81" spans="2:12" ht="12.75">
      <c r="B81" s="13" t="s">
        <v>94</v>
      </c>
      <c r="C81" s="84" t="s">
        <v>217</v>
      </c>
      <c r="D81" s="85"/>
      <c r="E81" s="85"/>
      <c r="F81" s="85"/>
      <c r="G81" s="85"/>
      <c r="H81" s="85"/>
      <c r="I81" s="85"/>
      <c r="J81" s="85"/>
      <c r="K81" s="85"/>
      <c r="L81" s="85"/>
    </row>
    <row r="82" spans="3:8" ht="12.75">
      <c r="C82" s="88" t="s">
        <v>238</v>
      </c>
      <c r="D82" s="89"/>
      <c r="E82" s="89"/>
      <c r="G82" s="18">
        <v>21.31</v>
      </c>
      <c r="H82" s="76"/>
    </row>
    <row r="83" spans="3:8" ht="12.75">
      <c r="C83" s="88" t="s">
        <v>239</v>
      </c>
      <c r="D83" s="89"/>
      <c r="E83" s="89"/>
      <c r="G83" s="18">
        <v>20.476</v>
      </c>
      <c r="H83" s="76"/>
    </row>
    <row r="84" spans="3:8" ht="12.75">
      <c r="C84" s="88" t="s">
        <v>240</v>
      </c>
      <c r="D84" s="89"/>
      <c r="E84" s="89"/>
      <c r="G84" s="18">
        <v>24.84</v>
      </c>
      <c r="H84" s="76"/>
    </row>
    <row r="85" spans="1:62" ht="12.75">
      <c r="A85" s="4" t="s">
        <v>23</v>
      </c>
      <c r="B85" s="4" t="s">
        <v>104</v>
      </c>
      <c r="C85" s="78" t="s">
        <v>470</v>
      </c>
      <c r="D85" s="79"/>
      <c r="E85" s="79"/>
      <c r="F85" s="4" t="s">
        <v>321</v>
      </c>
      <c r="G85" s="17">
        <v>173.014</v>
      </c>
      <c r="H85" s="72"/>
      <c r="I85" s="17">
        <f>G85*AO85</f>
        <v>0</v>
      </c>
      <c r="J85" s="17">
        <f>G85*AP85</f>
        <v>0</v>
      </c>
      <c r="K85" s="17">
        <f>G85*H85</f>
        <v>0</v>
      </c>
      <c r="L85" s="28" t="s">
        <v>344</v>
      </c>
      <c r="Z85" s="33">
        <f>IF(AQ85="5",BJ85,0)</f>
        <v>0</v>
      </c>
      <c r="AB85" s="33">
        <f>IF(AQ85="1",BH85,0)</f>
        <v>0</v>
      </c>
      <c r="AC85" s="33">
        <f>IF(AQ85="1",BI85,0)</f>
        <v>0</v>
      </c>
      <c r="AD85" s="33">
        <f>IF(AQ85="7",BH85,0)</f>
        <v>0</v>
      </c>
      <c r="AE85" s="33">
        <f>IF(AQ85="7",BI85,0)</f>
        <v>0</v>
      </c>
      <c r="AF85" s="33">
        <f>IF(AQ85="2",BH85,0)</f>
        <v>0</v>
      </c>
      <c r="AG85" s="33">
        <f>IF(AQ85="2",BI85,0)</f>
        <v>0</v>
      </c>
      <c r="AH85" s="33">
        <f>IF(AQ85="0",BJ85,0)</f>
        <v>0</v>
      </c>
      <c r="AI85" s="29"/>
      <c r="AJ85" s="17">
        <f>IF(AN85=0,K85,0)</f>
        <v>0</v>
      </c>
      <c r="AK85" s="17">
        <f>IF(AN85=15,K85,0)</f>
        <v>0</v>
      </c>
      <c r="AL85" s="17">
        <f>IF(AN85=21,K85,0)</f>
        <v>0</v>
      </c>
      <c r="AN85" s="33">
        <v>21</v>
      </c>
      <c r="AO85" s="33">
        <f>H85*0.465487335600666</f>
        <v>0</v>
      </c>
      <c r="AP85" s="33">
        <f>H85*(1-0.465487335600666)</f>
        <v>0</v>
      </c>
      <c r="AQ85" s="28" t="s">
        <v>7</v>
      </c>
      <c r="AV85" s="33">
        <f>AW85+AX85</f>
        <v>0</v>
      </c>
      <c r="AW85" s="33">
        <f>G85*AO85</f>
        <v>0</v>
      </c>
      <c r="AX85" s="33">
        <f>G85*AP85</f>
        <v>0</v>
      </c>
      <c r="AY85" s="34" t="s">
        <v>356</v>
      </c>
      <c r="AZ85" s="34" t="s">
        <v>373</v>
      </c>
      <c r="BA85" s="29" t="s">
        <v>379</v>
      </c>
      <c r="BC85" s="33">
        <f>AW85+AX85</f>
        <v>0</v>
      </c>
      <c r="BD85" s="33">
        <f>H85/(100-BE85)*100</f>
        <v>0</v>
      </c>
      <c r="BE85" s="33">
        <v>0</v>
      </c>
      <c r="BF85" s="33">
        <f>85</f>
        <v>85</v>
      </c>
      <c r="BH85" s="17">
        <f>G85*AO85</f>
        <v>0</v>
      </c>
      <c r="BI85" s="17">
        <f>G85*AP85</f>
        <v>0</v>
      </c>
      <c r="BJ85" s="17">
        <f>G85*H85</f>
        <v>0</v>
      </c>
    </row>
    <row r="86" spans="1:62" ht="12.75">
      <c r="A86" s="4" t="s">
        <v>24</v>
      </c>
      <c r="B86" s="4" t="s">
        <v>105</v>
      </c>
      <c r="C86" s="78" t="s">
        <v>471</v>
      </c>
      <c r="D86" s="79"/>
      <c r="E86" s="79"/>
      <c r="F86" s="4" t="s">
        <v>320</v>
      </c>
      <c r="G86" s="17">
        <v>22.596</v>
      </c>
      <c r="H86" s="72"/>
      <c r="I86" s="17">
        <f>G86*AO86</f>
        <v>0</v>
      </c>
      <c r="J86" s="17">
        <f>G86*AP86</f>
        <v>0</v>
      </c>
      <c r="K86" s="17">
        <f>G86*H86</f>
        <v>0</v>
      </c>
      <c r="L86" s="28" t="s">
        <v>344</v>
      </c>
      <c r="Z86" s="33">
        <f>IF(AQ86="5",BJ86,0)</f>
        <v>0</v>
      </c>
      <c r="AB86" s="33">
        <f>IF(AQ86="1",BH86,0)</f>
        <v>0</v>
      </c>
      <c r="AC86" s="33">
        <f>IF(AQ86="1",BI86,0)</f>
        <v>0</v>
      </c>
      <c r="AD86" s="33">
        <f>IF(AQ86="7",BH86,0)</f>
        <v>0</v>
      </c>
      <c r="AE86" s="33">
        <f>IF(AQ86="7",BI86,0)</f>
        <v>0</v>
      </c>
      <c r="AF86" s="33">
        <f>IF(AQ86="2",BH86,0)</f>
        <v>0</v>
      </c>
      <c r="AG86" s="33">
        <f>IF(AQ86="2",BI86,0)</f>
        <v>0</v>
      </c>
      <c r="AH86" s="33">
        <f>IF(AQ86="0",BJ86,0)</f>
        <v>0</v>
      </c>
      <c r="AI86" s="29"/>
      <c r="AJ86" s="17">
        <f>IF(AN86=0,K86,0)</f>
        <v>0</v>
      </c>
      <c r="AK86" s="17">
        <f>IF(AN86=15,K86,0)</f>
        <v>0</v>
      </c>
      <c r="AL86" s="17">
        <f>IF(AN86=21,K86,0)</f>
        <v>0</v>
      </c>
      <c r="AN86" s="33">
        <v>21</v>
      </c>
      <c r="AO86" s="33">
        <f>H86*0.306312279707764</f>
        <v>0</v>
      </c>
      <c r="AP86" s="33">
        <f>H86*(1-0.306312279707764)</f>
        <v>0</v>
      </c>
      <c r="AQ86" s="28" t="s">
        <v>7</v>
      </c>
      <c r="AV86" s="33">
        <f>AW86+AX86</f>
        <v>0</v>
      </c>
      <c r="AW86" s="33">
        <f>G86*AO86</f>
        <v>0</v>
      </c>
      <c r="AX86" s="33">
        <f>G86*AP86</f>
        <v>0</v>
      </c>
      <c r="AY86" s="34" t="s">
        <v>356</v>
      </c>
      <c r="AZ86" s="34" t="s">
        <v>373</v>
      </c>
      <c r="BA86" s="29" t="s">
        <v>379</v>
      </c>
      <c r="BC86" s="33">
        <f>AW86+AX86</f>
        <v>0</v>
      </c>
      <c r="BD86" s="33">
        <f>H86/(100-BE86)*100</f>
        <v>0</v>
      </c>
      <c r="BE86" s="33">
        <v>0</v>
      </c>
      <c r="BF86" s="33">
        <f>86</f>
        <v>86</v>
      </c>
      <c r="BH86" s="17">
        <f>G86*AO86</f>
        <v>0</v>
      </c>
      <c r="BI86" s="17">
        <f>G86*AP86</f>
        <v>0</v>
      </c>
      <c r="BJ86" s="17">
        <f>G86*H86</f>
        <v>0</v>
      </c>
    </row>
    <row r="87" spans="3:8" ht="12.75">
      <c r="C87" s="88" t="s">
        <v>241</v>
      </c>
      <c r="D87" s="89"/>
      <c r="E87" s="89"/>
      <c r="G87" s="18">
        <v>22.596</v>
      </c>
      <c r="H87" s="76"/>
    </row>
    <row r="88" spans="1:62" ht="12.75">
      <c r="A88" s="4" t="s">
        <v>25</v>
      </c>
      <c r="B88" s="4" t="s">
        <v>106</v>
      </c>
      <c r="C88" s="78" t="s">
        <v>472</v>
      </c>
      <c r="D88" s="79"/>
      <c r="E88" s="79"/>
      <c r="F88" s="4" t="s">
        <v>321</v>
      </c>
      <c r="G88" s="17">
        <v>97.41</v>
      </c>
      <c r="H88" s="72"/>
      <c r="I88" s="17">
        <f aca="true" t="shared" si="0" ref="I88:I93">G88*AO88</f>
        <v>0</v>
      </c>
      <c r="J88" s="17">
        <f aca="true" t="shared" si="1" ref="J88:J93">G88*AP88</f>
        <v>0</v>
      </c>
      <c r="K88" s="17">
        <f aca="true" t="shared" si="2" ref="K88:K93">G88*H88</f>
        <v>0</v>
      </c>
      <c r="L88" s="28" t="s">
        <v>344</v>
      </c>
      <c r="Z88" s="33">
        <f aca="true" t="shared" si="3" ref="Z88:Z93">IF(AQ88="5",BJ88,0)</f>
        <v>0</v>
      </c>
      <c r="AB88" s="33">
        <f aca="true" t="shared" si="4" ref="AB88:AB93">IF(AQ88="1",BH88,0)</f>
        <v>0</v>
      </c>
      <c r="AC88" s="33">
        <f aca="true" t="shared" si="5" ref="AC88:AC93">IF(AQ88="1",BI88,0)</f>
        <v>0</v>
      </c>
      <c r="AD88" s="33">
        <f aca="true" t="shared" si="6" ref="AD88:AD93">IF(AQ88="7",BH88,0)</f>
        <v>0</v>
      </c>
      <c r="AE88" s="33">
        <f aca="true" t="shared" si="7" ref="AE88:AE93">IF(AQ88="7",BI88,0)</f>
        <v>0</v>
      </c>
      <c r="AF88" s="33">
        <f aca="true" t="shared" si="8" ref="AF88:AF93">IF(AQ88="2",BH88,0)</f>
        <v>0</v>
      </c>
      <c r="AG88" s="33">
        <f aca="true" t="shared" si="9" ref="AG88:AG93">IF(AQ88="2",BI88,0)</f>
        <v>0</v>
      </c>
      <c r="AH88" s="33">
        <f aca="true" t="shared" si="10" ref="AH88:AH93">IF(AQ88="0",BJ88,0)</f>
        <v>0</v>
      </c>
      <c r="AI88" s="29"/>
      <c r="AJ88" s="17">
        <f aca="true" t="shared" si="11" ref="AJ88:AJ93">IF(AN88=0,K88,0)</f>
        <v>0</v>
      </c>
      <c r="AK88" s="17">
        <f aca="true" t="shared" si="12" ref="AK88:AK93">IF(AN88=15,K88,0)</f>
        <v>0</v>
      </c>
      <c r="AL88" s="17">
        <f aca="true" t="shared" si="13" ref="AL88:AL93">IF(AN88=21,K88,0)</f>
        <v>0</v>
      </c>
      <c r="AN88" s="33">
        <v>21</v>
      </c>
      <c r="AO88" s="33">
        <f>H88*0.723184168868975</f>
        <v>0</v>
      </c>
      <c r="AP88" s="33">
        <f>H88*(1-0.723184168868975)</f>
        <v>0</v>
      </c>
      <c r="AQ88" s="28" t="s">
        <v>7</v>
      </c>
      <c r="AV88" s="33">
        <f aca="true" t="shared" si="14" ref="AV88:AV93">AW88+AX88</f>
        <v>0</v>
      </c>
      <c r="AW88" s="33">
        <f aca="true" t="shared" si="15" ref="AW88:AW93">G88*AO88</f>
        <v>0</v>
      </c>
      <c r="AX88" s="33">
        <f aca="true" t="shared" si="16" ref="AX88:AX93">G88*AP88</f>
        <v>0</v>
      </c>
      <c r="AY88" s="34" t="s">
        <v>356</v>
      </c>
      <c r="AZ88" s="34" t="s">
        <v>373</v>
      </c>
      <c r="BA88" s="29" t="s">
        <v>379</v>
      </c>
      <c r="BC88" s="33">
        <f aca="true" t="shared" si="17" ref="BC88:BC93">AW88+AX88</f>
        <v>0</v>
      </c>
      <c r="BD88" s="33">
        <f aca="true" t="shared" si="18" ref="BD88:BD93">H88/(100-BE88)*100</f>
        <v>0</v>
      </c>
      <c r="BE88" s="33">
        <v>0</v>
      </c>
      <c r="BF88" s="33">
        <f>88</f>
        <v>88</v>
      </c>
      <c r="BH88" s="17">
        <f aca="true" t="shared" si="19" ref="BH88:BH93">G88*AO88</f>
        <v>0</v>
      </c>
      <c r="BI88" s="17">
        <f aca="true" t="shared" si="20" ref="BI88:BI93">G88*AP88</f>
        <v>0</v>
      </c>
      <c r="BJ88" s="17">
        <f aca="true" t="shared" si="21" ref="BJ88:BJ93">G88*H88</f>
        <v>0</v>
      </c>
    </row>
    <row r="89" spans="1:62" ht="12.75">
      <c r="A89" s="4" t="s">
        <v>26</v>
      </c>
      <c r="B89" s="4" t="s">
        <v>107</v>
      </c>
      <c r="C89" s="78" t="s">
        <v>242</v>
      </c>
      <c r="D89" s="79"/>
      <c r="E89" s="79"/>
      <c r="F89" s="4" t="s">
        <v>321</v>
      </c>
      <c r="G89" s="17">
        <v>126.23</v>
      </c>
      <c r="H89" s="72"/>
      <c r="I89" s="17">
        <f t="shared" si="0"/>
        <v>0</v>
      </c>
      <c r="J89" s="17">
        <f t="shared" si="1"/>
        <v>0</v>
      </c>
      <c r="K89" s="17">
        <f t="shared" si="2"/>
        <v>0</v>
      </c>
      <c r="L89" s="28" t="s">
        <v>344</v>
      </c>
      <c r="Z89" s="33">
        <f t="shared" si="3"/>
        <v>0</v>
      </c>
      <c r="AB89" s="33">
        <f t="shared" si="4"/>
        <v>0</v>
      </c>
      <c r="AC89" s="33">
        <f t="shared" si="5"/>
        <v>0</v>
      </c>
      <c r="AD89" s="33">
        <f t="shared" si="6"/>
        <v>0</v>
      </c>
      <c r="AE89" s="33">
        <f t="shared" si="7"/>
        <v>0</v>
      </c>
      <c r="AF89" s="33">
        <f t="shared" si="8"/>
        <v>0</v>
      </c>
      <c r="AG89" s="33">
        <f t="shared" si="9"/>
        <v>0</v>
      </c>
      <c r="AH89" s="33">
        <f t="shared" si="10"/>
        <v>0</v>
      </c>
      <c r="AI89" s="29"/>
      <c r="AJ89" s="17">
        <f t="shared" si="11"/>
        <v>0</v>
      </c>
      <c r="AK89" s="17">
        <f t="shared" si="12"/>
        <v>0</v>
      </c>
      <c r="AL89" s="17">
        <f t="shared" si="13"/>
        <v>0</v>
      </c>
      <c r="AN89" s="33">
        <v>21</v>
      </c>
      <c r="AO89" s="33">
        <f>H89*0.270801039294056</f>
        <v>0</v>
      </c>
      <c r="AP89" s="33">
        <f>H89*(1-0.270801039294056)</f>
        <v>0</v>
      </c>
      <c r="AQ89" s="28" t="s">
        <v>7</v>
      </c>
      <c r="AV89" s="33">
        <f t="shared" si="14"/>
        <v>0</v>
      </c>
      <c r="AW89" s="33">
        <f t="shared" si="15"/>
        <v>0</v>
      </c>
      <c r="AX89" s="33">
        <f t="shared" si="16"/>
        <v>0</v>
      </c>
      <c r="AY89" s="34" t="s">
        <v>356</v>
      </c>
      <c r="AZ89" s="34" t="s">
        <v>373</v>
      </c>
      <c r="BA89" s="29" t="s">
        <v>379</v>
      </c>
      <c r="BC89" s="33">
        <f t="shared" si="17"/>
        <v>0</v>
      </c>
      <c r="BD89" s="33">
        <f t="shared" si="18"/>
        <v>0</v>
      </c>
      <c r="BE89" s="33">
        <v>0</v>
      </c>
      <c r="BF89" s="33">
        <f>89</f>
        <v>89</v>
      </c>
      <c r="BH89" s="17">
        <f t="shared" si="19"/>
        <v>0</v>
      </c>
      <c r="BI89" s="17">
        <f t="shared" si="20"/>
        <v>0</v>
      </c>
      <c r="BJ89" s="17">
        <f t="shared" si="21"/>
        <v>0</v>
      </c>
    </row>
    <row r="90" spans="1:62" ht="12.75">
      <c r="A90" s="4" t="s">
        <v>27</v>
      </c>
      <c r="B90" s="4" t="s">
        <v>108</v>
      </c>
      <c r="C90" s="78" t="s">
        <v>243</v>
      </c>
      <c r="D90" s="79"/>
      <c r="E90" s="79"/>
      <c r="F90" s="4" t="s">
        <v>321</v>
      </c>
      <c r="G90" s="17">
        <v>192.2</v>
      </c>
      <c r="H90" s="72"/>
      <c r="I90" s="17">
        <f t="shared" si="0"/>
        <v>0</v>
      </c>
      <c r="J90" s="17">
        <f t="shared" si="1"/>
        <v>0</v>
      </c>
      <c r="K90" s="17">
        <f t="shared" si="2"/>
        <v>0</v>
      </c>
      <c r="L90" s="28" t="s">
        <v>344</v>
      </c>
      <c r="Z90" s="33">
        <f t="shared" si="3"/>
        <v>0</v>
      </c>
      <c r="AB90" s="33">
        <f t="shared" si="4"/>
        <v>0</v>
      </c>
      <c r="AC90" s="33">
        <f t="shared" si="5"/>
        <v>0</v>
      </c>
      <c r="AD90" s="33">
        <f t="shared" si="6"/>
        <v>0</v>
      </c>
      <c r="AE90" s="33">
        <f t="shared" si="7"/>
        <v>0</v>
      </c>
      <c r="AF90" s="33">
        <f t="shared" si="8"/>
        <v>0</v>
      </c>
      <c r="AG90" s="33">
        <f t="shared" si="9"/>
        <v>0</v>
      </c>
      <c r="AH90" s="33">
        <f t="shared" si="10"/>
        <v>0</v>
      </c>
      <c r="AI90" s="29"/>
      <c r="AJ90" s="17">
        <f t="shared" si="11"/>
        <v>0</v>
      </c>
      <c r="AK90" s="17">
        <f t="shared" si="12"/>
        <v>0</v>
      </c>
      <c r="AL90" s="17">
        <f t="shared" si="13"/>
        <v>0</v>
      </c>
      <c r="AN90" s="33">
        <v>21</v>
      </c>
      <c r="AO90" s="33">
        <f>H90*0.240880059943268</f>
        <v>0</v>
      </c>
      <c r="AP90" s="33">
        <f>H90*(1-0.240880059943268)</f>
        <v>0</v>
      </c>
      <c r="AQ90" s="28" t="s">
        <v>7</v>
      </c>
      <c r="AV90" s="33">
        <f t="shared" si="14"/>
        <v>0</v>
      </c>
      <c r="AW90" s="33">
        <f t="shared" si="15"/>
        <v>0</v>
      </c>
      <c r="AX90" s="33">
        <f t="shared" si="16"/>
        <v>0</v>
      </c>
      <c r="AY90" s="34" t="s">
        <v>356</v>
      </c>
      <c r="AZ90" s="34" t="s">
        <v>373</v>
      </c>
      <c r="BA90" s="29" t="s">
        <v>379</v>
      </c>
      <c r="BC90" s="33">
        <f t="shared" si="17"/>
        <v>0</v>
      </c>
      <c r="BD90" s="33">
        <f t="shared" si="18"/>
        <v>0</v>
      </c>
      <c r="BE90" s="33">
        <v>0</v>
      </c>
      <c r="BF90" s="33">
        <f>90</f>
        <v>90</v>
      </c>
      <c r="BH90" s="17">
        <f t="shared" si="19"/>
        <v>0</v>
      </c>
      <c r="BI90" s="17">
        <f t="shared" si="20"/>
        <v>0</v>
      </c>
      <c r="BJ90" s="17">
        <f t="shared" si="21"/>
        <v>0</v>
      </c>
    </row>
    <row r="91" spans="1:62" ht="12.75">
      <c r="A91" s="4" t="s">
        <v>28</v>
      </c>
      <c r="B91" s="4" t="s">
        <v>109</v>
      </c>
      <c r="C91" s="78" t="s">
        <v>244</v>
      </c>
      <c r="D91" s="79"/>
      <c r="E91" s="79"/>
      <c r="F91" s="4" t="s">
        <v>321</v>
      </c>
      <c r="G91" s="17">
        <v>19.84</v>
      </c>
      <c r="H91" s="72"/>
      <c r="I91" s="17">
        <f t="shared" si="0"/>
        <v>0</v>
      </c>
      <c r="J91" s="17">
        <f t="shared" si="1"/>
        <v>0</v>
      </c>
      <c r="K91" s="17">
        <f t="shared" si="2"/>
        <v>0</v>
      </c>
      <c r="L91" s="28" t="s">
        <v>344</v>
      </c>
      <c r="Z91" s="33">
        <f t="shared" si="3"/>
        <v>0</v>
      </c>
      <c r="AB91" s="33">
        <f t="shared" si="4"/>
        <v>0</v>
      </c>
      <c r="AC91" s="33">
        <f t="shared" si="5"/>
        <v>0</v>
      </c>
      <c r="AD91" s="33">
        <f t="shared" si="6"/>
        <v>0</v>
      </c>
      <c r="AE91" s="33">
        <f t="shared" si="7"/>
        <v>0</v>
      </c>
      <c r="AF91" s="33">
        <f t="shared" si="8"/>
        <v>0</v>
      </c>
      <c r="AG91" s="33">
        <f t="shared" si="9"/>
        <v>0</v>
      </c>
      <c r="AH91" s="33">
        <f t="shared" si="10"/>
        <v>0</v>
      </c>
      <c r="AI91" s="29"/>
      <c r="AJ91" s="17">
        <f t="shared" si="11"/>
        <v>0</v>
      </c>
      <c r="AK91" s="17">
        <f t="shared" si="12"/>
        <v>0</v>
      </c>
      <c r="AL91" s="17">
        <f t="shared" si="13"/>
        <v>0</v>
      </c>
      <c r="AN91" s="33">
        <v>21</v>
      </c>
      <c r="AO91" s="33">
        <f>H91*0.698894510594591</f>
        <v>0</v>
      </c>
      <c r="AP91" s="33">
        <f>H91*(1-0.698894510594591)</f>
        <v>0</v>
      </c>
      <c r="AQ91" s="28" t="s">
        <v>7</v>
      </c>
      <c r="AV91" s="33">
        <f t="shared" si="14"/>
        <v>0</v>
      </c>
      <c r="AW91" s="33">
        <f t="shared" si="15"/>
        <v>0</v>
      </c>
      <c r="AX91" s="33">
        <f t="shared" si="16"/>
        <v>0</v>
      </c>
      <c r="AY91" s="34" t="s">
        <v>356</v>
      </c>
      <c r="AZ91" s="34" t="s">
        <v>373</v>
      </c>
      <c r="BA91" s="29" t="s">
        <v>379</v>
      </c>
      <c r="BC91" s="33">
        <f t="shared" si="17"/>
        <v>0</v>
      </c>
      <c r="BD91" s="33">
        <f t="shared" si="18"/>
        <v>0</v>
      </c>
      <c r="BE91" s="33">
        <v>0</v>
      </c>
      <c r="BF91" s="33">
        <f>91</f>
        <v>91</v>
      </c>
      <c r="BH91" s="17">
        <f t="shared" si="19"/>
        <v>0</v>
      </c>
      <c r="BI91" s="17">
        <f t="shared" si="20"/>
        <v>0</v>
      </c>
      <c r="BJ91" s="17">
        <f t="shared" si="21"/>
        <v>0</v>
      </c>
    </row>
    <row r="92" spans="1:62" ht="12.75">
      <c r="A92" s="4" t="s">
        <v>29</v>
      </c>
      <c r="B92" s="4" t="s">
        <v>110</v>
      </c>
      <c r="C92" s="78" t="s">
        <v>245</v>
      </c>
      <c r="D92" s="79"/>
      <c r="E92" s="79"/>
      <c r="F92" s="4" t="s">
        <v>321</v>
      </c>
      <c r="G92" s="17">
        <v>112.98</v>
      </c>
      <c r="H92" s="72"/>
      <c r="I92" s="17">
        <f t="shared" si="0"/>
        <v>0</v>
      </c>
      <c r="J92" s="17">
        <f t="shared" si="1"/>
        <v>0</v>
      </c>
      <c r="K92" s="17">
        <f t="shared" si="2"/>
        <v>0</v>
      </c>
      <c r="L92" s="28" t="s">
        <v>344</v>
      </c>
      <c r="Z92" s="33">
        <f t="shared" si="3"/>
        <v>0</v>
      </c>
      <c r="AB92" s="33">
        <f t="shared" si="4"/>
        <v>0</v>
      </c>
      <c r="AC92" s="33">
        <f t="shared" si="5"/>
        <v>0</v>
      </c>
      <c r="AD92" s="33">
        <f t="shared" si="6"/>
        <v>0</v>
      </c>
      <c r="AE92" s="33">
        <f t="shared" si="7"/>
        <v>0</v>
      </c>
      <c r="AF92" s="33">
        <f t="shared" si="8"/>
        <v>0</v>
      </c>
      <c r="AG92" s="33">
        <f t="shared" si="9"/>
        <v>0</v>
      </c>
      <c r="AH92" s="33">
        <f t="shared" si="10"/>
        <v>0</v>
      </c>
      <c r="AI92" s="29"/>
      <c r="AJ92" s="17">
        <f t="shared" si="11"/>
        <v>0</v>
      </c>
      <c r="AK92" s="17">
        <f t="shared" si="12"/>
        <v>0</v>
      </c>
      <c r="AL92" s="17">
        <f t="shared" si="13"/>
        <v>0</v>
      </c>
      <c r="AN92" s="33">
        <v>21</v>
      </c>
      <c r="AO92" s="33">
        <f>H92*0.25955903302147</f>
        <v>0</v>
      </c>
      <c r="AP92" s="33">
        <f>H92*(1-0.25955903302147)</f>
        <v>0</v>
      </c>
      <c r="AQ92" s="28" t="s">
        <v>7</v>
      </c>
      <c r="AV92" s="33">
        <f t="shared" si="14"/>
        <v>0</v>
      </c>
      <c r="AW92" s="33">
        <f t="shared" si="15"/>
        <v>0</v>
      </c>
      <c r="AX92" s="33">
        <f t="shared" si="16"/>
        <v>0</v>
      </c>
      <c r="AY92" s="34" t="s">
        <v>356</v>
      </c>
      <c r="AZ92" s="34" t="s">
        <v>373</v>
      </c>
      <c r="BA92" s="29" t="s">
        <v>379</v>
      </c>
      <c r="BC92" s="33">
        <f t="shared" si="17"/>
        <v>0</v>
      </c>
      <c r="BD92" s="33">
        <f t="shared" si="18"/>
        <v>0</v>
      </c>
      <c r="BE92" s="33">
        <v>0</v>
      </c>
      <c r="BF92" s="33">
        <f>92</f>
        <v>92</v>
      </c>
      <c r="BH92" s="17">
        <f t="shared" si="19"/>
        <v>0</v>
      </c>
      <c r="BI92" s="17">
        <f t="shared" si="20"/>
        <v>0</v>
      </c>
      <c r="BJ92" s="17">
        <f t="shared" si="21"/>
        <v>0</v>
      </c>
    </row>
    <row r="93" spans="1:62" ht="12.75">
      <c r="A93" s="4" t="s">
        <v>30</v>
      </c>
      <c r="B93" s="4" t="s">
        <v>111</v>
      </c>
      <c r="C93" s="78" t="s">
        <v>246</v>
      </c>
      <c r="D93" s="79"/>
      <c r="E93" s="79"/>
      <c r="F93" s="4" t="s">
        <v>320</v>
      </c>
      <c r="G93" s="17">
        <v>1069.1531</v>
      </c>
      <c r="H93" s="17"/>
      <c r="I93" s="17">
        <f t="shared" si="0"/>
        <v>0</v>
      </c>
      <c r="J93" s="17">
        <f t="shared" si="1"/>
        <v>0</v>
      </c>
      <c r="K93" s="17">
        <f t="shared" si="2"/>
        <v>0</v>
      </c>
      <c r="L93" s="28" t="s">
        <v>344</v>
      </c>
      <c r="Z93" s="33">
        <f t="shared" si="3"/>
        <v>0</v>
      </c>
      <c r="AB93" s="33">
        <f t="shared" si="4"/>
        <v>0</v>
      </c>
      <c r="AC93" s="33">
        <f t="shared" si="5"/>
        <v>0</v>
      </c>
      <c r="AD93" s="33">
        <f t="shared" si="6"/>
        <v>0</v>
      </c>
      <c r="AE93" s="33">
        <f t="shared" si="7"/>
        <v>0</v>
      </c>
      <c r="AF93" s="33">
        <f t="shared" si="8"/>
        <v>0</v>
      </c>
      <c r="AG93" s="33">
        <f t="shared" si="9"/>
        <v>0</v>
      </c>
      <c r="AH93" s="33">
        <f t="shared" si="10"/>
        <v>0</v>
      </c>
      <c r="AI93" s="29"/>
      <c r="AJ93" s="17">
        <f t="shared" si="11"/>
        <v>0</v>
      </c>
      <c r="AK93" s="17">
        <f t="shared" si="12"/>
        <v>0</v>
      </c>
      <c r="AL93" s="17">
        <f t="shared" si="13"/>
        <v>0</v>
      </c>
      <c r="AN93" s="33">
        <v>21</v>
      </c>
      <c r="AO93" s="33">
        <f>H93*0.0655405441854865</f>
        <v>0</v>
      </c>
      <c r="AP93" s="33">
        <f>H93*(1-0.0655405441854865)</f>
        <v>0</v>
      </c>
      <c r="AQ93" s="28" t="s">
        <v>7</v>
      </c>
      <c r="AV93" s="33">
        <f t="shared" si="14"/>
        <v>0</v>
      </c>
      <c r="AW93" s="33">
        <f t="shared" si="15"/>
        <v>0</v>
      </c>
      <c r="AX93" s="33">
        <f t="shared" si="16"/>
        <v>0</v>
      </c>
      <c r="AY93" s="34" t="s">
        <v>356</v>
      </c>
      <c r="AZ93" s="34" t="s">
        <v>373</v>
      </c>
      <c r="BA93" s="29" t="s">
        <v>379</v>
      </c>
      <c r="BC93" s="33">
        <f t="shared" si="17"/>
        <v>0</v>
      </c>
      <c r="BD93" s="33">
        <f t="shared" si="18"/>
        <v>0</v>
      </c>
      <c r="BE93" s="33">
        <v>0</v>
      </c>
      <c r="BF93" s="33">
        <f>93</f>
        <v>93</v>
      </c>
      <c r="BH93" s="17">
        <f t="shared" si="19"/>
        <v>0</v>
      </c>
      <c r="BI93" s="17">
        <f t="shared" si="20"/>
        <v>0</v>
      </c>
      <c r="BJ93" s="17">
        <f t="shared" si="21"/>
        <v>0</v>
      </c>
    </row>
    <row r="94" spans="1:47" ht="12.75">
      <c r="A94" s="5"/>
      <c r="B94" s="14" t="s">
        <v>112</v>
      </c>
      <c r="C94" s="82" t="s">
        <v>247</v>
      </c>
      <c r="D94" s="83"/>
      <c r="E94" s="83"/>
      <c r="F94" s="5" t="s">
        <v>6</v>
      </c>
      <c r="G94" s="5" t="s">
        <v>6</v>
      </c>
      <c r="H94" s="5" t="s">
        <v>6</v>
      </c>
      <c r="I94" s="36">
        <f>SUM(I95:I95)</f>
        <v>0</v>
      </c>
      <c r="J94" s="36">
        <f>SUM(J95:J95)</f>
        <v>0</v>
      </c>
      <c r="K94" s="36">
        <f>SUM(K95:K95)</f>
        <v>0</v>
      </c>
      <c r="L94" s="29"/>
      <c r="AI94" s="29"/>
      <c r="AS94" s="36">
        <f>SUM(AJ95:AJ95)</f>
        <v>0</v>
      </c>
      <c r="AT94" s="36">
        <f>SUM(AK95:AK95)</f>
        <v>0</v>
      </c>
      <c r="AU94" s="36">
        <f>SUM(AL95:AL95)</f>
        <v>0</v>
      </c>
    </row>
    <row r="95" spans="1:62" ht="12.75">
      <c r="A95" s="4" t="s">
        <v>31</v>
      </c>
      <c r="B95" s="4" t="s">
        <v>113</v>
      </c>
      <c r="C95" s="78" t="s">
        <v>248</v>
      </c>
      <c r="D95" s="79"/>
      <c r="E95" s="79"/>
      <c r="F95" s="4" t="s">
        <v>320</v>
      </c>
      <c r="G95" s="17">
        <v>88.114</v>
      </c>
      <c r="H95" s="72"/>
      <c r="I95" s="17">
        <f>G95*AO95</f>
        <v>0</v>
      </c>
      <c r="J95" s="17">
        <f>G95*AP95</f>
        <v>0</v>
      </c>
      <c r="K95" s="17">
        <f>G95*H95</f>
        <v>0</v>
      </c>
      <c r="L95" s="28"/>
      <c r="Z95" s="33">
        <f>IF(AQ95="5",BJ95,0)</f>
        <v>0</v>
      </c>
      <c r="AB95" s="33">
        <f>IF(AQ95="1",BH95,0)</f>
        <v>0</v>
      </c>
      <c r="AC95" s="33">
        <f>IF(AQ95="1",BI95,0)</f>
        <v>0</v>
      </c>
      <c r="AD95" s="33">
        <f>IF(AQ95="7",BH95,0)</f>
        <v>0</v>
      </c>
      <c r="AE95" s="33">
        <f>IF(AQ95="7",BI95,0)</f>
        <v>0</v>
      </c>
      <c r="AF95" s="33">
        <f>IF(AQ95="2",BH95,0)</f>
        <v>0</v>
      </c>
      <c r="AG95" s="33">
        <f>IF(AQ95="2",BI95,0)</f>
        <v>0</v>
      </c>
      <c r="AH95" s="33">
        <f>IF(AQ95="0",BJ95,0)</f>
        <v>0</v>
      </c>
      <c r="AI95" s="29"/>
      <c r="AJ95" s="17">
        <f>IF(AN95=0,K95,0)</f>
        <v>0</v>
      </c>
      <c r="AK95" s="17">
        <f>IF(AN95=15,K95,0)</f>
        <v>0</v>
      </c>
      <c r="AL95" s="17">
        <f>IF(AN95=21,K95,0)</f>
        <v>0</v>
      </c>
      <c r="AN95" s="33">
        <v>21</v>
      </c>
      <c r="AO95" s="33">
        <f>H95*0</f>
        <v>0</v>
      </c>
      <c r="AP95" s="33">
        <f>H95*(1-0)</f>
        <v>0</v>
      </c>
      <c r="AQ95" s="28" t="s">
        <v>7</v>
      </c>
      <c r="AV95" s="33">
        <f>AW95+AX95</f>
        <v>0</v>
      </c>
      <c r="AW95" s="33">
        <f>G95*AO95</f>
        <v>0</v>
      </c>
      <c r="AX95" s="33">
        <f>G95*AP95</f>
        <v>0</v>
      </c>
      <c r="AY95" s="34" t="s">
        <v>357</v>
      </c>
      <c r="AZ95" s="34" t="s">
        <v>373</v>
      </c>
      <c r="BA95" s="29" t="s">
        <v>379</v>
      </c>
      <c r="BC95" s="33">
        <f>AW95+AX95</f>
        <v>0</v>
      </c>
      <c r="BD95" s="33">
        <f>H95/(100-BE95)*100</f>
        <v>0</v>
      </c>
      <c r="BE95" s="33">
        <v>0</v>
      </c>
      <c r="BF95" s="33">
        <f>95</f>
        <v>95</v>
      </c>
      <c r="BH95" s="17">
        <f>G95*AO95</f>
        <v>0</v>
      </c>
      <c r="BI95" s="17">
        <f>G95*AP95</f>
        <v>0</v>
      </c>
      <c r="BJ95" s="17">
        <f>G95*H95</f>
        <v>0</v>
      </c>
    </row>
    <row r="96" spans="3:8" ht="12.75">
      <c r="C96" s="88" t="s">
        <v>249</v>
      </c>
      <c r="D96" s="89"/>
      <c r="E96" s="89"/>
      <c r="G96" s="18">
        <v>61.588</v>
      </c>
      <c r="H96" s="76"/>
    </row>
    <row r="97" spans="3:8" ht="12.75">
      <c r="C97" s="88" t="s">
        <v>250</v>
      </c>
      <c r="D97" s="89"/>
      <c r="E97" s="89"/>
      <c r="G97" s="18">
        <v>26.526</v>
      </c>
      <c r="H97" s="76"/>
    </row>
    <row r="98" spans="2:12" ht="12.75">
      <c r="B98" s="12" t="s">
        <v>90</v>
      </c>
      <c r="C98" s="90" t="s">
        <v>251</v>
      </c>
      <c r="D98" s="91"/>
      <c r="E98" s="91"/>
      <c r="F98" s="91"/>
      <c r="G98" s="91"/>
      <c r="H98" s="91"/>
      <c r="I98" s="91"/>
      <c r="J98" s="91"/>
      <c r="K98" s="91"/>
      <c r="L98" s="91"/>
    </row>
    <row r="99" spans="1:47" ht="12.75">
      <c r="A99" s="5"/>
      <c r="B99" s="14" t="s">
        <v>69</v>
      </c>
      <c r="C99" s="82" t="s">
        <v>252</v>
      </c>
      <c r="D99" s="83"/>
      <c r="E99" s="83"/>
      <c r="F99" s="5" t="s">
        <v>6</v>
      </c>
      <c r="G99" s="5" t="s">
        <v>6</v>
      </c>
      <c r="H99" s="5" t="s">
        <v>6</v>
      </c>
      <c r="I99" s="36">
        <f>SUM(I100:I100)</f>
        <v>0</v>
      </c>
      <c r="J99" s="36">
        <f>SUM(J100:J100)</f>
        <v>0</v>
      </c>
      <c r="K99" s="36">
        <f>SUM(K100:K100)</f>
        <v>0</v>
      </c>
      <c r="L99" s="29"/>
      <c r="AI99" s="29"/>
      <c r="AS99" s="36">
        <f>SUM(AJ100:AJ100)</f>
        <v>0</v>
      </c>
      <c r="AT99" s="36">
        <f>SUM(AK100:AK100)</f>
        <v>0</v>
      </c>
      <c r="AU99" s="36">
        <f>SUM(AL100:AL100)</f>
        <v>0</v>
      </c>
    </row>
    <row r="100" spans="1:62" ht="12.75">
      <c r="A100" s="4" t="s">
        <v>32</v>
      </c>
      <c r="B100" s="4" t="s">
        <v>114</v>
      </c>
      <c r="C100" s="78" t="s">
        <v>253</v>
      </c>
      <c r="D100" s="79"/>
      <c r="E100" s="79"/>
      <c r="F100" s="4" t="s">
        <v>322</v>
      </c>
      <c r="G100" s="17">
        <v>42.981</v>
      </c>
      <c r="H100" s="72"/>
      <c r="I100" s="17">
        <f>G100*AO100</f>
        <v>0</v>
      </c>
      <c r="J100" s="17">
        <f>G100*AP100</f>
        <v>0</v>
      </c>
      <c r="K100" s="17">
        <f>G100*H100</f>
        <v>0</v>
      </c>
      <c r="L100" s="28" t="s">
        <v>344</v>
      </c>
      <c r="Z100" s="33">
        <f>IF(AQ100="5",BJ100,0)</f>
        <v>0</v>
      </c>
      <c r="AB100" s="33">
        <f>IF(AQ100="1",BH100,0)</f>
        <v>0</v>
      </c>
      <c r="AC100" s="33">
        <f>IF(AQ100="1",BI100,0)</f>
        <v>0</v>
      </c>
      <c r="AD100" s="33">
        <f>IF(AQ100="7",BH100,0)</f>
        <v>0</v>
      </c>
      <c r="AE100" s="33">
        <f>IF(AQ100="7",BI100,0)</f>
        <v>0</v>
      </c>
      <c r="AF100" s="33">
        <f>IF(AQ100="2",BH100,0)</f>
        <v>0</v>
      </c>
      <c r="AG100" s="33">
        <f>IF(AQ100="2",BI100,0)</f>
        <v>0</v>
      </c>
      <c r="AH100" s="33">
        <f>IF(AQ100="0",BJ100,0)</f>
        <v>0</v>
      </c>
      <c r="AI100" s="29"/>
      <c r="AJ100" s="17">
        <f>IF(AN100=0,K100,0)</f>
        <v>0</v>
      </c>
      <c r="AK100" s="17">
        <f>IF(AN100=15,K100,0)</f>
        <v>0</v>
      </c>
      <c r="AL100" s="17">
        <f>IF(AN100=21,K100,0)</f>
        <v>0</v>
      </c>
      <c r="AN100" s="33">
        <v>21</v>
      </c>
      <c r="AO100" s="33">
        <f>H100*0.755992470894838</f>
        <v>0</v>
      </c>
      <c r="AP100" s="33">
        <f>H100*(1-0.755992470894838)</f>
        <v>0</v>
      </c>
      <c r="AQ100" s="28" t="s">
        <v>7</v>
      </c>
      <c r="AV100" s="33">
        <f>AW100+AX100</f>
        <v>0</v>
      </c>
      <c r="AW100" s="33">
        <f>G100*AO100</f>
        <v>0</v>
      </c>
      <c r="AX100" s="33">
        <f>G100*AP100</f>
        <v>0</v>
      </c>
      <c r="AY100" s="34" t="s">
        <v>358</v>
      </c>
      <c r="AZ100" s="34" t="s">
        <v>373</v>
      </c>
      <c r="BA100" s="29" t="s">
        <v>379</v>
      </c>
      <c r="BC100" s="33">
        <f>AW100+AX100</f>
        <v>0</v>
      </c>
      <c r="BD100" s="33">
        <f>H100/(100-BE100)*100</f>
        <v>0</v>
      </c>
      <c r="BE100" s="33">
        <v>0</v>
      </c>
      <c r="BF100" s="33">
        <f>100</f>
        <v>100</v>
      </c>
      <c r="BH100" s="17">
        <f>G100*AO100</f>
        <v>0</v>
      </c>
      <c r="BI100" s="17">
        <f>G100*AP100</f>
        <v>0</v>
      </c>
      <c r="BJ100" s="17">
        <f>G100*H100</f>
        <v>0</v>
      </c>
    </row>
    <row r="101" spans="3:8" ht="12.75">
      <c r="C101" s="88" t="s">
        <v>254</v>
      </c>
      <c r="D101" s="89"/>
      <c r="E101" s="89"/>
      <c r="G101" s="18">
        <v>42.981</v>
      </c>
      <c r="H101" s="76"/>
    </row>
    <row r="102" spans="1:47" ht="12.75">
      <c r="A102" s="5"/>
      <c r="B102" s="14" t="s">
        <v>70</v>
      </c>
      <c r="C102" s="82" t="s">
        <v>255</v>
      </c>
      <c r="D102" s="83"/>
      <c r="E102" s="83"/>
      <c r="F102" s="5" t="s">
        <v>6</v>
      </c>
      <c r="G102" s="5" t="s">
        <v>6</v>
      </c>
      <c r="H102" s="5" t="s">
        <v>6</v>
      </c>
      <c r="I102" s="36">
        <f>SUM(I103:I103)</f>
        <v>0</v>
      </c>
      <c r="J102" s="36">
        <f>SUM(J103:J103)</f>
        <v>0</v>
      </c>
      <c r="K102" s="36">
        <f>SUM(K103:K103)</f>
        <v>0</v>
      </c>
      <c r="L102" s="29"/>
      <c r="AI102" s="29"/>
      <c r="AS102" s="36">
        <f>SUM(AJ103:AJ103)</f>
        <v>0</v>
      </c>
      <c r="AT102" s="36">
        <f>SUM(AK103:AK103)</f>
        <v>0</v>
      </c>
      <c r="AU102" s="36">
        <f>SUM(AL103:AL103)</f>
        <v>0</v>
      </c>
    </row>
    <row r="103" spans="1:62" ht="12.75">
      <c r="A103" s="4" t="s">
        <v>33</v>
      </c>
      <c r="B103" s="4" t="s">
        <v>115</v>
      </c>
      <c r="C103" s="78" t="s">
        <v>256</v>
      </c>
      <c r="D103" s="79"/>
      <c r="E103" s="79"/>
      <c r="F103" s="4" t="s">
        <v>321</v>
      </c>
      <c r="G103" s="17">
        <v>324.6</v>
      </c>
      <c r="H103" s="72"/>
      <c r="I103" s="17">
        <f>G103*AO103</f>
        <v>0</v>
      </c>
      <c r="J103" s="17">
        <f>G103*AP103</f>
        <v>0</v>
      </c>
      <c r="K103" s="17">
        <f>G103*H103</f>
        <v>0</v>
      </c>
      <c r="L103" s="28" t="s">
        <v>344</v>
      </c>
      <c r="Z103" s="33">
        <f>IF(AQ103="5",BJ103,0)</f>
        <v>0</v>
      </c>
      <c r="AB103" s="33">
        <f>IF(AQ103="1",BH103,0)</f>
        <v>0</v>
      </c>
      <c r="AC103" s="33">
        <f>IF(AQ103="1",BI103,0)</f>
        <v>0</v>
      </c>
      <c r="AD103" s="33">
        <f>IF(AQ103="7",BH103,0)</f>
        <v>0</v>
      </c>
      <c r="AE103" s="33">
        <f>IF(AQ103="7",BI103,0)</f>
        <v>0</v>
      </c>
      <c r="AF103" s="33">
        <f>IF(AQ103="2",BH103,0)</f>
        <v>0</v>
      </c>
      <c r="AG103" s="33">
        <f>IF(AQ103="2",BI103,0)</f>
        <v>0</v>
      </c>
      <c r="AH103" s="33">
        <f>IF(AQ103="0",BJ103,0)</f>
        <v>0</v>
      </c>
      <c r="AI103" s="29"/>
      <c r="AJ103" s="17">
        <f>IF(AN103=0,K103,0)</f>
        <v>0</v>
      </c>
      <c r="AK103" s="17">
        <f>IF(AN103=15,K103,0)</f>
        <v>0</v>
      </c>
      <c r="AL103" s="17">
        <f>IF(AN103=21,K103,0)</f>
        <v>0</v>
      </c>
      <c r="AN103" s="33">
        <v>21</v>
      </c>
      <c r="AO103" s="33">
        <f>H103*0.524602272727273</f>
        <v>0</v>
      </c>
      <c r="AP103" s="33">
        <f>H103*(1-0.524602272727273)</f>
        <v>0</v>
      </c>
      <c r="AQ103" s="28" t="s">
        <v>7</v>
      </c>
      <c r="AV103" s="33">
        <f>AW103+AX103</f>
        <v>0</v>
      </c>
      <c r="AW103" s="33">
        <f>G103*AO103</f>
        <v>0</v>
      </c>
      <c r="AX103" s="33">
        <f>G103*AP103</f>
        <v>0</v>
      </c>
      <c r="AY103" s="34" t="s">
        <v>359</v>
      </c>
      <c r="AZ103" s="34" t="s">
        <v>373</v>
      </c>
      <c r="BA103" s="29" t="s">
        <v>379</v>
      </c>
      <c r="BC103" s="33">
        <f>AW103+AX103</f>
        <v>0</v>
      </c>
      <c r="BD103" s="33">
        <f>H103/(100-BE103)*100</f>
        <v>0</v>
      </c>
      <c r="BE103" s="33">
        <v>0</v>
      </c>
      <c r="BF103" s="33">
        <f>103</f>
        <v>103</v>
      </c>
      <c r="BH103" s="17">
        <f>G103*AO103</f>
        <v>0</v>
      </c>
      <c r="BI103" s="17">
        <f>G103*AP103</f>
        <v>0</v>
      </c>
      <c r="BJ103" s="17">
        <f>G103*H103</f>
        <v>0</v>
      </c>
    </row>
    <row r="104" spans="2:12" ht="12.75">
      <c r="B104" s="13" t="s">
        <v>94</v>
      </c>
      <c r="C104" s="84" t="s">
        <v>257</v>
      </c>
      <c r="D104" s="85"/>
      <c r="E104" s="85"/>
      <c r="F104" s="85"/>
      <c r="G104" s="85"/>
      <c r="H104" s="85"/>
      <c r="I104" s="85"/>
      <c r="J104" s="85"/>
      <c r="K104" s="85"/>
      <c r="L104" s="85"/>
    </row>
    <row r="105" spans="1:47" ht="12.75">
      <c r="A105" s="5"/>
      <c r="B105" s="14" t="s">
        <v>116</v>
      </c>
      <c r="C105" s="82" t="s">
        <v>258</v>
      </c>
      <c r="D105" s="83"/>
      <c r="E105" s="83"/>
      <c r="F105" s="5" t="s">
        <v>6</v>
      </c>
      <c r="G105" s="5" t="s">
        <v>6</v>
      </c>
      <c r="H105" s="5" t="s">
        <v>6</v>
      </c>
      <c r="I105" s="36">
        <f>SUM(I106:I110)</f>
        <v>0</v>
      </c>
      <c r="J105" s="36">
        <f>SUM(J106:J110)</f>
        <v>0</v>
      </c>
      <c r="K105" s="36">
        <f>SUM(K106:K110)</f>
        <v>0</v>
      </c>
      <c r="L105" s="29"/>
      <c r="AI105" s="29"/>
      <c r="AS105" s="36">
        <f>SUM(AJ106:AJ110)</f>
        <v>0</v>
      </c>
      <c r="AT105" s="36">
        <f>SUM(AK106:AK110)</f>
        <v>0</v>
      </c>
      <c r="AU105" s="36">
        <f>SUM(AL106:AL110)</f>
        <v>0</v>
      </c>
    </row>
    <row r="106" spans="1:62" ht="12.75">
      <c r="A106" s="4" t="s">
        <v>34</v>
      </c>
      <c r="B106" s="4" t="s">
        <v>117</v>
      </c>
      <c r="C106" s="78" t="s">
        <v>259</v>
      </c>
      <c r="D106" s="79"/>
      <c r="E106" s="79"/>
      <c r="F106" s="4" t="s">
        <v>320</v>
      </c>
      <c r="G106" s="17">
        <v>859.62</v>
      </c>
      <c r="H106" s="72"/>
      <c r="I106" s="17">
        <f>G106*AO106</f>
        <v>0</v>
      </c>
      <c r="J106" s="17">
        <f>G106*AP106</f>
        <v>0</v>
      </c>
      <c r="K106" s="17">
        <f>G106*H106</f>
        <v>0</v>
      </c>
      <c r="L106" s="28" t="s">
        <v>344</v>
      </c>
      <c r="Z106" s="33">
        <f>IF(AQ106="5",BJ106,0)</f>
        <v>0</v>
      </c>
      <c r="AB106" s="33">
        <f>IF(AQ106="1",BH106,0)</f>
        <v>0</v>
      </c>
      <c r="AC106" s="33">
        <f>IF(AQ106="1",BI106,0)</f>
        <v>0</v>
      </c>
      <c r="AD106" s="33">
        <f>IF(AQ106="7",BH106,0)</f>
        <v>0</v>
      </c>
      <c r="AE106" s="33">
        <f>IF(AQ106="7",BI106,0)</f>
        <v>0</v>
      </c>
      <c r="AF106" s="33">
        <f>IF(AQ106="2",BH106,0)</f>
        <v>0</v>
      </c>
      <c r="AG106" s="33">
        <f>IF(AQ106="2",BI106,0)</f>
        <v>0</v>
      </c>
      <c r="AH106" s="33">
        <f>IF(AQ106="0",BJ106,0)</f>
        <v>0</v>
      </c>
      <c r="AI106" s="29"/>
      <c r="AJ106" s="17">
        <f>IF(AN106=0,K106,0)</f>
        <v>0</v>
      </c>
      <c r="AK106" s="17">
        <f>IF(AN106=15,K106,0)</f>
        <v>0</v>
      </c>
      <c r="AL106" s="17">
        <f>IF(AN106=21,K106,0)</f>
        <v>0</v>
      </c>
      <c r="AN106" s="33">
        <v>21</v>
      </c>
      <c r="AO106" s="33">
        <f>H106*0</f>
        <v>0</v>
      </c>
      <c r="AP106" s="33">
        <f>H106*(1-0)</f>
        <v>0</v>
      </c>
      <c r="AQ106" s="28" t="s">
        <v>13</v>
      </c>
      <c r="AV106" s="33">
        <f>AW106+AX106</f>
        <v>0</v>
      </c>
      <c r="AW106" s="33">
        <f>G106*AO106</f>
        <v>0</v>
      </c>
      <c r="AX106" s="33">
        <f>G106*AP106</f>
        <v>0</v>
      </c>
      <c r="AY106" s="34" t="s">
        <v>360</v>
      </c>
      <c r="AZ106" s="34" t="s">
        <v>374</v>
      </c>
      <c r="BA106" s="29" t="s">
        <v>379</v>
      </c>
      <c r="BC106" s="33">
        <f>AW106+AX106</f>
        <v>0</v>
      </c>
      <c r="BD106" s="33">
        <f>H106/(100-BE106)*100</f>
        <v>0</v>
      </c>
      <c r="BE106" s="33">
        <v>0</v>
      </c>
      <c r="BF106" s="33">
        <f>106</f>
        <v>106</v>
      </c>
      <c r="BH106" s="17">
        <f>G106*AO106</f>
        <v>0</v>
      </c>
      <c r="BI106" s="17">
        <f>G106*AP106</f>
        <v>0</v>
      </c>
      <c r="BJ106" s="17">
        <f>G106*H106</f>
        <v>0</v>
      </c>
    </row>
    <row r="107" spans="1:62" ht="12.75">
      <c r="A107" s="6" t="s">
        <v>35</v>
      </c>
      <c r="B107" s="6" t="s">
        <v>118</v>
      </c>
      <c r="C107" s="86" t="s">
        <v>473</v>
      </c>
      <c r="D107" s="87"/>
      <c r="E107" s="87"/>
      <c r="F107" s="6" t="s">
        <v>320</v>
      </c>
      <c r="G107" s="19">
        <v>988.563</v>
      </c>
      <c r="H107" s="77"/>
      <c r="I107" s="19">
        <f>G107*AO107</f>
        <v>0</v>
      </c>
      <c r="J107" s="19">
        <f>G107*AP107</f>
        <v>0</v>
      </c>
      <c r="K107" s="19">
        <f>G107*H107</f>
        <v>0</v>
      </c>
      <c r="L107" s="30" t="s">
        <v>344</v>
      </c>
      <c r="Z107" s="33">
        <f>IF(AQ107="5",BJ107,0)</f>
        <v>0</v>
      </c>
      <c r="AB107" s="33">
        <f>IF(AQ107="1",BH107,0)</f>
        <v>0</v>
      </c>
      <c r="AC107" s="33">
        <f>IF(AQ107="1",BI107,0)</f>
        <v>0</v>
      </c>
      <c r="AD107" s="33">
        <f>IF(AQ107="7",BH107,0)</f>
        <v>0</v>
      </c>
      <c r="AE107" s="33">
        <f>IF(AQ107="7",BI107,0)</f>
        <v>0</v>
      </c>
      <c r="AF107" s="33">
        <f>IF(AQ107="2",BH107,0)</f>
        <v>0</v>
      </c>
      <c r="AG107" s="33">
        <f>IF(AQ107="2",BI107,0)</f>
        <v>0</v>
      </c>
      <c r="AH107" s="33">
        <f>IF(AQ107="0",BJ107,0)</f>
        <v>0</v>
      </c>
      <c r="AI107" s="29"/>
      <c r="AJ107" s="19">
        <f>IF(AN107=0,K107,0)</f>
        <v>0</v>
      </c>
      <c r="AK107" s="19">
        <f>IF(AN107=15,K107,0)</f>
        <v>0</v>
      </c>
      <c r="AL107" s="19">
        <f>IF(AN107=21,K107,0)</f>
        <v>0</v>
      </c>
      <c r="AN107" s="33">
        <v>21</v>
      </c>
      <c r="AO107" s="33">
        <f>H107*1</f>
        <v>0</v>
      </c>
      <c r="AP107" s="33">
        <f>H107*(1-1)</f>
        <v>0</v>
      </c>
      <c r="AQ107" s="30" t="s">
        <v>13</v>
      </c>
      <c r="AV107" s="33">
        <f>AW107+AX107</f>
        <v>0</v>
      </c>
      <c r="AW107" s="33">
        <f>G107*AO107</f>
        <v>0</v>
      </c>
      <c r="AX107" s="33">
        <f>G107*AP107</f>
        <v>0</v>
      </c>
      <c r="AY107" s="34" t="s">
        <v>360</v>
      </c>
      <c r="AZ107" s="34" t="s">
        <v>374</v>
      </c>
      <c r="BA107" s="29" t="s">
        <v>379</v>
      </c>
      <c r="BC107" s="33">
        <f>AW107+AX107</f>
        <v>0</v>
      </c>
      <c r="BD107" s="33">
        <f>H107/(100-BE107)*100</f>
        <v>0</v>
      </c>
      <c r="BE107" s="33">
        <v>0</v>
      </c>
      <c r="BF107" s="33">
        <f>107</f>
        <v>107</v>
      </c>
      <c r="BH107" s="19">
        <f>G107*AO107</f>
        <v>0</v>
      </c>
      <c r="BI107" s="19">
        <f>G107*AP107</f>
        <v>0</v>
      </c>
      <c r="BJ107" s="19">
        <f>G107*H107</f>
        <v>0</v>
      </c>
    </row>
    <row r="108" spans="3:8" ht="12.75">
      <c r="C108" s="88" t="s">
        <v>260</v>
      </c>
      <c r="D108" s="89"/>
      <c r="E108" s="89"/>
      <c r="G108" s="18">
        <v>859.62</v>
      </c>
      <c r="H108" s="76"/>
    </row>
    <row r="109" spans="3:8" ht="12.75">
      <c r="C109" s="88" t="s">
        <v>261</v>
      </c>
      <c r="D109" s="89"/>
      <c r="E109" s="89"/>
      <c r="G109" s="18">
        <v>128.943</v>
      </c>
      <c r="H109" s="76"/>
    </row>
    <row r="110" spans="1:62" ht="12.75">
      <c r="A110" s="4" t="s">
        <v>36</v>
      </c>
      <c r="B110" s="4" t="s">
        <v>119</v>
      </c>
      <c r="C110" s="78" t="s">
        <v>262</v>
      </c>
      <c r="D110" s="79"/>
      <c r="E110" s="79"/>
      <c r="F110" s="4" t="s">
        <v>323</v>
      </c>
      <c r="G110" s="17">
        <v>1.87827</v>
      </c>
      <c r="H110" s="72"/>
      <c r="I110" s="17">
        <f>G110*AO110</f>
        <v>0</v>
      </c>
      <c r="J110" s="17">
        <f>G110*AP110</f>
        <v>0</v>
      </c>
      <c r="K110" s="17">
        <f>G110*H110</f>
        <v>0</v>
      </c>
      <c r="L110" s="28" t="s">
        <v>344</v>
      </c>
      <c r="Z110" s="33">
        <f>IF(AQ110="5",BJ110,0)</f>
        <v>0</v>
      </c>
      <c r="AB110" s="33">
        <f>IF(AQ110="1",BH110,0)</f>
        <v>0</v>
      </c>
      <c r="AC110" s="33">
        <f>IF(AQ110="1",BI110,0)</f>
        <v>0</v>
      </c>
      <c r="AD110" s="33">
        <f>IF(AQ110="7",BH110,0)</f>
        <v>0</v>
      </c>
      <c r="AE110" s="33">
        <f>IF(AQ110="7",BI110,0)</f>
        <v>0</v>
      </c>
      <c r="AF110" s="33">
        <f>IF(AQ110="2",BH110,0)</f>
        <v>0</v>
      </c>
      <c r="AG110" s="33">
        <f>IF(AQ110="2",BI110,0)</f>
        <v>0</v>
      </c>
      <c r="AH110" s="33">
        <f>IF(AQ110="0",BJ110,0)</f>
        <v>0</v>
      </c>
      <c r="AI110" s="29"/>
      <c r="AJ110" s="17">
        <f>IF(AN110=0,K110,0)</f>
        <v>0</v>
      </c>
      <c r="AK110" s="17">
        <f>IF(AN110=15,K110,0)</f>
        <v>0</v>
      </c>
      <c r="AL110" s="17">
        <f>IF(AN110=21,K110,0)</f>
        <v>0</v>
      </c>
      <c r="AN110" s="33">
        <v>21</v>
      </c>
      <c r="AO110" s="33">
        <f>H110*0</f>
        <v>0</v>
      </c>
      <c r="AP110" s="33">
        <f>H110*(1-0)</f>
        <v>0</v>
      </c>
      <c r="AQ110" s="28" t="s">
        <v>11</v>
      </c>
      <c r="AV110" s="33">
        <f>AW110+AX110</f>
        <v>0</v>
      </c>
      <c r="AW110" s="33">
        <f>G110*AO110</f>
        <v>0</v>
      </c>
      <c r="AX110" s="33">
        <f>G110*AP110</f>
        <v>0</v>
      </c>
      <c r="AY110" s="34" t="s">
        <v>360</v>
      </c>
      <c r="AZ110" s="34" t="s">
        <v>374</v>
      </c>
      <c r="BA110" s="29" t="s">
        <v>379</v>
      </c>
      <c r="BC110" s="33">
        <f>AW110+AX110</f>
        <v>0</v>
      </c>
      <c r="BD110" s="33">
        <f>H110/(100-BE110)*100</f>
        <v>0</v>
      </c>
      <c r="BE110" s="33">
        <v>0</v>
      </c>
      <c r="BF110" s="33">
        <f>110</f>
        <v>110</v>
      </c>
      <c r="BH110" s="17">
        <f>G110*AO110</f>
        <v>0</v>
      </c>
      <c r="BI110" s="17">
        <f>G110*AP110</f>
        <v>0</v>
      </c>
      <c r="BJ110" s="17">
        <f>G110*H110</f>
        <v>0</v>
      </c>
    </row>
    <row r="111" spans="1:47" ht="12.75">
      <c r="A111" s="5"/>
      <c r="B111" s="14" t="s">
        <v>120</v>
      </c>
      <c r="C111" s="82" t="s">
        <v>263</v>
      </c>
      <c r="D111" s="83"/>
      <c r="E111" s="83"/>
      <c r="F111" s="5" t="s">
        <v>6</v>
      </c>
      <c r="G111" s="5" t="s">
        <v>6</v>
      </c>
      <c r="H111" s="5"/>
      <c r="I111" s="36">
        <f>SUM(I112:I114)</f>
        <v>0</v>
      </c>
      <c r="J111" s="36">
        <f>SUM(J112:J114)</f>
        <v>0</v>
      </c>
      <c r="K111" s="36">
        <f>SUM(K112:K114)</f>
        <v>0</v>
      </c>
      <c r="L111" s="29"/>
      <c r="AI111" s="29"/>
      <c r="AS111" s="36">
        <f>SUM(AJ112:AJ114)</f>
        <v>0</v>
      </c>
      <c r="AT111" s="36">
        <f>SUM(AK112:AK114)</f>
        <v>0</v>
      </c>
      <c r="AU111" s="36">
        <f>SUM(AL112:AL114)</f>
        <v>0</v>
      </c>
    </row>
    <row r="112" spans="1:62" ht="12.75">
      <c r="A112" s="4" t="s">
        <v>37</v>
      </c>
      <c r="B112" s="4" t="s">
        <v>121</v>
      </c>
      <c r="C112" s="78" t="s">
        <v>264</v>
      </c>
      <c r="D112" s="79"/>
      <c r="E112" s="79"/>
      <c r="F112" s="4" t="s">
        <v>320</v>
      </c>
      <c r="G112" s="17">
        <v>859.62</v>
      </c>
      <c r="H112" s="72"/>
      <c r="I112" s="17">
        <f>G112*AO112</f>
        <v>0</v>
      </c>
      <c r="J112" s="17">
        <f>G112*AP112</f>
        <v>0</v>
      </c>
      <c r="K112" s="17">
        <f>G112*H112</f>
        <v>0</v>
      </c>
      <c r="L112" s="28" t="s">
        <v>344</v>
      </c>
      <c r="Z112" s="33">
        <f>IF(AQ112="5",BJ112,0)</f>
        <v>0</v>
      </c>
      <c r="AB112" s="33">
        <f>IF(AQ112="1",BH112,0)</f>
        <v>0</v>
      </c>
      <c r="AC112" s="33">
        <f>IF(AQ112="1",BI112,0)</f>
        <v>0</v>
      </c>
      <c r="AD112" s="33">
        <f>IF(AQ112="7",BH112,0)</f>
        <v>0</v>
      </c>
      <c r="AE112" s="33">
        <f>IF(AQ112="7",BI112,0)</f>
        <v>0</v>
      </c>
      <c r="AF112" s="33">
        <f>IF(AQ112="2",BH112,0)</f>
        <v>0</v>
      </c>
      <c r="AG112" s="33">
        <f>IF(AQ112="2",BI112,0)</f>
        <v>0</v>
      </c>
      <c r="AH112" s="33">
        <f>IF(AQ112="0",BJ112,0)</f>
        <v>0</v>
      </c>
      <c r="AI112" s="29"/>
      <c r="AJ112" s="17">
        <f>IF(AN112=0,K112,0)</f>
        <v>0</v>
      </c>
      <c r="AK112" s="17">
        <f>IF(AN112=15,K112,0)</f>
        <v>0</v>
      </c>
      <c r="AL112" s="17">
        <f>IF(AN112=21,K112,0)</f>
        <v>0</v>
      </c>
      <c r="AN112" s="33">
        <v>21</v>
      </c>
      <c r="AO112" s="33">
        <f>H112*0.397947662919825</f>
        <v>0</v>
      </c>
      <c r="AP112" s="33">
        <f>H112*(1-0.397947662919825)</f>
        <v>0</v>
      </c>
      <c r="AQ112" s="28" t="s">
        <v>13</v>
      </c>
      <c r="AV112" s="33">
        <f>AW112+AX112</f>
        <v>0</v>
      </c>
      <c r="AW112" s="33">
        <f>G112*AO112</f>
        <v>0</v>
      </c>
      <c r="AX112" s="33">
        <f>G112*AP112</f>
        <v>0</v>
      </c>
      <c r="AY112" s="34" t="s">
        <v>361</v>
      </c>
      <c r="AZ112" s="34" t="s">
        <v>374</v>
      </c>
      <c r="BA112" s="29" t="s">
        <v>379</v>
      </c>
      <c r="BC112" s="33">
        <f>AW112+AX112</f>
        <v>0</v>
      </c>
      <c r="BD112" s="33">
        <f>H112/(100-BE112)*100</f>
        <v>0</v>
      </c>
      <c r="BE112" s="33">
        <v>0</v>
      </c>
      <c r="BF112" s="33">
        <f>112</f>
        <v>112</v>
      </c>
      <c r="BH112" s="17">
        <f>G112*AO112</f>
        <v>0</v>
      </c>
      <c r="BI112" s="17">
        <f>G112*AP112</f>
        <v>0</v>
      </c>
      <c r="BJ112" s="17">
        <f>G112*H112</f>
        <v>0</v>
      </c>
    </row>
    <row r="113" spans="1:62" ht="12.75">
      <c r="A113" s="6" t="s">
        <v>38</v>
      </c>
      <c r="B113" s="6" t="s">
        <v>122</v>
      </c>
      <c r="C113" s="86" t="s">
        <v>265</v>
      </c>
      <c r="D113" s="87"/>
      <c r="E113" s="87"/>
      <c r="F113" s="6" t="s">
        <v>322</v>
      </c>
      <c r="G113" s="19">
        <v>169.95</v>
      </c>
      <c r="H113" s="77"/>
      <c r="I113" s="19">
        <f>G113*AO113</f>
        <v>0</v>
      </c>
      <c r="J113" s="19">
        <f>G113*AP113</f>
        <v>0</v>
      </c>
      <c r="K113" s="19">
        <f>G113*H113</f>
        <v>0</v>
      </c>
      <c r="L113" s="30" t="s">
        <v>344</v>
      </c>
      <c r="Z113" s="33">
        <f>IF(AQ113="5",BJ113,0)</f>
        <v>0</v>
      </c>
      <c r="AB113" s="33">
        <f>IF(AQ113="1",BH113,0)</f>
        <v>0</v>
      </c>
      <c r="AC113" s="33">
        <f>IF(AQ113="1",BI113,0)</f>
        <v>0</v>
      </c>
      <c r="AD113" s="33">
        <f>IF(AQ113="7",BH113,0)</f>
        <v>0</v>
      </c>
      <c r="AE113" s="33">
        <f>IF(AQ113="7",BI113,0)</f>
        <v>0</v>
      </c>
      <c r="AF113" s="33">
        <f>IF(AQ113="2",BH113,0)</f>
        <v>0</v>
      </c>
      <c r="AG113" s="33">
        <f>IF(AQ113="2",BI113,0)</f>
        <v>0</v>
      </c>
      <c r="AH113" s="33">
        <f>IF(AQ113="0",BJ113,0)</f>
        <v>0</v>
      </c>
      <c r="AI113" s="29"/>
      <c r="AJ113" s="19">
        <f>IF(AN113=0,K113,0)</f>
        <v>0</v>
      </c>
      <c r="AK113" s="19">
        <f>IF(AN113=15,K113,0)</f>
        <v>0</v>
      </c>
      <c r="AL113" s="19">
        <f>IF(AN113=21,K113,0)</f>
        <v>0</v>
      </c>
      <c r="AN113" s="33">
        <v>21</v>
      </c>
      <c r="AO113" s="33">
        <f>H113*1</f>
        <v>0</v>
      </c>
      <c r="AP113" s="33">
        <f>H113*(1-1)</f>
        <v>0</v>
      </c>
      <c r="AQ113" s="30" t="s">
        <v>13</v>
      </c>
      <c r="AV113" s="33">
        <f>AW113+AX113</f>
        <v>0</v>
      </c>
      <c r="AW113" s="33">
        <f>G113*AO113</f>
        <v>0</v>
      </c>
      <c r="AX113" s="33">
        <f>G113*AP113</f>
        <v>0</v>
      </c>
      <c r="AY113" s="34" t="s">
        <v>361</v>
      </c>
      <c r="AZ113" s="34" t="s">
        <v>374</v>
      </c>
      <c r="BA113" s="29" t="s">
        <v>379</v>
      </c>
      <c r="BC113" s="33">
        <f>AW113+AX113</f>
        <v>0</v>
      </c>
      <c r="BD113" s="33">
        <f>H113/(100-BE113)*100</f>
        <v>0</v>
      </c>
      <c r="BE113" s="33">
        <v>0</v>
      </c>
      <c r="BF113" s="33">
        <f>113</f>
        <v>113</v>
      </c>
      <c r="BH113" s="19">
        <f>G113*AO113</f>
        <v>0</v>
      </c>
      <c r="BI113" s="19">
        <f>G113*AP113</f>
        <v>0</v>
      </c>
      <c r="BJ113" s="19">
        <f>G113*H113</f>
        <v>0</v>
      </c>
    </row>
    <row r="114" spans="1:62" ht="12.75">
      <c r="A114" s="4" t="s">
        <v>39</v>
      </c>
      <c r="B114" s="4" t="s">
        <v>123</v>
      </c>
      <c r="C114" s="78" t="s">
        <v>266</v>
      </c>
      <c r="D114" s="79"/>
      <c r="E114" s="79"/>
      <c r="F114" s="4" t="s">
        <v>323</v>
      </c>
      <c r="G114" s="17">
        <v>5.36753</v>
      </c>
      <c r="H114" s="72"/>
      <c r="I114" s="17">
        <f>G114*AO114</f>
        <v>0</v>
      </c>
      <c r="J114" s="17">
        <f>G114*AP114</f>
        <v>0</v>
      </c>
      <c r="K114" s="17">
        <f>G114*H114</f>
        <v>0</v>
      </c>
      <c r="L114" s="28" t="s">
        <v>344</v>
      </c>
      <c r="Z114" s="33">
        <f>IF(AQ114="5",BJ114,0)</f>
        <v>0</v>
      </c>
      <c r="AB114" s="33">
        <f>IF(AQ114="1",BH114,0)</f>
        <v>0</v>
      </c>
      <c r="AC114" s="33">
        <f>IF(AQ114="1",BI114,0)</f>
        <v>0</v>
      </c>
      <c r="AD114" s="33">
        <f>IF(AQ114="7",BH114,0)</f>
        <v>0</v>
      </c>
      <c r="AE114" s="33">
        <f>IF(AQ114="7",BI114,0)</f>
        <v>0</v>
      </c>
      <c r="AF114" s="33">
        <f>IF(AQ114="2",BH114,0)</f>
        <v>0</v>
      </c>
      <c r="AG114" s="33">
        <f>IF(AQ114="2",BI114,0)</f>
        <v>0</v>
      </c>
      <c r="AH114" s="33">
        <f>IF(AQ114="0",BJ114,0)</f>
        <v>0</v>
      </c>
      <c r="AI114" s="29"/>
      <c r="AJ114" s="17">
        <f>IF(AN114=0,K114,0)</f>
        <v>0</v>
      </c>
      <c r="AK114" s="17">
        <f>IF(AN114=15,K114,0)</f>
        <v>0</v>
      </c>
      <c r="AL114" s="17">
        <f>IF(AN114=21,K114,0)</f>
        <v>0</v>
      </c>
      <c r="AN114" s="33">
        <v>21</v>
      </c>
      <c r="AO114" s="33">
        <f>H114*0</f>
        <v>0</v>
      </c>
      <c r="AP114" s="33">
        <f>H114*(1-0)</f>
        <v>0</v>
      </c>
      <c r="AQ114" s="28" t="s">
        <v>11</v>
      </c>
      <c r="AV114" s="33">
        <f>AW114+AX114</f>
        <v>0</v>
      </c>
      <c r="AW114" s="33">
        <f>G114*AO114</f>
        <v>0</v>
      </c>
      <c r="AX114" s="33">
        <f>G114*AP114</f>
        <v>0</v>
      </c>
      <c r="AY114" s="34" t="s">
        <v>361</v>
      </c>
      <c r="AZ114" s="34" t="s">
        <v>374</v>
      </c>
      <c r="BA114" s="29" t="s">
        <v>379</v>
      </c>
      <c r="BC114" s="33">
        <f>AW114+AX114</f>
        <v>0</v>
      </c>
      <c r="BD114" s="33">
        <f>H114/(100-BE114)*100</f>
        <v>0</v>
      </c>
      <c r="BE114" s="33">
        <v>0</v>
      </c>
      <c r="BF114" s="33">
        <f>114</f>
        <v>114</v>
      </c>
      <c r="BH114" s="17">
        <f>G114*AO114</f>
        <v>0</v>
      </c>
      <c r="BI114" s="17">
        <f>G114*AP114</f>
        <v>0</v>
      </c>
      <c r="BJ114" s="17">
        <f>G114*H114</f>
        <v>0</v>
      </c>
    </row>
    <row r="115" spans="1:47" ht="12.75">
      <c r="A115" s="5"/>
      <c r="B115" s="14" t="s">
        <v>124</v>
      </c>
      <c r="C115" s="82" t="s">
        <v>267</v>
      </c>
      <c r="D115" s="83"/>
      <c r="E115" s="83"/>
      <c r="F115" s="5" t="s">
        <v>6</v>
      </c>
      <c r="G115" s="5" t="s">
        <v>6</v>
      </c>
      <c r="H115" s="5"/>
      <c r="I115" s="36">
        <f>SUM(I116:I116)</f>
        <v>0</v>
      </c>
      <c r="J115" s="36">
        <f>SUM(J116:J116)</f>
        <v>0</v>
      </c>
      <c r="K115" s="36">
        <f>SUM(K116:K116)</f>
        <v>0</v>
      </c>
      <c r="L115" s="29"/>
      <c r="AI115" s="29"/>
      <c r="AS115" s="36">
        <f>SUM(AJ116:AJ116)</f>
        <v>0</v>
      </c>
      <c r="AT115" s="36">
        <f>SUM(AK116:AK116)</f>
        <v>0</v>
      </c>
      <c r="AU115" s="36">
        <f>SUM(AL116:AL116)</f>
        <v>0</v>
      </c>
    </row>
    <row r="116" spans="1:62" ht="12.75">
      <c r="A116" s="4" t="s">
        <v>40</v>
      </c>
      <c r="B116" s="4" t="s">
        <v>125</v>
      </c>
      <c r="C116" s="78" t="s">
        <v>268</v>
      </c>
      <c r="D116" s="79"/>
      <c r="E116" s="79"/>
      <c r="F116" s="4" t="s">
        <v>321</v>
      </c>
      <c r="G116" s="17">
        <v>515</v>
      </c>
      <c r="H116" s="72"/>
      <c r="I116" s="17">
        <f>G116*AO116</f>
        <v>0</v>
      </c>
      <c r="J116" s="17">
        <f>G116*AP116</f>
        <v>0</v>
      </c>
      <c r="K116" s="17">
        <f>G116*H116</f>
        <v>0</v>
      </c>
      <c r="L116" s="28" t="s">
        <v>344</v>
      </c>
      <c r="Z116" s="33">
        <f>IF(AQ116="5",BJ116,0)</f>
        <v>0</v>
      </c>
      <c r="AB116" s="33">
        <f>IF(AQ116="1",BH116,0)</f>
        <v>0</v>
      </c>
      <c r="AC116" s="33">
        <f>IF(AQ116="1",BI116,0)</f>
        <v>0</v>
      </c>
      <c r="AD116" s="33">
        <f>IF(AQ116="7",BH116,0)</f>
        <v>0</v>
      </c>
      <c r="AE116" s="33">
        <f>IF(AQ116="7",BI116,0)</f>
        <v>0</v>
      </c>
      <c r="AF116" s="33">
        <f>IF(AQ116="2",BH116,0)</f>
        <v>0</v>
      </c>
      <c r="AG116" s="33">
        <f>IF(AQ116="2",BI116,0)</f>
        <v>0</v>
      </c>
      <c r="AH116" s="33">
        <f>IF(AQ116="0",BJ116,0)</f>
        <v>0</v>
      </c>
      <c r="AI116" s="29"/>
      <c r="AJ116" s="17">
        <f>IF(AN116=0,K116,0)</f>
        <v>0</v>
      </c>
      <c r="AK116" s="17">
        <f>IF(AN116=15,K116,0)</f>
        <v>0</v>
      </c>
      <c r="AL116" s="17">
        <f>IF(AN116=21,K116,0)</f>
        <v>0</v>
      </c>
      <c r="AN116" s="33">
        <v>21</v>
      </c>
      <c r="AO116" s="33">
        <f>H116*0.162644281217209</f>
        <v>0</v>
      </c>
      <c r="AP116" s="33">
        <f>H116*(1-0.162644281217209)</f>
        <v>0</v>
      </c>
      <c r="AQ116" s="28" t="s">
        <v>13</v>
      </c>
      <c r="AV116" s="33">
        <f>AW116+AX116</f>
        <v>0</v>
      </c>
      <c r="AW116" s="33">
        <f>G116*AO116</f>
        <v>0</v>
      </c>
      <c r="AX116" s="33">
        <f>G116*AP116</f>
        <v>0</v>
      </c>
      <c r="AY116" s="34" t="s">
        <v>362</v>
      </c>
      <c r="AZ116" s="34" t="s">
        <v>375</v>
      </c>
      <c r="BA116" s="29" t="s">
        <v>379</v>
      </c>
      <c r="BC116" s="33">
        <f>AW116+AX116</f>
        <v>0</v>
      </c>
      <c r="BD116" s="33">
        <f>H116/(100-BE116)*100</f>
        <v>0</v>
      </c>
      <c r="BE116" s="33">
        <v>0</v>
      </c>
      <c r="BF116" s="33">
        <f>116</f>
        <v>116</v>
      </c>
      <c r="BH116" s="17">
        <f>G116*AO116</f>
        <v>0</v>
      </c>
      <c r="BI116" s="17">
        <f>G116*AP116</f>
        <v>0</v>
      </c>
      <c r="BJ116" s="17">
        <f>G116*H116</f>
        <v>0</v>
      </c>
    </row>
    <row r="117" spans="1:47" ht="12.75">
      <c r="A117" s="5"/>
      <c r="B117" s="14" t="s">
        <v>126</v>
      </c>
      <c r="C117" s="82" t="s">
        <v>269</v>
      </c>
      <c r="D117" s="83"/>
      <c r="E117" s="83"/>
      <c r="F117" s="5" t="s">
        <v>6</v>
      </c>
      <c r="G117" s="5" t="s">
        <v>6</v>
      </c>
      <c r="H117" s="5"/>
      <c r="I117" s="36">
        <f>SUM(I118:I118)</f>
        <v>0</v>
      </c>
      <c r="J117" s="36">
        <f>SUM(J118:J118)</f>
        <v>0</v>
      </c>
      <c r="K117" s="36">
        <f>SUM(K118:K118)</f>
        <v>0</v>
      </c>
      <c r="L117" s="29"/>
      <c r="AI117" s="29"/>
      <c r="AS117" s="36">
        <f>SUM(AJ118:AJ118)</f>
        <v>0</v>
      </c>
      <c r="AT117" s="36">
        <f>SUM(AK118:AK118)</f>
        <v>0</v>
      </c>
      <c r="AU117" s="36">
        <f>SUM(AL118:AL118)</f>
        <v>0</v>
      </c>
    </row>
    <row r="118" spans="1:62" ht="12.75">
      <c r="A118" s="4" t="s">
        <v>41</v>
      </c>
      <c r="B118" s="4" t="s">
        <v>127</v>
      </c>
      <c r="C118" s="78" t="s">
        <v>270</v>
      </c>
      <c r="D118" s="79"/>
      <c r="E118" s="79"/>
      <c r="F118" s="4" t="s">
        <v>320</v>
      </c>
      <c r="G118" s="17">
        <v>124.62</v>
      </c>
      <c r="H118" s="72"/>
      <c r="I118" s="17">
        <f>G118*AO118</f>
        <v>0</v>
      </c>
      <c r="J118" s="17">
        <f>G118*AP118</f>
        <v>0</v>
      </c>
      <c r="K118" s="17">
        <f>G118*H118</f>
        <v>0</v>
      </c>
      <c r="L118" s="28" t="s">
        <v>344</v>
      </c>
      <c r="Z118" s="33">
        <f>IF(AQ118="5",BJ118,0)</f>
        <v>0</v>
      </c>
      <c r="AB118" s="33">
        <f>IF(AQ118="1",BH118,0)</f>
        <v>0</v>
      </c>
      <c r="AC118" s="33">
        <f>IF(AQ118="1",BI118,0)</f>
        <v>0</v>
      </c>
      <c r="AD118" s="33">
        <f>IF(AQ118="7",BH118,0)</f>
        <v>0</v>
      </c>
      <c r="AE118" s="33">
        <f>IF(AQ118="7",BI118,0)</f>
        <v>0</v>
      </c>
      <c r="AF118" s="33">
        <f>IF(AQ118="2",BH118,0)</f>
        <v>0</v>
      </c>
      <c r="AG118" s="33">
        <f>IF(AQ118="2",BI118,0)</f>
        <v>0</v>
      </c>
      <c r="AH118" s="33">
        <f>IF(AQ118="0",BJ118,0)</f>
        <v>0</v>
      </c>
      <c r="AI118" s="29"/>
      <c r="AJ118" s="17">
        <f>IF(AN118=0,K118,0)</f>
        <v>0</v>
      </c>
      <c r="AK118" s="17">
        <f>IF(AN118=15,K118,0)</f>
        <v>0</v>
      </c>
      <c r="AL118" s="17">
        <f>IF(AN118=21,K118,0)</f>
        <v>0</v>
      </c>
      <c r="AN118" s="33">
        <v>21</v>
      </c>
      <c r="AO118" s="33">
        <f>H118*0</f>
        <v>0</v>
      </c>
      <c r="AP118" s="33">
        <f>H118*(1-0)</f>
        <v>0</v>
      </c>
      <c r="AQ118" s="28" t="s">
        <v>13</v>
      </c>
      <c r="AV118" s="33">
        <f>AW118+AX118</f>
        <v>0</v>
      </c>
      <c r="AW118" s="33">
        <f>G118*AO118</f>
        <v>0</v>
      </c>
      <c r="AX118" s="33">
        <f>G118*AP118</f>
        <v>0</v>
      </c>
      <c r="AY118" s="34" t="s">
        <v>363</v>
      </c>
      <c r="AZ118" s="34" t="s">
        <v>375</v>
      </c>
      <c r="BA118" s="29" t="s">
        <v>379</v>
      </c>
      <c r="BC118" s="33">
        <f>AW118+AX118</f>
        <v>0</v>
      </c>
      <c r="BD118" s="33">
        <f>H118/(100-BE118)*100</f>
        <v>0</v>
      </c>
      <c r="BE118" s="33">
        <v>0</v>
      </c>
      <c r="BF118" s="33">
        <f>118</f>
        <v>118</v>
      </c>
      <c r="BH118" s="17">
        <f>G118*AO118</f>
        <v>0</v>
      </c>
      <c r="BI118" s="17">
        <f>G118*AP118</f>
        <v>0</v>
      </c>
      <c r="BJ118" s="17">
        <f>G118*H118</f>
        <v>0</v>
      </c>
    </row>
    <row r="119" spans="1:47" ht="12.75">
      <c r="A119" s="5"/>
      <c r="B119" s="14" t="s">
        <v>128</v>
      </c>
      <c r="C119" s="82" t="s">
        <v>271</v>
      </c>
      <c r="D119" s="83"/>
      <c r="E119" s="83"/>
      <c r="F119" s="5" t="s">
        <v>6</v>
      </c>
      <c r="G119" s="5" t="s">
        <v>6</v>
      </c>
      <c r="H119" s="5"/>
      <c r="I119" s="36">
        <f>SUM(I120:I127)</f>
        <v>0</v>
      </c>
      <c r="J119" s="36">
        <f>SUM(J120:J127)</f>
        <v>0</v>
      </c>
      <c r="K119" s="36">
        <f>SUM(K120:K127)</f>
        <v>0</v>
      </c>
      <c r="L119" s="29"/>
      <c r="AI119" s="29"/>
      <c r="AS119" s="36">
        <f>SUM(AJ120:AJ127)</f>
        <v>0</v>
      </c>
      <c r="AT119" s="36">
        <f>SUM(AK120:AK127)</f>
        <v>0</v>
      </c>
      <c r="AU119" s="36">
        <f>SUM(AL120:AL127)</f>
        <v>0</v>
      </c>
    </row>
    <row r="120" spans="1:62" ht="12.75">
      <c r="A120" s="4" t="s">
        <v>42</v>
      </c>
      <c r="B120" s="4" t="s">
        <v>129</v>
      </c>
      <c r="C120" s="78" t="s">
        <v>272</v>
      </c>
      <c r="D120" s="79"/>
      <c r="E120" s="79"/>
      <c r="F120" s="4" t="s">
        <v>321</v>
      </c>
      <c r="G120" s="17">
        <v>666</v>
      </c>
      <c r="H120" s="72"/>
      <c r="I120" s="17">
        <f aca="true" t="shared" si="22" ref="I120:I127">G120*AO120</f>
        <v>0</v>
      </c>
      <c r="J120" s="17">
        <f aca="true" t="shared" si="23" ref="J120:J127">G120*AP120</f>
        <v>0</v>
      </c>
      <c r="K120" s="17">
        <f aca="true" t="shared" si="24" ref="K120:K127">G120*H120</f>
        <v>0</v>
      </c>
      <c r="L120" s="28" t="s">
        <v>344</v>
      </c>
      <c r="Z120" s="33">
        <f aca="true" t="shared" si="25" ref="Z120:Z127">IF(AQ120="5",BJ120,0)</f>
        <v>0</v>
      </c>
      <c r="AB120" s="33">
        <f aca="true" t="shared" si="26" ref="AB120:AB127">IF(AQ120="1",BH120,0)</f>
        <v>0</v>
      </c>
      <c r="AC120" s="33">
        <f aca="true" t="shared" si="27" ref="AC120:AC127">IF(AQ120="1",BI120,0)</f>
        <v>0</v>
      </c>
      <c r="AD120" s="33">
        <f aca="true" t="shared" si="28" ref="AD120:AD127">IF(AQ120="7",BH120,0)</f>
        <v>0</v>
      </c>
      <c r="AE120" s="33">
        <f aca="true" t="shared" si="29" ref="AE120:AE127">IF(AQ120="7",BI120,0)</f>
        <v>0</v>
      </c>
      <c r="AF120" s="33">
        <f aca="true" t="shared" si="30" ref="AF120:AF127">IF(AQ120="2",BH120,0)</f>
        <v>0</v>
      </c>
      <c r="AG120" s="33">
        <f aca="true" t="shared" si="31" ref="AG120:AG127">IF(AQ120="2",BI120,0)</f>
        <v>0</v>
      </c>
      <c r="AH120" s="33">
        <f aca="true" t="shared" si="32" ref="AH120:AH127">IF(AQ120="0",BJ120,0)</f>
        <v>0</v>
      </c>
      <c r="AI120" s="29"/>
      <c r="AJ120" s="17">
        <f aca="true" t="shared" si="33" ref="AJ120:AJ127">IF(AN120=0,K120,0)</f>
        <v>0</v>
      </c>
      <c r="AK120" s="17">
        <f aca="true" t="shared" si="34" ref="AK120:AK127">IF(AN120=15,K120,0)</f>
        <v>0</v>
      </c>
      <c r="AL120" s="17">
        <f aca="true" t="shared" si="35" ref="AL120:AL127">IF(AN120=21,K120,0)</f>
        <v>0</v>
      </c>
      <c r="AN120" s="33">
        <v>21</v>
      </c>
      <c r="AO120" s="33">
        <f aca="true" t="shared" si="36" ref="AO120:AO127">H120*0</f>
        <v>0</v>
      </c>
      <c r="AP120" s="33">
        <f aca="true" t="shared" si="37" ref="AP120:AP127">H120*(1-0)</f>
        <v>0</v>
      </c>
      <c r="AQ120" s="28" t="s">
        <v>13</v>
      </c>
      <c r="AV120" s="33">
        <f aca="true" t="shared" si="38" ref="AV120:AV127">AW120+AX120</f>
        <v>0</v>
      </c>
      <c r="AW120" s="33">
        <f aca="true" t="shared" si="39" ref="AW120:AW127">G120*AO120</f>
        <v>0</v>
      </c>
      <c r="AX120" s="33">
        <f aca="true" t="shared" si="40" ref="AX120:AX127">G120*AP120</f>
        <v>0</v>
      </c>
      <c r="AY120" s="34" t="s">
        <v>364</v>
      </c>
      <c r="AZ120" s="34" t="s">
        <v>376</v>
      </c>
      <c r="BA120" s="29" t="s">
        <v>379</v>
      </c>
      <c r="BC120" s="33">
        <f aca="true" t="shared" si="41" ref="BC120:BC127">AW120+AX120</f>
        <v>0</v>
      </c>
      <c r="BD120" s="33">
        <f aca="true" t="shared" si="42" ref="BD120:BD127">H120/(100-BE120)*100</f>
        <v>0</v>
      </c>
      <c r="BE120" s="33">
        <v>0</v>
      </c>
      <c r="BF120" s="33">
        <f>120</f>
        <v>120</v>
      </c>
      <c r="BH120" s="17">
        <f aca="true" t="shared" si="43" ref="BH120:BH127">G120*AO120</f>
        <v>0</v>
      </c>
      <c r="BI120" s="17">
        <f aca="true" t="shared" si="44" ref="BI120:BI127">G120*AP120</f>
        <v>0</v>
      </c>
      <c r="BJ120" s="17">
        <f aca="true" t="shared" si="45" ref="BJ120:BJ127">G120*H120</f>
        <v>0</v>
      </c>
    </row>
    <row r="121" spans="1:62" ht="12.75">
      <c r="A121" s="4" t="s">
        <v>43</v>
      </c>
      <c r="B121" s="4" t="s">
        <v>130</v>
      </c>
      <c r="C121" s="78" t="s">
        <v>273</v>
      </c>
      <c r="D121" s="79"/>
      <c r="E121" s="79"/>
      <c r="F121" s="4" t="s">
        <v>321</v>
      </c>
      <c r="G121" s="17">
        <v>283</v>
      </c>
      <c r="H121" s="72"/>
      <c r="I121" s="17">
        <f t="shared" si="22"/>
        <v>0</v>
      </c>
      <c r="J121" s="17">
        <f t="shared" si="23"/>
        <v>0</v>
      </c>
      <c r="K121" s="17">
        <f t="shared" si="24"/>
        <v>0</v>
      </c>
      <c r="L121" s="28" t="s">
        <v>344</v>
      </c>
      <c r="Z121" s="33">
        <f t="shared" si="25"/>
        <v>0</v>
      </c>
      <c r="AB121" s="33">
        <f t="shared" si="26"/>
        <v>0</v>
      </c>
      <c r="AC121" s="33">
        <f t="shared" si="27"/>
        <v>0</v>
      </c>
      <c r="AD121" s="33">
        <f t="shared" si="28"/>
        <v>0</v>
      </c>
      <c r="AE121" s="33">
        <f t="shared" si="29"/>
        <v>0</v>
      </c>
      <c r="AF121" s="33">
        <f t="shared" si="30"/>
        <v>0</v>
      </c>
      <c r="AG121" s="33">
        <f t="shared" si="31"/>
        <v>0</v>
      </c>
      <c r="AH121" s="33">
        <f t="shared" si="32"/>
        <v>0</v>
      </c>
      <c r="AI121" s="29"/>
      <c r="AJ121" s="17">
        <f t="shared" si="33"/>
        <v>0</v>
      </c>
      <c r="AK121" s="17">
        <f t="shared" si="34"/>
        <v>0</v>
      </c>
      <c r="AL121" s="17">
        <f t="shared" si="35"/>
        <v>0</v>
      </c>
      <c r="AN121" s="33">
        <v>21</v>
      </c>
      <c r="AO121" s="33">
        <f t="shared" si="36"/>
        <v>0</v>
      </c>
      <c r="AP121" s="33">
        <f t="shared" si="37"/>
        <v>0</v>
      </c>
      <c r="AQ121" s="28" t="s">
        <v>13</v>
      </c>
      <c r="AV121" s="33">
        <f t="shared" si="38"/>
        <v>0</v>
      </c>
      <c r="AW121" s="33">
        <f t="shared" si="39"/>
        <v>0</v>
      </c>
      <c r="AX121" s="33">
        <f t="shared" si="40"/>
        <v>0</v>
      </c>
      <c r="AY121" s="34" t="s">
        <v>364</v>
      </c>
      <c r="AZ121" s="34" t="s">
        <v>376</v>
      </c>
      <c r="BA121" s="29" t="s">
        <v>379</v>
      </c>
      <c r="BC121" s="33">
        <f t="shared" si="41"/>
        <v>0</v>
      </c>
      <c r="BD121" s="33">
        <f t="shared" si="42"/>
        <v>0</v>
      </c>
      <c r="BE121" s="33">
        <v>0</v>
      </c>
      <c r="BF121" s="33">
        <f>121</f>
        <v>121</v>
      </c>
      <c r="BH121" s="17">
        <f t="shared" si="43"/>
        <v>0</v>
      </c>
      <c r="BI121" s="17">
        <f t="shared" si="44"/>
        <v>0</v>
      </c>
      <c r="BJ121" s="17">
        <f t="shared" si="45"/>
        <v>0</v>
      </c>
    </row>
    <row r="122" spans="1:62" ht="12.75">
      <c r="A122" s="4" t="s">
        <v>44</v>
      </c>
      <c r="B122" s="4" t="s">
        <v>131</v>
      </c>
      <c r="C122" s="78" t="s">
        <v>274</v>
      </c>
      <c r="D122" s="79"/>
      <c r="E122" s="79"/>
      <c r="F122" s="4" t="s">
        <v>321</v>
      </c>
      <c r="G122" s="17">
        <v>571.2</v>
      </c>
      <c r="H122" s="72"/>
      <c r="I122" s="17">
        <f t="shared" si="22"/>
        <v>0</v>
      </c>
      <c r="J122" s="17">
        <f t="shared" si="23"/>
        <v>0</v>
      </c>
      <c r="K122" s="17">
        <f t="shared" si="24"/>
        <v>0</v>
      </c>
      <c r="L122" s="28"/>
      <c r="Z122" s="33">
        <f t="shared" si="25"/>
        <v>0</v>
      </c>
      <c r="AB122" s="33">
        <f t="shared" si="26"/>
        <v>0</v>
      </c>
      <c r="AC122" s="33">
        <f t="shared" si="27"/>
        <v>0</v>
      </c>
      <c r="AD122" s="33">
        <f t="shared" si="28"/>
        <v>0</v>
      </c>
      <c r="AE122" s="33">
        <f t="shared" si="29"/>
        <v>0</v>
      </c>
      <c r="AF122" s="33">
        <f t="shared" si="30"/>
        <v>0</v>
      </c>
      <c r="AG122" s="33">
        <f t="shared" si="31"/>
        <v>0</v>
      </c>
      <c r="AH122" s="33">
        <f t="shared" si="32"/>
        <v>0</v>
      </c>
      <c r="AI122" s="29"/>
      <c r="AJ122" s="17">
        <f t="shared" si="33"/>
        <v>0</v>
      </c>
      <c r="AK122" s="17">
        <f t="shared" si="34"/>
        <v>0</v>
      </c>
      <c r="AL122" s="17">
        <f t="shared" si="35"/>
        <v>0</v>
      </c>
      <c r="AN122" s="33">
        <v>21</v>
      </c>
      <c r="AO122" s="33">
        <f t="shared" si="36"/>
        <v>0</v>
      </c>
      <c r="AP122" s="33">
        <f t="shared" si="37"/>
        <v>0</v>
      </c>
      <c r="AQ122" s="28" t="s">
        <v>13</v>
      </c>
      <c r="AV122" s="33">
        <f t="shared" si="38"/>
        <v>0</v>
      </c>
      <c r="AW122" s="33">
        <f t="shared" si="39"/>
        <v>0</v>
      </c>
      <c r="AX122" s="33">
        <f t="shared" si="40"/>
        <v>0</v>
      </c>
      <c r="AY122" s="34" t="s">
        <v>364</v>
      </c>
      <c r="AZ122" s="34" t="s">
        <v>376</v>
      </c>
      <c r="BA122" s="29" t="s">
        <v>379</v>
      </c>
      <c r="BC122" s="33">
        <f t="shared" si="41"/>
        <v>0</v>
      </c>
      <c r="BD122" s="33">
        <f t="shared" si="42"/>
        <v>0</v>
      </c>
      <c r="BE122" s="33">
        <v>0</v>
      </c>
      <c r="BF122" s="33">
        <f>122</f>
        <v>122</v>
      </c>
      <c r="BH122" s="17">
        <f t="shared" si="43"/>
        <v>0</v>
      </c>
      <c r="BI122" s="17">
        <f t="shared" si="44"/>
        <v>0</v>
      </c>
      <c r="BJ122" s="17">
        <f t="shared" si="45"/>
        <v>0</v>
      </c>
    </row>
    <row r="123" spans="1:62" ht="12.75">
      <c r="A123" s="4" t="s">
        <v>45</v>
      </c>
      <c r="B123" s="4" t="s">
        <v>132</v>
      </c>
      <c r="C123" s="78" t="s">
        <v>275</v>
      </c>
      <c r="D123" s="79"/>
      <c r="E123" s="79"/>
      <c r="F123" s="4" t="s">
        <v>321</v>
      </c>
      <c r="G123" s="17">
        <v>21.6</v>
      </c>
      <c r="H123" s="72"/>
      <c r="I123" s="17">
        <f t="shared" si="22"/>
        <v>0</v>
      </c>
      <c r="J123" s="17">
        <f t="shared" si="23"/>
        <v>0</v>
      </c>
      <c r="K123" s="17">
        <f t="shared" si="24"/>
        <v>0</v>
      </c>
      <c r="L123" s="28"/>
      <c r="Z123" s="33">
        <f t="shared" si="25"/>
        <v>0</v>
      </c>
      <c r="AB123" s="33">
        <f t="shared" si="26"/>
        <v>0</v>
      </c>
      <c r="AC123" s="33">
        <f t="shared" si="27"/>
        <v>0</v>
      </c>
      <c r="AD123" s="33">
        <f t="shared" si="28"/>
        <v>0</v>
      </c>
      <c r="AE123" s="33">
        <f t="shared" si="29"/>
        <v>0</v>
      </c>
      <c r="AF123" s="33">
        <f t="shared" si="30"/>
        <v>0</v>
      </c>
      <c r="AG123" s="33">
        <f t="shared" si="31"/>
        <v>0</v>
      </c>
      <c r="AH123" s="33">
        <f t="shared" si="32"/>
        <v>0</v>
      </c>
      <c r="AI123" s="29"/>
      <c r="AJ123" s="17">
        <f t="shared" si="33"/>
        <v>0</v>
      </c>
      <c r="AK123" s="17">
        <f t="shared" si="34"/>
        <v>0</v>
      </c>
      <c r="AL123" s="17">
        <f t="shared" si="35"/>
        <v>0</v>
      </c>
      <c r="AN123" s="33">
        <v>21</v>
      </c>
      <c r="AO123" s="33">
        <f t="shared" si="36"/>
        <v>0</v>
      </c>
      <c r="AP123" s="33">
        <f t="shared" si="37"/>
        <v>0</v>
      </c>
      <c r="AQ123" s="28" t="s">
        <v>13</v>
      </c>
      <c r="AV123" s="33">
        <f t="shared" si="38"/>
        <v>0</v>
      </c>
      <c r="AW123" s="33">
        <f t="shared" si="39"/>
        <v>0</v>
      </c>
      <c r="AX123" s="33">
        <f t="shared" si="40"/>
        <v>0</v>
      </c>
      <c r="AY123" s="34" t="s">
        <v>364</v>
      </c>
      <c r="AZ123" s="34" t="s">
        <v>376</v>
      </c>
      <c r="BA123" s="29" t="s">
        <v>379</v>
      </c>
      <c r="BC123" s="33">
        <f t="shared" si="41"/>
        <v>0</v>
      </c>
      <c r="BD123" s="33">
        <f t="shared" si="42"/>
        <v>0</v>
      </c>
      <c r="BE123" s="33">
        <v>0</v>
      </c>
      <c r="BF123" s="33">
        <f>123</f>
        <v>123</v>
      </c>
      <c r="BH123" s="17">
        <f t="shared" si="43"/>
        <v>0</v>
      </c>
      <c r="BI123" s="17">
        <f t="shared" si="44"/>
        <v>0</v>
      </c>
      <c r="BJ123" s="17">
        <f t="shared" si="45"/>
        <v>0</v>
      </c>
    </row>
    <row r="124" spans="1:62" ht="12.75">
      <c r="A124" s="4" t="s">
        <v>46</v>
      </c>
      <c r="B124" s="4" t="s">
        <v>133</v>
      </c>
      <c r="C124" s="78" t="s">
        <v>276</v>
      </c>
      <c r="D124" s="79"/>
      <c r="E124" s="79"/>
      <c r="F124" s="4" t="s">
        <v>321</v>
      </c>
      <c r="G124" s="17">
        <v>21.6</v>
      </c>
      <c r="H124" s="72"/>
      <c r="I124" s="17">
        <f t="shared" si="22"/>
        <v>0</v>
      </c>
      <c r="J124" s="17">
        <f t="shared" si="23"/>
        <v>0</v>
      </c>
      <c r="K124" s="17">
        <f t="shared" si="24"/>
        <v>0</v>
      </c>
      <c r="L124" s="28"/>
      <c r="Z124" s="33">
        <f t="shared" si="25"/>
        <v>0</v>
      </c>
      <c r="AB124" s="33">
        <f t="shared" si="26"/>
        <v>0</v>
      </c>
      <c r="AC124" s="33">
        <f t="shared" si="27"/>
        <v>0</v>
      </c>
      <c r="AD124" s="33">
        <f t="shared" si="28"/>
        <v>0</v>
      </c>
      <c r="AE124" s="33">
        <f t="shared" si="29"/>
        <v>0</v>
      </c>
      <c r="AF124" s="33">
        <f t="shared" si="30"/>
        <v>0</v>
      </c>
      <c r="AG124" s="33">
        <f t="shared" si="31"/>
        <v>0</v>
      </c>
      <c r="AH124" s="33">
        <f t="shared" si="32"/>
        <v>0</v>
      </c>
      <c r="AI124" s="29"/>
      <c r="AJ124" s="17">
        <f t="shared" si="33"/>
        <v>0</v>
      </c>
      <c r="AK124" s="17">
        <f t="shared" si="34"/>
        <v>0</v>
      </c>
      <c r="AL124" s="17">
        <f t="shared" si="35"/>
        <v>0</v>
      </c>
      <c r="AN124" s="33">
        <v>21</v>
      </c>
      <c r="AO124" s="33">
        <f t="shared" si="36"/>
        <v>0</v>
      </c>
      <c r="AP124" s="33">
        <f t="shared" si="37"/>
        <v>0</v>
      </c>
      <c r="AQ124" s="28" t="s">
        <v>13</v>
      </c>
      <c r="AV124" s="33">
        <f t="shared" si="38"/>
        <v>0</v>
      </c>
      <c r="AW124" s="33">
        <f t="shared" si="39"/>
        <v>0</v>
      </c>
      <c r="AX124" s="33">
        <f t="shared" si="40"/>
        <v>0</v>
      </c>
      <c r="AY124" s="34" t="s">
        <v>364</v>
      </c>
      <c r="AZ124" s="34" t="s">
        <v>376</v>
      </c>
      <c r="BA124" s="29" t="s">
        <v>379</v>
      </c>
      <c r="BC124" s="33">
        <f t="shared" si="41"/>
        <v>0</v>
      </c>
      <c r="BD124" s="33">
        <f t="shared" si="42"/>
        <v>0</v>
      </c>
      <c r="BE124" s="33">
        <v>0</v>
      </c>
      <c r="BF124" s="33">
        <f>124</f>
        <v>124</v>
      </c>
      <c r="BH124" s="17">
        <f t="shared" si="43"/>
        <v>0</v>
      </c>
      <c r="BI124" s="17">
        <f t="shared" si="44"/>
        <v>0</v>
      </c>
      <c r="BJ124" s="17">
        <f t="shared" si="45"/>
        <v>0</v>
      </c>
    </row>
    <row r="125" spans="1:62" ht="12.75">
      <c r="A125" s="4" t="s">
        <v>47</v>
      </c>
      <c r="B125" s="4" t="s">
        <v>134</v>
      </c>
      <c r="C125" s="78" t="s">
        <v>277</v>
      </c>
      <c r="D125" s="79"/>
      <c r="E125" s="79"/>
      <c r="F125" s="4" t="s">
        <v>321</v>
      </c>
      <c r="G125" s="17">
        <v>51.6</v>
      </c>
      <c r="H125" s="72"/>
      <c r="I125" s="17">
        <f t="shared" si="22"/>
        <v>0</v>
      </c>
      <c r="J125" s="17">
        <f t="shared" si="23"/>
        <v>0</v>
      </c>
      <c r="K125" s="17">
        <f t="shared" si="24"/>
        <v>0</v>
      </c>
      <c r="L125" s="28"/>
      <c r="Z125" s="33">
        <f t="shared" si="25"/>
        <v>0</v>
      </c>
      <c r="AB125" s="33">
        <f t="shared" si="26"/>
        <v>0</v>
      </c>
      <c r="AC125" s="33">
        <f t="shared" si="27"/>
        <v>0</v>
      </c>
      <c r="AD125" s="33">
        <f t="shared" si="28"/>
        <v>0</v>
      </c>
      <c r="AE125" s="33">
        <f t="shared" si="29"/>
        <v>0</v>
      </c>
      <c r="AF125" s="33">
        <f t="shared" si="30"/>
        <v>0</v>
      </c>
      <c r="AG125" s="33">
        <f t="shared" si="31"/>
        <v>0</v>
      </c>
      <c r="AH125" s="33">
        <f t="shared" si="32"/>
        <v>0</v>
      </c>
      <c r="AI125" s="29"/>
      <c r="AJ125" s="17">
        <f t="shared" si="33"/>
        <v>0</v>
      </c>
      <c r="AK125" s="17">
        <f t="shared" si="34"/>
        <v>0</v>
      </c>
      <c r="AL125" s="17">
        <f t="shared" si="35"/>
        <v>0</v>
      </c>
      <c r="AN125" s="33">
        <v>21</v>
      </c>
      <c r="AO125" s="33">
        <f t="shared" si="36"/>
        <v>0</v>
      </c>
      <c r="AP125" s="33">
        <f t="shared" si="37"/>
        <v>0</v>
      </c>
      <c r="AQ125" s="28" t="s">
        <v>13</v>
      </c>
      <c r="AV125" s="33">
        <f t="shared" si="38"/>
        <v>0</v>
      </c>
      <c r="AW125" s="33">
        <f t="shared" si="39"/>
        <v>0</v>
      </c>
      <c r="AX125" s="33">
        <f t="shared" si="40"/>
        <v>0</v>
      </c>
      <c r="AY125" s="34" t="s">
        <v>364</v>
      </c>
      <c r="AZ125" s="34" t="s">
        <v>376</v>
      </c>
      <c r="BA125" s="29" t="s">
        <v>379</v>
      </c>
      <c r="BC125" s="33">
        <f t="shared" si="41"/>
        <v>0</v>
      </c>
      <c r="BD125" s="33">
        <f t="shared" si="42"/>
        <v>0</v>
      </c>
      <c r="BE125" s="33">
        <v>0</v>
      </c>
      <c r="BF125" s="33">
        <f>125</f>
        <v>125</v>
      </c>
      <c r="BH125" s="17">
        <f t="shared" si="43"/>
        <v>0</v>
      </c>
      <c r="BI125" s="17">
        <f t="shared" si="44"/>
        <v>0</v>
      </c>
      <c r="BJ125" s="17">
        <f t="shared" si="45"/>
        <v>0</v>
      </c>
    </row>
    <row r="126" spans="1:62" ht="12.75">
      <c r="A126" s="4" t="s">
        <v>48</v>
      </c>
      <c r="B126" s="4" t="s">
        <v>135</v>
      </c>
      <c r="C126" s="78" t="s">
        <v>278</v>
      </c>
      <c r="D126" s="79"/>
      <c r="E126" s="79"/>
      <c r="F126" s="4" t="s">
        <v>321</v>
      </c>
      <c r="G126" s="17">
        <v>283</v>
      </c>
      <c r="H126" s="72"/>
      <c r="I126" s="17">
        <f t="shared" si="22"/>
        <v>0</v>
      </c>
      <c r="J126" s="17">
        <f t="shared" si="23"/>
        <v>0</v>
      </c>
      <c r="K126" s="17">
        <f t="shared" si="24"/>
        <v>0</v>
      </c>
      <c r="L126" s="28"/>
      <c r="Z126" s="33">
        <f t="shared" si="25"/>
        <v>0</v>
      </c>
      <c r="AB126" s="33">
        <f t="shared" si="26"/>
        <v>0</v>
      </c>
      <c r="AC126" s="33">
        <f t="shared" si="27"/>
        <v>0</v>
      </c>
      <c r="AD126" s="33">
        <f t="shared" si="28"/>
        <v>0</v>
      </c>
      <c r="AE126" s="33">
        <f t="shared" si="29"/>
        <v>0</v>
      </c>
      <c r="AF126" s="33">
        <f t="shared" si="30"/>
        <v>0</v>
      </c>
      <c r="AG126" s="33">
        <f t="shared" si="31"/>
        <v>0</v>
      </c>
      <c r="AH126" s="33">
        <f t="shared" si="32"/>
        <v>0</v>
      </c>
      <c r="AI126" s="29"/>
      <c r="AJ126" s="17">
        <f t="shared" si="33"/>
        <v>0</v>
      </c>
      <c r="AK126" s="17">
        <f t="shared" si="34"/>
        <v>0</v>
      </c>
      <c r="AL126" s="17">
        <f t="shared" si="35"/>
        <v>0</v>
      </c>
      <c r="AN126" s="33">
        <v>21</v>
      </c>
      <c r="AO126" s="33">
        <f t="shared" si="36"/>
        <v>0</v>
      </c>
      <c r="AP126" s="33">
        <f t="shared" si="37"/>
        <v>0</v>
      </c>
      <c r="AQ126" s="28" t="s">
        <v>13</v>
      </c>
      <c r="AV126" s="33">
        <f t="shared" si="38"/>
        <v>0</v>
      </c>
      <c r="AW126" s="33">
        <f t="shared" si="39"/>
        <v>0</v>
      </c>
      <c r="AX126" s="33">
        <f t="shared" si="40"/>
        <v>0</v>
      </c>
      <c r="AY126" s="34" t="s">
        <v>364</v>
      </c>
      <c r="AZ126" s="34" t="s">
        <v>376</v>
      </c>
      <c r="BA126" s="29" t="s">
        <v>379</v>
      </c>
      <c r="BC126" s="33">
        <f t="shared" si="41"/>
        <v>0</v>
      </c>
      <c r="BD126" s="33">
        <f t="shared" si="42"/>
        <v>0</v>
      </c>
      <c r="BE126" s="33">
        <v>0</v>
      </c>
      <c r="BF126" s="33">
        <f>126</f>
        <v>126</v>
      </c>
      <c r="BH126" s="17">
        <f t="shared" si="43"/>
        <v>0</v>
      </c>
      <c r="BI126" s="17">
        <f t="shared" si="44"/>
        <v>0</v>
      </c>
      <c r="BJ126" s="17">
        <f t="shared" si="45"/>
        <v>0</v>
      </c>
    </row>
    <row r="127" spans="1:62" ht="12.75">
      <c r="A127" s="4" t="s">
        <v>49</v>
      </c>
      <c r="B127" s="4" t="s">
        <v>136</v>
      </c>
      <c r="C127" s="78" t="s">
        <v>279</v>
      </c>
      <c r="D127" s="79"/>
      <c r="E127" s="79"/>
      <c r="F127" s="4" t="s">
        <v>323</v>
      </c>
      <c r="G127" s="17">
        <v>3.84062</v>
      </c>
      <c r="H127" s="72"/>
      <c r="I127" s="17">
        <f t="shared" si="22"/>
        <v>0</v>
      </c>
      <c r="J127" s="17">
        <f t="shared" si="23"/>
        <v>0</v>
      </c>
      <c r="K127" s="17">
        <f t="shared" si="24"/>
        <v>0</v>
      </c>
      <c r="L127" s="28" t="s">
        <v>344</v>
      </c>
      <c r="Z127" s="33">
        <f t="shared" si="25"/>
        <v>0</v>
      </c>
      <c r="AB127" s="33">
        <f t="shared" si="26"/>
        <v>0</v>
      </c>
      <c r="AC127" s="33">
        <f t="shared" si="27"/>
        <v>0</v>
      </c>
      <c r="AD127" s="33">
        <f t="shared" si="28"/>
        <v>0</v>
      </c>
      <c r="AE127" s="33">
        <f t="shared" si="29"/>
        <v>0</v>
      </c>
      <c r="AF127" s="33">
        <f t="shared" si="30"/>
        <v>0</v>
      </c>
      <c r="AG127" s="33">
        <f t="shared" si="31"/>
        <v>0</v>
      </c>
      <c r="AH127" s="33">
        <f t="shared" si="32"/>
        <v>0</v>
      </c>
      <c r="AI127" s="29"/>
      <c r="AJ127" s="17">
        <f t="shared" si="33"/>
        <v>0</v>
      </c>
      <c r="AK127" s="17">
        <f t="shared" si="34"/>
        <v>0</v>
      </c>
      <c r="AL127" s="17">
        <f t="shared" si="35"/>
        <v>0</v>
      </c>
      <c r="AN127" s="33">
        <v>21</v>
      </c>
      <c r="AO127" s="33">
        <f t="shared" si="36"/>
        <v>0</v>
      </c>
      <c r="AP127" s="33">
        <f t="shared" si="37"/>
        <v>0</v>
      </c>
      <c r="AQ127" s="28" t="s">
        <v>11</v>
      </c>
      <c r="AV127" s="33">
        <f t="shared" si="38"/>
        <v>0</v>
      </c>
      <c r="AW127" s="33">
        <f t="shared" si="39"/>
        <v>0</v>
      </c>
      <c r="AX127" s="33">
        <f t="shared" si="40"/>
        <v>0</v>
      </c>
      <c r="AY127" s="34" t="s">
        <v>364</v>
      </c>
      <c r="AZ127" s="34" t="s">
        <v>376</v>
      </c>
      <c r="BA127" s="29" t="s">
        <v>379</v>
      </c>
      <c r="BC127" s="33">
        <f t="shared" si="41"/>
        <v>0</v>
      </c>
      <c r="BD127" s="33">
        <f t="shared" si="42"/>
        <v>0</v>
      </c>
      <c r="BE127" s="33">
        <v>0</v>
      </c>
      <c r="BF127" s="33">
        <f>127</f>
        <v>127</v>
      </c>
      <c r="BH127" s="17">
        <f t="shared" si="43"/>
        <v>0</v>
      </c>
      <c r="BI127" s="17">
        <f t="shared" si="44"/>
        <v>0</v>
      </c>
      <c r="BJ127" s="17">
        <f t="shared" si="45"/>
        <v>0</v>
      </c>
    </row>
    <row r="128" spans="1:47" ht="12.75">
      <c r="A128" s="5"/>
      <c r="B128" s="14" t="s">
        <v>137</v>
      </c>
      <c r="C128" s="82" t="s">
        <v>280</v>
      </c>
      <c r="D128" s="83"/>
      <c r="E128" s="83"/>
      <c r="F128" s="5" t="s">
        <v>6</v>
      </c>
      <c r="G128" s="5" t="s">
        <v>6</v>
      </c>
      <c r="H128" s="5" t="s">
        <v>6</v>
      </c>
      <c r="I128" s="36">
        <f>SUM(I129:I166)</f>
        <v>0</v>
      </c>
      <c r="J128" s="36">
        <f>SUM(J129:J166)</f>
        <v>0</v>
      </c>
      <c r="K128" s="36">
        <f>SUM(K129:K166)</f>
        <v>0</v>
      </c>
      <c r="L128" s="29"/>
      <c r="AI128" s="29"/>
      <c r="AS128" s="36">
        <f>SUM(AJ129:AJ166)</f>
        <v>0</v>
      </c>
      <c r="AT128" s="36">
        <f>SUM(AK129:AK166)</f>
        <v>0</v>
      </c>
      <c r="AU128" s="36">
        <f>SUM(AL129:AL166)</f>
        <v>0</v>
      </c>
    </row>
    <row r="129" spans="1:62" ht="12.75">
      <c r="A129" s="4" t="s">
        <v>50</v>
      </c>
      <c r="B129" s="4" t="s">
        <v>138</v>
      </c>
      <c r="C129" s="78" t="s">
        <v>474</v>
      </c>
      <c r="D129" s="79"/>
      <c r="E129" s="79"/>
      <c r="F129" s="4" t="s">
        <v>324</v>
      </c>
      <c r="G129" s="17">
        <v>81</v>
      </c>
      <c r="H129" s="72"/>
      <c r="I129" s="17">
        <f>G129*AO129</f>
        <v>0</v>
      </c>
      <c r="J129" s="17">
        <f>G129*AP129</f>
        <v>0</v>
      </c>
      <c r="K129" s="17">
        <f>G129*H129</f>
        <v>0</v>
      </c>
      <c r="L129" s="28"/>
      <c r="Z129" s="33">
        <f>IF(AQ129="5",BJ129,0)</f>
        <v>0</v>
      </c>
      <c r="AB129" s="33">
        <f>IF(AQ129="1",BH129,0)</f>
        <v>0</v>
      </c>
      <c r="AC129" s="33">
        <f>IF(AQ129="1",BI129,0)</f>
        <v>0</v>
      </c>
      <c r="AD129" s="33">
        <f>IF(AQ129="7",BH129,0)</f>
        <v>0</v>
      </c>
      <c r="AE129" s="33">
        <f>IF(AQ129="7",BI129,0)</f>
        <v>0</v>
      </c>
      <c r="AF129" s="33">
        <f>IF(AQ129="2",BH129,0)</f>
        <v>0</v>
      </c>
      <c r="AG129" s="33">
        <f>IF(AQ129="2",BI129,0)</f>
        <v>0</v>
      </c>
      <c r="AH129" s="33">
        <f>IF(AQ129="0",BJ129,0)</f>
        <v>0</v>
      </c>
      <c r="AI129" s="29"/>
      <c r="AJ129" s="17">
        <f>IF(AN129=0,K129,0)</f>
        <v>0</v>
      </c>
      <c r="AK129" s="17">
        <f>IF(AN129=15,K129,0)</f>
        <v>0</v>
      </c>
      <c r="AL129" s="17">
        <f>IF(AN129=21,K129,0)</f>
        <v>0</v>
      </c>
      <c r="AN129" s="33">
        <v>21</v>
      </c>
      <c r="AO129" s="33">
        <f>H129*0</f>
        <v>0</v>
      </c>
      <c r="AP129" s="33">
        <f>H129*(1-0)</f>
        <v>0</v>
      </c>
      <c r="AQ129" s="28" t="s">
        <v>13</v>
      </c>
      <c r="AV129" s="33">
        <f>AW129+AX129</f>
        <v>0</v>
      </c>
      <c r="AW129" s="33">
        <f>G129*AO129</f>
        <v>0</v>
      </c>
      <c r="AX129" s="33">
        <f>G129*AP129</f>
        <v>0</v>
      </c>
      <c r="AY129" s="34" t="s">
        <v>365</v>
      </c>
      <c r="AZ129" s="34" t="s">
        <v>376</v>
      </c>
      <c r="BA129" s="29" t="s">
        <v>379</v>
      </c>
      <c r="BC129" s="33">
        <f>AW129+AX129</f>
        <v>0</v>
      </c>
      <c r="BD129" s="33">
        <f>H129/(100-BE129)*100</f>
        <v>0</v>
      </c>
      <c r="BE129" s="33">
        <v>0</v>
      </c>
      <c r="BF129" s="33">
        <f>129</f>
        <v>129</v>
      </c>
      <c r="BH129" s="17">
        <f>G129*AO129</f>
        <v>0</v>
      </c>
      <c r="BI129" s="17">
        <f>G129*AP129</f>
        <v>0</v>
      </c>
      <c r="BJ129" s="17">
        <f>G129*H129</f>
        <v>0</v>
      </c>
    </row>
    <row r="130" spans="2:12" ht="12.75">
      <c r="B130" s="13" t="s">
        <v>94</v>
      </c>
      <c r="C130" s="84" t="s">
        <v>281</v>
      </c>
      <c r="D130" s="85"/>
      <c r="E130" s="85"/>
      <c r="F130" s="85"/>
      <c r="G130" s="85"/>
      <c r="H130" s="85"/>
      <c r="I130" s="85"/>
      <c r="J130" s="85"/>
      <c r="K130" s="85"/>
      <c r="L130" s="85"/>
    </row>
    <row r="131" spans="1:62" ht="12.75">
      <c r="A131" s="4" t="s">
        <v>51</v>
      </c>
      <c r="B131" s="4" t="s">
        <v>139</v>
      </c>
      <c r="C131" s="78" t="s">
        <v>475</v>
      </c>
      <c r="D131" s="79"/>
      <c r="E131" s="79"/>
      <c r="F131" s="4" t="s">
        <v>324</v>
      </c>
      <c r="G131" s="17">
        <v>76</v>
      </c>
      <c r="H131" s="72"/>
      <c r="I131" s="17">
        <f>G131*AO131</f>
        <v>0</v>
      </c>
      <c r="J131" s="17">
        <f>G131*AP131</f>
        <v>0</v>
      </c>
      <c r="K131" s="17">
        <f>G131*H131</f>
        <v>0</v>
      </c>
      <c r="L131" s="28"/>
      <c r="Z131" s="33">
        <f>IF(AQ131="5",BJ131,0)</f>
        <v>0</v>
      </c>
      <c r="AB131" s="33">
        <f>IF(AQ131="1",BH131,0)</f>
        <v>0</v>
      </c>
      <c r="AC131" s="33">
        <f>IF(AQ131="1",BI131,0)</f>
        <v>0</v>
      </c>
      <c r="AD131" s="33">
        <f>IF(AQ131="7",BH131,0)</f>
        <v>0</v>
      </c>
      <c r="AE131" s="33">
        <f>IF(AQ131="7",BI131,0)</f>
        <v>0</v>
      </c>
      <c r="AF131" s="33">
        <f>IF(AQ131="2",BH131,0)</f>
        <v>0</v>
      </c>
      <c r="AG131" s="33">
        <f>IF(AQ131="2",BI131,0)</f>
        <v>0</v>
      </c>
      <c r="AH131" s="33">
        <f>IF(AQ131="0",BJ131,0)</f>
        <v>0</v>
      </c>
      <c r="AI131" s="29"/>
      <c r="AJ131" s="17">
        <f>IF(AN131=0,K131,0)</f>
        <v>0</v>
      </c>
      <c r="AK131" s="17">
        <f>IF(AN131=15,K131,0)</f>
        <v>0</v>
      </c>
      <c r="AL131" s="17">
        <f>IF(AN131=21,K131,0)</f>
        <v>0</v>
      </c>
      <c r="AN131" s="33">
        <v>21</v>
      </c>
      <c r="AO131" s="33">
        <f>H131*0</f>
        <v>0</v>
      </c>
      <c r="AP131" s="33">
        <f>H131*(1-0)</f>
        <v>0</v>
      </c>
      <c r="AQ131" s="28" t="s">
        <v>13</v>
      </c>
      <c r="AV131" s="33">
        <f>AW131+AX131</f>
        <v>0</v>
      </c>
      <c r="AW131" s="33">
        <f>G131*AO131</f>
        <v>0</v>
      </c>
      <c r="AX131" s="33">
        <f>G131*AP131</f>
        <v>0</v>
      </c>
      <c r="AY131" s="34" t="s">
        <v>365</v>
      </c>
      <c r="AZ131" s="34" t="s">
        <v>376</v>
      </c>
      <c r="BA131" s="29" t="s">
        <v>379</v>
      </c>
      <c r="BC131" s="33">
        <f>AW131+AX131</f>
        <v>0</v>
      </c>
      <c r="BD131" s="33">
        <f>H131/(100-BE131)*100</f>
        <v>0</v>
      </c>
      <c r="BE131" s="33">
        <v>0</v>
      </c>
      <c r="BF131" s="33">
        <f>131</f>
        <v>131</v>
      </c>
      <c r="BH131" s="17">
        <f>G131*AO131</f>
        <v>0</v>
      </c>
      <c r="BI131" s="17">
        <f>G131*AP131</f>
        <v>0</v>
      </c>
      <c r="BJ131" s="17">
        <f>G131*H131</f>
        <v>0</v>
      </c>
    </row>
    <row r="132" spans="2:12" ht="12.75">
      <c r="B132" s="13" t="s">
        <v>94</v>
      </c>
      <c r="C132" s="84" t="s">
        <v>281</v>
      </c>
      <c r="D132" s="85"/>
      <c r="E132" s="85"/>
      <c r="F132" s="85"/>
      <c r="G132" s="85"/>
      <c r="H132" s="85"/>
      <c r="I132" s="85"/>
      <c r="J132" s="85"/>
      <c r="K132" s="85"/>
      <c r="L132" s="85"/>
    </row>
    <row r="133" spans="1:62" ht="12.75">
      <c r="A133" s="4" t="s">
        <v>52</v>
      </c>
      <c r="B133" s="4" t="s">
        <v>140</v>
      </c>
      <c r="C133" s="78" t="s">
        <v>474</v>
      </c>
      <c r="D133" s="79"/>
      <c r="E133" s="79"/>
      <c r="F133" s="4" t="s">
        <v>324</v>
      </c>
      <c r="G133" s="17">
        <v>12</v>
      </c>
      <c r="H133" s="72"/>
      <c r="I133" s="17">
        <f>G133*AO133</f>
        <v>0</v>
      </c>
      <c r="J133" s="17">
        <f>G133*AP133</f>
        <v>0</v>
      </c>
      <c r="K133" s="17">
        <f>G133*H133</f>
        <v>0</v>
      </c>
      <c r="L133" s="28"/>
      <c r="Z133" s="33">
        <f>IF(AQ133="5",BJ133,0)</f>
        <v>0</v>
      </c>
      <c r="AB133" s="33">
        <f>IF(AQ133="1",BH133,0)</f>
        <v>0</v>
      </c>
      <c r="AC133" s="33">
        <f>IF(AQ133="1",BI133,0)</f>
        <v>0</v>
      </c>
      <c r="AD133" s="33">
        <f>IF(AQ133="7",BH133,0)</f>
        <v>0</v>
      </c>
      <c r="AE133" s="33">
        <f>IF(AQ133="7",BI133,0)</f>
        <v>0</v>
      </c>
      <c r="AF133" s="33">
        <f>IF(AQ133="2",BH133,0)</f>
        <v>0</v>
      </c>
      <c r="AG133" s="33">
        <f>IF(AQ133="2",BI133,0)</f>
        <v>0</v>
      </c>
      <c r="AH133" s="33">
        <f>IF(AQ133="0",BJ133,0)</f>
        <v>0</v>
      </c>
      <c r="AI133" s="29"/>
      <c r="AJ133" s="17">
        <f>IF(AN133=0,K133,0)</f>
        <v>0</v>
      </c>
      <c r="AK133" s="17">
        <f>IF(AN133=15,K133,0)</f>
        <v>0</v>
      </c>
      <c r="AL133" s="17">
        <f>IF(AN133=21,K133,0)</f>
        <v>0</v>
      </c>
      <c r="AN133" s="33">
        <v>21</v>
      </c>
      <c r="AO133" s="33">
        <f>H133*0</f>
        <v>0</v>
      </c>
      <c r="AP133" s="33">
        <f>H133*(1-0)</f>
        <v>0</v>
      </c>
      <c r="AQ133" s="28" t="s">
        <v>13</v>
      </c>
      <c r="AV133" s="33">
        <f>AW133+AX133</f>
        <v>0</v>
      </c>
      <c r="AW133" s="33">
        <f>G133*AO133</f>
        <v>0</v>
      </c>
      <c r="AX133" s="33">
        <f>G133*AP133</f>
        <v>0</v>
      </c>
      <c r="AY133" s="34" t="s">
        <v>365</v>
      </c>
      <c r="AZ133" s="34" t="s">
        <v>376</v>
      </c>
      <c r="BA133" s="29" t="s">
        <v>379</v>
      </c>
      <c r="BC133" s="33">
        <f>AW133+AX133</f>
        <v>0</v>
      </c>
      <c r="BD133" s="33">
        <f>H133/(100-BE133)*100</f>
        <v>0</v>
      </c>
      <c r="BE133" s="33">
        <v>0</v>
      </c>
      <c r="BF133" s="33">
        <f>133</f>
        <v>133</v>
      </c>
      <c r="BH133" s="17">
        <f>G133*AO133</f>
        <v>0</v>
      </c>
      <c r="BI133" s="17">
        <f>G133*AP133</f>
        <v>0</v>
      </c>
      <c r="BJ133" s="17">
        <f>G133*H133</f>
        <v>0</v>
      </c>
    </row>
    <row r="134" spans="2:12" ht="12.75">
      <c r="B134" s="13" t="s">
        <v>94</v>
      </c>
      <c r="C134" s="84" t="s">
        <v>282</v>
      </c>
      <c r="D134" s="85"/>
      <c r="E134" s="85"/>
      <c r="F134" s="85"/>
      <c r="G134" s="85"/>
      <c r="H134" s="85"/>
      <c r="I134" s="85"/>
      <c r="J134" s="85"/>
      <c r="K134" s="85"/>
      <c r="L134" s="85"/>
    </row>
    <row r="135" spans="1:62" ht="12.75">
      <c r="A135" s="4" t="s">
        <v>53</v>
      </c>
      <c r="B135" s="4" t="s">
        <v>141</v>
      </c>
      <c r="C135" s="78" t="s">
        <v>475</v>
      </c>
      <c r="D135" s="79"/>
      <c r="E135" s="79"/>
      <c r="F135" s="4" t="s">
        <v>324</v>
      </c>
      <c r="G135" s="17">
        <v>11</v>
      </c>
      <c r="H135" s="72"/>
      <c r="I135" s="17">
        <f>G135*AO135</f>
        <v>0</v>
      </c>
      <c r="J135" s="17">
        <f>G135*AP135</f>
        <v>0</v>
      </c>
      <c r="K135" s="17">
        <f>G135*H135</f>
        <v>0</v>
      </c>
      <c r="L135" s="28"/>
      <c r="Z135" s="33">
        <f>IF(AQ135="5",BJ135,0)</f>
        <v>0</v>
      </c>
      <c r="AB135" s="33">
        <f>IF(AQ135="1",BH135,0)</f>
        <v>0</v>
      </c>
      <c r="AC135" s="33">
        <f>IF(AQ135="1",BI135,0)</f>
        <v>0</v>
      </c>
      <c r="AD135" s="33">
        <f>IF(AQ135="7",BH135,0)</f>
        <v>0</v>
      </c>
      <c r="AE135" s="33">
        <f>IF(AQ135="7",BI135,0)</f>
        <v>0</v>
      </c>
      <c r="AF135" s="33">
        <f>IF(AQ135="2",BH135,0)</f>
        <v>0</v>
      </c>
      <c r="AG135" s="33">
        <f>IF(AQ135="2",BI135,0)</f>
        <v>0</v>
      </c>
      <c r="AH135" s="33">
        <f>IF(AQ135="0",BJ135,0)</f>
        <v>0</v>
      </c>
      <c r="AI135" s="29"/>
      <c r="AJ135" s="17">
        <f>IF(AN135=0,K135,0)</f>
        <v>0</v>
      </c>
      <c r="AK135" s="17">
        <f>IF(AN135=15,K135,0)</f>
        <v>0</v>
      </c>
      <c r="AL135" s="17">
        <f>IF(AN135=21,K135,0)</f>
        <v>0</v>
      </c>
      <c r="AN135" s="33">
        <v>21</v>
      </c>
      <c r="AO135" s="33">
        <f>H135*0</f>
        <v>0</v>
      </c>
      <c r="AP135" s="33">
        <f>H135*(1-0)</f>
        <v>0</v>
      </c>
      <c r="AQ135" s="28" t="s">
        <v>13</v>
      </c>
      <c r="AV135" s="33">
        <f>AW135+AX135</f>
        <v>0</v>
      </c>
      <c r="AW135" s="33">
        <f>G135*AO135</f>
        <v>0</v>
      </c>
      <c r="AX135" s="33">
        <f>G135*AP135</f>
        <v>0</v>
      </c>
      <c r="AY135" s="34" t="s">
        <v>365</v>
      </c>
      <c r="AZ135" s="34" t="s">
        <v>376</v>
      </c>
      <c r="BA135" s="29" t="s">
        <v>379</v>
      </c>
      <c r="BC135" s="33">
        <f>AW135+AX135</f>
        <v>0</v>
      </c>
      <c r="BD135" s="33">
        <f>H135/(100-BE135)*100</f>
        <v>0</v>
      </c>
      <c r="BE135" s="33">
        <v>0</v>
      </c>
      <c r="BF135" s="33">
        <f>135</f>
        <v>135</v>
      </c>
      <c r="BH135" s="17">
        <f>G135*AO135</f>
        <v>0</v>
      </c>
      <c r="BI135" s="17">
        <f>G135*AP135</f>
        <v>0</v>
      </c>
      <c r="BJ135" s="17">
        <f>G135*H135</f>
        <v>0</v>
      </c>
    </row>
    <row r="136" spans="2:12" ht="12.75">
      <c r="B136" s="13" t="s">
        <v>94</v>
      </c>
      <c r="C136" s="84" t="s">
        <v>282</v>
      </c>
      <c r="D136" s="85"/>
      <c r="E136" s="85"/>
      <c r="F136" s="85"/>
      <c r="G136" s="85"/>
      <c r="H136" s="85"/>
      <c r="I136" s="85"/>
      <c r="J136" s="85"/>
      <c r="K136" s="85"/>
      <c r="L136" s="85"/>
    </row>
    <row r="137" spans="1:62" ht="12.75">
      <c r="A137" s="4" t="s">
        <v>54</v>
      </c>
      <c r="B137" s="4" t="s">
        <v>142</v>
      </c>
      <c r="C137" s="78" t="s">
        <v>476</v>
      </c>
      <c r="D137" s="79"/>
      <c r="E137" s="79"/>
      <c r="F137" s="4" t="s">
        <v>324</v>
      </c>
      <c r="G137" s="17">
        <v>20</v>
      </c>
      <c r="H137" s="72"/>
      <c r="I137" s="17">
        <f>G137*AO137</f>
        <v>0</v>
      </c>
      <c r="J137" s="17">
        <f>G137*AP137</f>
        <v>0</v>
      </c>
      <c r="K137" s="17">
        <f>G137*H137</f>
        <v>0</v>
      </c>
      <c r="L137" s="28"/>
      <c r="Z137" s="33">
        <f>IF(AQ137="5",BJ137,0)</f>
        <v>0</v>
      </c>
      <c r="AB137" s="33">
        <f>IF(AQ137="1",BH137,0)</f>
        <v>0</v>
      </c>
      <c r="AC137" s="33">
        <f>IF(AQ137="1",BI137,0)</f>
        <v>0</v>
      </c>
      <c r="AD137" s="33">
        <f>IF(AQ137="7",BH137,0)</f>
        <v>0</v>
      </c>
      <c r="AE137" s="33">
        <f>IF(AQ137="7",BI137,0)</f>
        <v>0</v>
      </c>
      <c r="AF137" s="33">
        <f>IF(AQ137="2",BH137,0)</f>
        <v>0</v>
      </c>
      <c r="AG137" s="33">
        <f>IF(AQ137="2",BI137,0)</f>
        <v>0</v>
      </c>
      <c r="AH137" s="33">
        <f>IF(AQ137="0",BJ137,0)</f>
        <v>0</v>
      </c>
      <c r="AI137" s="29"/>
      <c r="AJ137" s="17">
        <f>IF(AN137=0,K137,0)</f>
        <v>0</v>
      </c>
      <c r="AK137" s="17">
        <f>IF(AN137=15,K137,0)</f>
        <v>0</v>
      </c>
      <c r="AL137" s="17">
        <f>IF(AN137=21,K137,0)</f>
        <v>0</v>
      </c>
      <c r="AN137" s="33">
        <v>21</v>
      </c>
      <c r="AO137" s="33">
        <f>H137*0</f>
        <v>0</v>
      </c>
      <c r="AP137" s="33">
        <f>H137*(1-0)</f>
        <v>0</v>
      </c>
      <c r="AQ137" s="28" t="s">
        <v>13</v>
      </c>
      <c r="AV137" s="33">
        <f>AW137+AX137</f>
        <v>0</v>
      </c>
      <c r="AW137" s="33">
        <f>G137*AO137</f>
        <v>0</v>
      </c>
      <c r="AX137" s="33">
        <f>G137*AP137</f>
        <v>0</v>
      </c>
      <c r="AY137" s="34" t="s">
        <v>365</v>
      </c>
      <c r="AZ137" s="34" t="s">
        <v>376</v>
      </c>
      <c r="BA137" s="29" t="s">
        <v>379</v>
      </c>
      <c r="BC137" s="33">
        <f>AW137+AX137</f>
        <v>0</v>
      </c>
      <c r="BD137" s="33">
        <f>H137/(100-BE137)*100</f>
        <v>0</v>
      </c>
      <c r="BE137" s="33">
        <v>0</v>
      </c>
      <c r="BF137" s="33">
        <f>137</f>
        <v>137</v>
      </c>
      <c r="BH137" s="17">
        <f>G137*AO137</f>
        <v>0</v>
      </c>
      <c r="BI137" s="17">
        <f>G137*AP137</f>
        <v>0</v>
      </c>
      <c r="BJ137" s="17">
        <f>G137*H137</f>
        <v>0</v>
      </c>
    </row>
    <row r="138" spans="2:12" ht="12.75">
      <c r="B138" s="13" t="s">
        <v>94</v>
      </c>
      <c r="C138" s="84" t="s">
        <v>281</v>
      </c>
      <c r="D138" s="85"/>
      <c r="E138" s="85"/>
      <c r="F138" s="85"/>
      <c r="G138" s="85"/>
      <c r="H138" s="85"/>
      <c r="I138" s="85"/>
      <c r="J138" s="85"/>
      <c r="K138" s="85"/>
      <c r="L138" s="85"/>
    </row>
    <row r="139" spans="1:62" ht="12.75">
      <c r="A139" s="4" t="s">
        <v>55</v>
      </c>
      <c r="B139" s="4" t="s">
        <v>143</v>
      </c>
      <c r="C139" s="78" t="s">
        <v>476</v>
      </c>
      <c r="D139" s="79"/>
      <c r="E139" s="79"/>
      <c r="F139" s="4" t="s">
        <v>324</v>
      </c>
      <c r="G139" s="17">
        <v>4</v>
      </c>
      <c r="H139" s="72"/>
      <c r="I139" s="17">
        <f>G139*AO139</f>
        <v>0</v>
      </c>
      <c r="J139" s="17">
        <f>G139*AP139</f>
        <v>0</v>
      </c>
      <c r="K139" s="17">
        <f>G139*H139</f>
        <v>0</v>
      </c>
      <c r="L139" s="28"/>
      <c r="Z139" s="33">
        <f>IF(AQ139="5",BJ139,0)</f>
        <v>0</v>
      </c>
      <c r="AB139" s="33">
        <f>IF(AQ139="1",BH139,0)</f>
        <v>0</v>
      </c>
      <c r="AC139" s="33">
        <f>IF(AQ139="1",BI139,0)</f>
        <v>0</v>
      </c>
      <c r="AD139" s="33">
        <f>IF(AQ139="7",BH139,0)</f>
        <v>0</v>
      </c>
      <c r="AE139" s="33">
        <f>IF(AQ139="7",BI139,0)</f>
        <v>0</v>
      </c>
      <c r="AF139" s="33">
        <f>IF(AQ139="2",BH139,0)</f>
        <v>0</v>
      </c>
      <c r="AG139" s="33">
        <f>IF(AQ139="2",BI139,0)</f>
        <v>0</v>
      </c>
      <c r="AH139" s="33">
        <f>IF(AQ139="0",BJ139,0)</f>
        <v>0</v>
      </c>
      <c r="AI139" s="29"/>
      <c r="AJ139" s="17">
        <f>IF(AN139=0,K139,0)</f>
        <v>0</v>
      </c>
      <c r="AK139" s="17">
        <f>IF(AN139=15,K139,0)</f>
        <v>0</v>
      </c>
      <c r="AL139" s="17">
        <f>IF(AN139=21,K139,0)</f>
        <v>0</v>
      </c>
      <c r="AN139" s="33">
        <v>21</v>
      </c>
      <c r="AO139" s="33">
        <f>H139*0</f>
        <v>0</v>
      </c>
      <c r="AP139" s="33">
        <f>H139*(1-0)</f>
        <v>0</v>
      </c>
      <c r="AQ139" s="28" t="s">
        <v>13</v>
      </c>
      <c r="AV139" s="33">
        <f>AW139+AX139</f>
        <v>0</v>
      </c>
      <c r="AW139" s="33">
        <f>G139*AO139</f>
        <v>0</v>
      </c>
      <c r="AX139" s="33">
        <f>G139*AP139</f>
        <v>0</v>
      </c>
      <c r="AY139" s="34" t="s">
        <v>365</v>
      </c>
      <c r="AZ139" s="34" t="s">
        <v>376</v>
      </c>
      <c r="BA139" s="29" t="s">
        <v>379</v>
      </c>
      <c r="BC139" s="33">
        <f>AW139+AX139</f>
        <v>0</v>
      </c>
      <c r="BD139" s="33">
        <f>H139/(100-BE139)*100</f>
        <v>0</v>
      </c>
      <c r="BE139" s="33">
        <v>0</v>
      </c>
      <c r="BF139" s="33">
        <f>139</f>
        <v>139</v>
      </c>
      <c r="BH139" s="17">
        <f>G139*AO139</f>
        <v>0</v>
      </c>
      <c r="BI139" s="17">
        <f>G139*AP139</f>
        <v>0</v>
      </c>
      <c r="BJ139" s="17">
        <f>G139*H139</f>
        <v>0</v>
      </c>
    </row>
    <row r="140" spans="2:12" ht="12.75">
      <c r="B140" s="13" t="s">
        <v>94</v>
      </c>
      <c r="C140" s="84" t="s">
        <v>282</v>
      </c>
      <c r="D140" s="85"/>
      <c r="E140" s="85"/>
      <c r="F140" s="85"/>
      <c r="G140" s="85"/>
      <c r="H140" s="85"/>
      <c r="I140" s="85"/>
      <c r="J140" s="85"/>
      <c r="K140" s="85"/>
      <c r="L140" s="85"/>
    </row>
    <row r="141" spans="1:62" ht="12.75">
      <c r="A141" s="4" t="s">
        <v>56</v>
      </c>
      <c r="B141" s="4" t="s">
        <v>144</v>
      </c>
      <c r="C141" s="78" t="s">
        <v>477</v>
      </c>
      <c r="D141" s="79"/>
      <c r="E141" s="79"/>
      <c r="F141" s="4" t="s">
        <v>324</v>
      </c>
      <c r="G141" s="17">
        <v>6</v>
      </c>
      <c r="H141" s="72"/>
      <c r="I141" s="17">
        <f>G141*AO141</f>
        <v>0</v>
      </c>
      <c r="J141" s="17">
        <f>G141*AP141</f>
        <v>0</v>
      </c>
      <c r="K141" s="17">
        <f>G141*H141</f>
        <v>0</v>
      </c>
      <c r="L141" s="28"/>
      <c r="Z141" s="33">
        <f>IF(AQ141="5",BJ141,0)</f>
        <v>0</v>
      </c>
      <c r="AB141" s="33">
        <f>IF(AQ141="1",BH141,0)</f>
        <v>0</v>
      </c>
      <c r="AC141" s="33">
        <f>IF(AQ141="1",BI141,0)</f>
        <v>0</v>
      </c>
      <c r="AD141" s="33">
        <f>IF(AQ141="7",BH141,0)</f>
        <v>0</v>
      </c>
      <c r="AE141" s="33">
        <f>IF(AQ141="7",BI141,0)</f>
        <v>0</v>
      </c>
      <c r="AF141" s="33">
        <f>IF(AQ141="2",BH141,0)</f>
        <v>0</v>
      </c>
      <c r="AG141" s="33">
        <f>IF(AQ141="2",BI141,0)</f>
        <v>0</v>
      </c>
      <c r="AH141" s="33">
        <f>IF(AQ141="0",BJ141,0)</f>
        <v>0</v>
      </c>
      <c r="AI141" s="29"/>
      <c r="AJ141" s="17">
        <f>IF(AN141=0,K141,0)</f>
        <v>0</v>
      </c>
      <c r="AK141" s="17">
        <f>IF(AN141=15,K141,0)</f>
        <v>0</v>
      </c>
      <c r="AL141" s="17">
        <f>IF(AN141=21,K141,0)</f>
        <v>0</v>
      </c>
      <c r="AN141" s="33">
        <v>21</v>
      </c>
      <c r="AO141" s="33">
        <f>H141*0</f>
        <v>0</v>
      </c>
      <c r="AP141" s="33">
        <f>H141*(1-0)</f>
        <v>0</v>
      </c>
      <c r="AQ141" s="28" t="s">
        <v>13</v>
      </c>
      <c r="AV141" s="33">
        <f>AW141+AX141</f>
        <v>0</v>
      </c>
      <c r="AW141" s="33">
        <f>G141*AO141</f>
        <v>0</v>
      </c>
      <c r="AX141" s="33">
        <f>G141*AP141</f>
        <v>0</v>
      </c>
      <c r="AY141" s="34" t="s">
        <v>365</v>
      </c>
      <c r="AZ141" s="34" t="s">
        <v>376</v>
      </c>
      <c r="BA141" s="29" t="s">
        <v>379</v>
      </c>
      <c r="BC141" s="33">
        <f>AW141+AX141</f>
        <v>0</v>
      </c>
      <c r="BD141" s="33">
        <f>H141/(100-BE141)*100</f>
        <v>0</v>
      </c>
      <c r="BE141" s="33">
        <v>0</v>
      </c>
      <c r="BF141" s="33">
        <f>141</f>
        <v>141</v>
      </c>
      <c r="BH141" s="17">
        <f>G141*AO141</f>
        <v>0</v>
      </c>
      <c r="BI141" s="17">
        <f>G141*AP141</f>
        <v>0</v>
      </c>
      <c r="BJ141" s="17">
        <f>G141*H141</f>
        <v>0</v>
      </c>
    </row>
    <row r="142" spans="2:12" ht="12.75">
      <c r="B142" s="13" t="s">
        <v>94</v>
      </c>
      <c r="C142" s="84" t="s">
        <v>283</v>
      </c>
      <c r="D142" s="85"/>
      <c r="E142" s="85"/>
      <c r="F142" s="85"/>
      <c r="G142" s="85"/>
      <c r="H142" s="85"/>
      <c r="I142" s="85"/>
      <c r="J142" s="85"/>
      <c r="K142" s="85"/>
      <c r="L142" s="85"/>
    </row>
    <row r="143" spans="1:62" ht="12.75">
      <c r="A143" s="4" t="s">
        <v>57</v>
      </c>
      <c r="B143" s="4" t="s">
        <v>145</v>
      </c>
      <c r="C143" s="78" t="s">
        <v>478</v>
      </c>
      <c r="D143" s="79"/>
      <c r="E143" s="79"/>
      <c r="F143" s="4" t="s">
        <v>324</v>
      </c>
      <c r="G143" s="17">
        <v>8</v>
      </c>
      <c r="H143" s="72"/>
      <c r="I143" s="17">
        <f>G143*AO143</f>
        <v>0</v>
      </c>
      <c r="J143" s="17">
        <f>G143*AP143</f>
        <v>0</v>
      </c>
      <c r="K143" s="17">
        <f>G143*H143</f>
        <v>0</v>
      </c>
      <c r="L143" s="28"/>
      <c r="Z143" s="33">
        <f>IF(AQ143="5",BJ143,0)</f>
        <v>0</v>
      </c>
      <c r="AB143" s="33">
        <f>IF(AQ143="1",BH143,0)</f>
        <v>0</v>
      </c>
      <c r="AC143" s="33">
        <f>IF(AQ143="1",BI143,0)</f>
        <v>0</v>
      </c>
      <c r="AD143" s="33">
        <f>IF(AQ143="7",BH143,0)</f>
        <v>0</v>
      </c>
      <c r="AE143" s="33">
        <f>IF(AQ143="7",BI143,0)</f>
        <v>0</v>
      </c>
      <c r="AF143" s="33">
        <f>IF(AQ143="2",BH143,0)</f>
        <v>0</v>
      </c>
      <c r="AG143" s="33">
        <f>IF(AQ143="2",BI143,0)</f>
        <v>0</v>
      </c>
      <c r="AH143" s="33">
        <f>IF(AQ143="0",BJ143,0)</f>
        <v>0</v>
      </c>
      <c r="AI143" s="29"/>
      <c r="AJ143" s="17">
        <f>IF(AN143=0,K143,0)</f>
        <v>0</v>
      </c>
      <c r="AK143" s="17">
        <f>IF(AN143=15,K143,0)</f>
        <v>0</v>
      </c>
      <c r="AL143" s="17">
        <f>IF(AN143=21,K143,0)</f>
        <v>0</v>
      </c>
      <c r="AN143" s="33">
        <v>21</v>
      </c>
      <c r="AO143" s="33">
        <f>H143*0</f>
        <v>0</v>
      </c>
      <c r="AP143" s="33">
        <f>H143*(1-0)</f>
        <v>0</v>
      </c>
      <c r="AQ143" s="28" t="s">
        <v>13</v>
      </c>
      <c r="AV143" s="33">
        <f>AW143+AX143</f>
        <v>0</v>
      </c>
      <c r="AW143" s="33">
        <f>G143*AO143</f>
        <v>0</v>
      </c>
      <c r="AX143" s="33">
        <f>G143*AP143</f>
        <v>0</v>
      </c>
      <c r="AY143" s="34" t="s">
        <v>365</v>
      </c>
      <c r="AZ143" s="34" t="s">
        <v>376</v>
      </c>
      <c r="BA143" s="29" t="s">
        <v>379</v>
      </c>
      <c r="BC143" s="33">
        <f>AW143+AX143</f>
        <v>0</v>
      </c>
      <c r="BD143" s="33">
        <f>H143/(100-BE143)*100</f>
        <v>0</v>
      </c>
      <c r="BE143" s="33">
        <v>0</v>
      </c>
      <c r="BF143" s="33">
        <f>143</f>
        <v>143</v>
      </c>
      <c r="BH143" s="17">
        <f>G143*AO143</f>
        <v>0</v>
      </c>
      <c r="BI143" s="17">
        <f>G143*AP143</f>
        <v>0</v>
      </c>
      <c r="BJ143" s="17">
        <f>G143*H143</f>
        <v>0</v>
      </c>
    </row>
    <row r="144" spans="2:12" ht="12.75">
      <c r="B144" s="13" t="s">
        <v>94</v>
      </c>
      <c r="C144" s="84" t="s">
        <v>281</v>
      </c>
      <c r="D144" s="85"/>
      <c r="E144" s="85"/>
      <c r="F144" s="85"/>
      <c r="G144" s="85"/>
      <c r="H144" s="85"/>
      <c r="I144" s="85"/>
      <c r="J144" s="85"/>
      <c r="K144" s="85"/>
      <c r="L144" s="85"/>
    </row>
    <row r="145" spans="1:62" ht="12.75">
      <c r="A145" s="4" t="s">
        <v>58</v>
      </c>
      <c r="B145" s="4" t="s">
        <v>146</v>
      </c>
      <c r="C145" s="78" t="s">
        <v>479</v>
      </c>
      <c r="D145" s="79"/>
      <c r="E145" s="79"/>
      <c r="F145" s="4" t="s">
        <v>324</v>
      </c>
      <c r="G145" s="17">
        <v>5</v>
      </c>
      <c r="H145" s="72"/>
      <c r="I145" s="17">
        <f>G145*AO145</f>
        <v>0</v>
      </c>
      <c r="J145" s="17">
        <f>G145*AP145</f>
        <v>0</v>
      </c>
      <c r="K145" s="17">
        <f>G145*H145</f>
        <v>0</v>
      </c>
      <c r="L145" s="28"/>
      <c r="Z145" s="33">
        <f>IF(AQ145="5",BJ145,0)</f>
        <v>0</v>
      </c>
      <c r="AB145" s="33">
        <f>IF(AQ145="1",BH145,0)</f>
        <v>0</v>
      </c>
      <c r="AC145" s="33">
        <f>IF(AQ145="1",BI145,0)</f>
        <v>0</v>
      </c>
      <c r="AD145" s="33">
        <f>IF(AQ145="7",BH145,0)</f>
        <v>0</v>
      </c>
      <c r="AE145" s="33">
        <f>IF(AQ145="7",BI145,0)</f>
        <v>0</v>
      </c>
      <c r="AF145" s="33">
        <f>IF(AQ145="2",BH145,0)</f>
        <v>0</v>
      </c>
      <c r="AG145" s="33">
        <f>IF(AQ145="2",BI145,0)</f>
        <v>0</v>
      </c>
      <c r="AH145" s="33">
        <f>IF(AQ145="0",BJ145,0)</f>
        <v>0</v>
      </c>
      <c r="AI145" s="29"/>
      <c r="AJ145" s="17">
        <f>IF(AN145=0,K145,0)</f>
        <v>0</v>
      </c>
      <c r="AK145" s="17">
        <f>IF(AN145=15,K145,0)</f>
        <v>0</v>
      </c>
      <c r="AL145" s="17">
        <f>IF(AN145=21,K145,0)</f>
        <v>0</v>
      </c>
      <c r="AN145" s="33">
        <v>21</v>
      </c>
      <c r="AO145" s="33">
        <f>H145*0</f>
        <v>0</v>
      </c>
      <c r="AP145" s="33">
        <f>H145*(1-0)</f>
        <v>0</v>
      </c>
      <c r="AQ145" s="28" t="s">
        <v>13</v>
      </c>
      <c r="AV145" s="33">
        <f>AW145+AX145</f>
        <v>0</v>
      </c>
      <c r="AW145" s="33">
        <f>G145*AO145</f>
        <v>0</v>
      </c>
      <c r="AX145" s="33">
        <f>G145*AP145</f>
        <v>0</v>
      </c>
      <c r="AY145" s="34" t="s">
        <v>365</v>
      </c>
      <c r="AZ145" s="34" t="s">
        <v>376</v>
      </c>
      <c r="BA145" s="29" t="s">
        <v>379</v>
      </c>
      <c r="BC145" s="33">
        <f>AW145+AX145</f>
        <v>0</v>
      </c>
      <c r="BD145" s="33">
        <f>H145/(100-BE145)*100</f>
        <v>0</v>
      </c>
      <c r="BE145" s="33">
        <v>0</v>
      </c>
      <c r="BF145" s="33">
        <f>145</f>
        <v>145</v>
      </c>
      <c r="BH145" s="17">
        <f>G145*AO145</f>
        <v>0</v>
      </c>
      <c r="BI145" s="17">
        <f>G145*AP145</f>
        <v>0</v>
      </c>
      <c r="BJ145" s="17">
        <f>G145*H145</f>
        <v>0</v>
      </c>
    </row>
    <row r="146" spans="2:12" ht="12.75">
      <c r="B146" s="13" t="s">
        <v>94</v>
      </c>
      <c r="C146" s="84" t="s">
        <v>281</v>
      </c>
      <c r="D146" s="85"/>
      <c r="E146" s="85"/>
      <c r="F146" s="85"/>
      <c r="G146" s="85"/>
      <c r="H146" s="85"/>
      <c r="I146" s="85"/>
      <c r="J146" s="85"/>
      <c r="K146" s="85"/>
      <c r="L146" s="85"/>
    </row>
    <row r="147" spans="1:62" ht="12.75">
      <c r="A147" s="4" t="s">
        <v>59</v>
      </c>
      <c r="B147" s="4" t="s">
        <v>147</v>
      </c>
      <c r="C147" s="78" t="s">
        <v>480</v>
      </c>
      <c r="D147" s="79"/>
      <c r="E147" s="79"/>
      <c r="F147" s="4" t="s">
        <v>324</v>
      </c>
      <c r="G147" s="17">
        <v>4</v>
      </c>
      <c r="H147" s="72"/>
      <c r="I147" s="17">
        <f>G147*AO147</f>
        <v>0</v>
      </c>
      <c r="J147" s="17">
        <f>G147*AP147</f>
        <v>0</v>
      </c>
      <c r="K147" s="17">
        <f>G147*H147</f>
        <v>0</v>
      </c>
      <c r="L147" s="28"/>
      <c r="Z147" s="33">
        <f>IF(AQ147="5",BJ147,0)</f>
        <v>0</v>
      </c>
      <c r="AB147" s="33">
        <f>IF(AQ147="1",BH147,0)</f>
        <v>0</v>
      </c>
      <c r="AC147" s="33">
        <f>IF(AQ147="1",BI147,0)</f>
        <v>0</v>
      </c>
      <c r="AD147" s="33">
        <f>IF(AQ147="7",BH147,0)</f>
        <v>0</v>
      </c>
      <c r="AE147" s="33">
        <f>IF(AQ147="7",BI147,0)</f>
        <v>0</v>
      </c>
      <c r="AF147" s="33">
        <f>IF(AQ147="2",BH147,0)</f>
        <v>0</v>
      </c>
      <c r="AG147" s="33">
        <f>IF(AQ147="2",BI147,0)</f>
        <v>0</v>
      </c>
      <c r="AH147" s="33">
        <f>IF(AQ147="0",BJ147,0)</f>
        <v>0</v>
      </c>
      <c r="AI147" s="29"/>
      <c r="AJ147" s="17">
        <f>IF(AN147=0,K147,0)</f>
        <v>0</v>
      </c>
      <c r="AK147" s="17">
        <f>IF(AN147=15,K147,0)</f>
        <v>0</v>
      </c>
      <c r="AL147" s="17">
        <f>IF(AN147=21,K147,0)</f>
        <v>0</v>
      </c>
      <c r="AN147" s="33">
        <v>21</v>
      </c>
      <c r="AO147" s="33">
        <f>H147*0</f>
        <v>0</v>
      </c>
      <c r="AP147" s="33">
        <f>H147*(1-0)</f>
        <v>0</v>
      </c>
      <c r="AQ147" s="28" t="s">
        <v>13</v>
      </c>
      <c r="AV147" s="33">
        <f>AW147+AX147</f>
        <v>0</v>
      </c>
      <c r="AW147" s="33">
        <f>G147*AO147</f>
        <v>0</v>
      </c>
      <c r="AX147" s="33">
        <f>G147*AP147</f>
        <v>0</v>
      </c>
      <c r="AY147" s="34" t="s">
        <v>365</v>
      </c>
      <c r="AZ147" s="34" t="s">
        <v>376</v>
      </c>
      <c r="BA147" s="29" t="s">
        <v>379</v>
      </c>
      <c r="BC147" s="33">
        <f>AW147+AX147</f>
        <v>0</v>
      </c>
      <c r="BD147" s="33">
        <f>H147/(100-BE147)*100</f>
        <v>0</v>
      </c>
      <c r="BE147" s="33">
        <v>0</v>
      </c>
      <c r="BF147" s="33">
        <f>147</f>
        <v>147</v>
      </c>
      <c r="BH147" s="17">
        <f>G147*AO147</f>
        <v>0</v>
      </c>
      <c r="BI147" s="17">
        <f>G147*AP147</f>
        <v>0</v>
      </c>
      <c r="BJ147" s="17">
        <f>G147*H147</f>
        <v>0</v>
      </c>
    </row>
    <row r="148" spans="2:12" ht="12.75">
      <c r="B148" s="13" t="s">
        <v>94</v>
      </c>
      <c r="C148" s="84" t="s">
        <v>281</v>
      </c>
      <c r="D148" s="85"/>
      <c r="E148" s="85"/>
      <c r="F148" s="85"/>
      <c r="G148" s="85"/>
      <c r="H148" s="85"/>
      <c r="I148" s="85"/>
      <c r="J148" s="85"/>
      <c r="K148" s="85"/>
      <c r="L148" s="85"/>
    </row>
    <row r="149" spans="1:62" ht="12.75">
      <c r="A149" s="4" t="s">
        <v>60</v>
      </c>
      <c r="B149" s="4" t="s">
        <v>148</v>
      </c>
      <c r="C149" s="78" t="s">
        <v>481</v>
      </c>
      <c r="D149" s="79"/>
      <c r="E149" s="79"/>
      <c r="F149" s="4" t="s">
        <v>321</v>
      </c>
      <c r="G149" s="17">
        <v>9</v>
      </c>
      <c r="H149" s="72"/>
      <c r="I149" s="17">
        <f>G149*AO149</f>
        <v>0</v>
      </c>
      <c r="J149" s="17">
        <f>G149*AP149</f>
        <v>0</v>
      </c>
      <c r="K149" s="17">
        <f>G149*H149</f>
        <v>0</v>
      </c>
      <c r="L149" s="28"/>
      <c r="Z149" s="33">
        <f>IF(AQ149="5",BJ149,0)</f>
        <v>0</v>
      </c>
      <c r="AB149" s="33">
        <f>IF(AQ149="1",BH149,0)</f>
        <v>0</v>
      </c>
      <c r="AC149" s="33">
        <f>IF(AQ149="1",BI149,0)</f>
        <v>0</v>
      </c>
      <c r="AD149" s="33">
        <f>IF(AQ149="7",BH149,0)</f>
        <v>0</v>
      </c>
      <c r="AE149" s="33">
        <f>IF(AQ149="7",BI149,0)</f>
        <v>0</v>
      </c>
      <c r="AF149" s="33">
        <f>IF(AQ149="2",BH149,0)</f>
        <v>0</v>
      </c>
      <c r="AG149" s="33">
        <f>IF(AQ149="2",BI149,0)</f>
        <v>0</v>
      </c>
      <c r="AH149" s="33">
        <f>IF(AQ149="0",BJ149,0)</f>
        <v>0</v>
      </c>
      <c r="AI149" s="29"/>
      <c r="AJ149" s="17">
        <f>IF(AN149=0,K149,0)</f>
        <v>0</v>
      </c>
      <c r="AK149" s="17">
        <f>IF(AN149=15,K149,0)</f>
        <v>0</v>
      </c>
      <c r="AL149" s="17">
        <f>IF(AN149=21,K149,0)</f>
        <v>0</v>
      </c>
      <c r="AN149" s="33">
        <v>21</v>
      </c>
      <c r="AO149" s="33">
        <f>H149*0</f>
        <v>0</v>
      </c>
      <c r="AP149" s="33">
        <f>H149*(1-0)</f>
        <v>0</v>
      </c>
      <c r="AQ149" s="28" t="s">
        <v>13</v>
      </c>
      <c r="AV149" s="33">
        <f>AW149+AX149</f>
        <v>0</v>
      </c>
      <c r="AW149" s="33">
        <f>G149*AO149</f>
        <v>0</v>
      </c>
      <c r="AX149" s="33">
        <f>G149*AP149</f>
        <v>0</v>
      </c>
      <c r="AY149" s="34" t="s">
        <v>365</v>
      </c>
      <c r="AZ149" s="34" t="s">
        <v>376</v>
      </c>
      <c r="BA149" s="29" t="s">
        <v>379</v>
      </c>
      <c r="BC149" s="33">
        <f>AW149+AX149</f>
        <v>0</v>
      </c>
      <c r="BD149" s="33">
        <f>H149/(100-BE149)*100</f>
        <v>0</v>
      </c>
      <c r="BE149" s="33">
        <v>0</v>
      </c>
      <c r="BF149" s="33">
        <f>149</f>
        <v>149</v>
      </c>
      <c r="BH149" s="17">
        <f>G149*AO149</f>
        <v>0</v>
      </c>
      <c r="BI149" s="17">
        <f>G149*AP149</f>
        <v>0</v>
      </c>
      <c r="BJ149" s="17">
        <f>G149*H149</f>
        <v>0</v>
      </c>
    </row>
    <row r="150" spans="2:12" ht="12.75">
      <c r="B150" s="13" t="s">
        <v>94</v>
      </c>
      <c r="C150" s="84" t="s">
        <v>281</v>
      </c>
      <c r="D150" s="85"/>
      <c r="E150" s="85"/>
      <c r="F150" s="85"/>
      <c r="G150" s="85"/>
      <c r="H150" s="85"/>
      <c r="I150" s="85"/>
      <c r="J150" s="85"/>
      <c r="K150" s="85"/>
      <c r="L150" s="85"/>
    </row>
    <row r="151" spans="1:62" ht="12.75">
      <c r="A151" s="4" t="s">
        <v>61</v>
      </c>
      <c r="B151" s="4" t="s">
        <v>149</v>
      </c>
      <c r="C151" s="78" t="s">
        <v>482</v>
      </c>
      <c r="D151" s="79"/>
      <c r="E151" s="79"/>
      <c r="F151" s="4" t="s">
        <v>324</v>
      </c>
      <c r="G151" s="17">
        <v>5</v>
      </c>
      <c r="H151" s="72"/>
      <c r="I151" s="17">
        <f>G151*AO151</f>
        <v>0</v>
      </c>
      <c r="J151" s="17">
        <f>G151*AP151</f>
        <v>0</v>
      </c>
      <c r="K151" s="17">
        <f>G151*H151</f>
        <v>0</v>
      </c>
      <c r="L151" s="28"/>
      <c r="Z151" s="33">
        <f>IF(AQ151="5",BJ151,0)</f>
        <v>0</v>
      </c>
      <c r="AB151" s="33">
        <f>IF(AQ151="1",BH151,0)</f>
        <v>0</v>
      </c>
      <c r="AC151" s="33">
        <f>IF(AQ151="1",BI151,0)</f>
        <v>0</v>
      </c>
      <c r="AD151" s="33">
        <f>IF(AQ151="7",BH151,0)</f>
        <v>0</v>
      </c>
      <c r="AE151" s="33">
        <f>IF(AQ151="7",BI151,0)</f>
        <v>0</v>
      </c>
      <c r="AF151" s="33">
        <f>IF(AQ151="2",BH151,0)</f>
        <v>0</v>
      </c>
      <c r="AG151" s="33">
        <f>IF(AQ151="2",BI151,0)</f>
        <v>0</v>
      </c>
      <c r="AH151" s="33">
        <f>IF(AQ151="0",BJ151,0)</f>
        <v>0</v>
      </c>
      <c r="AI151" s="29"/>
      <c r="AJ151" s="17">
        <f>IF(AN151=0,K151,0)</f>
        <v>0</v>
      </c>
      <c r="AK151" s="17">
        <f>IF(AN151=15,K151,0)</f>
        <v>0</v>
      </c>
      <c r="AL151" s="17">
        <f>IF(AN151=21,K151,0)</f>
        <v>0</v>
      </c>
      <c r="AN151" s="33">
        <v>21</v>
      </c>
      <c r="AO151" s="33">
        <f>H151*0</f>
        <v>0</v>
      </c>
      <c r="AP151" s="33">
        <f>H151*(1-0)</f>
        <v>0</v>
      </c>
      <c r="AQ151" s="28" t="s">
        <v>13</v>
      </c>
      <c r="AV151" s="33">
        <f>AW151+AX151</f>
        <v>0</v>
      </c>
      <c r="AW151" s="33">
        <f>G151*AO151</f>
        <v>0</v>
      </c>
      <c r="AX151" s="33">
        <f>G151*AP151</f>
        <v>0</v>
      </c>
      <c r="AY151" s="34" t="s">
        <v>365</v>
      </c>
      <c r="AZ151" s="34" t="s">
        <v>376</v>
      </c>
      <c r="BA151" s="29" t="s">
        <v>379</v>
      </c>
      <c r="BC151" s="33">
        <f>AW151+AX151</f>
        <v>0</v>
      </c>
      <c r="BD151" s="33">
        <f>H151/(100-BE151)*100</f>
        <v>0</v>
      </c>
      <c r="BE151" s="33">
        <v>0</v>
      </c>
      <c r="BF151" s="33">
        <f>151</f>
        <v>151</v>
      </c>
      <c r="BH151" s="17">
        <f>G151*AO151</f>
        <v>0</v>
      </c>
      <c r="BI151" s="17">
        <f>G151*AP151</f>
        <v>0</v>
      </c>
      <c r="BJ151" s="17">
        <f>G151*H151</f>
        <v>0</v>
      </c>
    </row>
    <row r="152" spans="2:12" ht="12.75">
      <c r="B152" s="13" t="s">
        <v>94</v>
      </c>
      <c r="C152" s="84" t="s">
        <v>281</v>
      </c>
      <c r="D152" s="85"/>
      <c r="E152" s="85"/>
      <c r="F152" s="85"/>
      <c r="G152" s="85"/>
      <c r="H152" s="85"/>
      <c r="I152" s="85"/>
      <c r="J152" s="85"/>
      <c r="K152" s="85"/>
      <c r="L152" s="85"/>
    </row>
    <row r="153" spans="1:62" ht="12.75">
      <c r="A153" s="4" t="s">
        <v>62</v>
      </c>
      <c r="B153" s="4" t="s">
        <v>150</v>
      </c>
      <c r="C153" s="78" t="s">
        <v>483</v>
      </c>
      <c r="D153" s="79"/>
      <c r="E153" s="79"/>
      <c r="F153" s="4" t="s">
        <v>324</v>
      </c>
      <c r="G153" s="17">
        <v>1</v>
      </c>
      <c r="H153" s="72"/>
      <c r="I153" s="17">
        <f>G153*AO153</f>
        <v>0</v>
      </c>
      <c r="J153" s="17">
        <f>G153*AP153</f>
        <v>0</v>
      </c>
      <c r="K153" s="17">
        <f>G153*H153</f>
        <v>0</v>
      </c>
      <c r="L153" s="28"/>
      <c r="Z153" s="33">
        <f>IF(AQ153="5",BJ153,0)</f>
        <v>0</v>
      </c>
      <c r="AB153" s="33">
        <f>IF(AQ153="1",BH153,0)</f>
        <v>0</v>
      </c>
      <c r="AC153" s="33">
        <f>IF(AQ153="1",BI153,0)</f>
        <v>0</v>
      </c>
      <c r="AD153" s="33">
        <f>IF(AQ153="7",BH153,0)</f>
        <v>0</v>
      </c>
      <c r="AE153" s="33">
        <f>IF(AQ153="7",BI153,0)</f>
        <v>0</v>
      </c>
      <c r="AF153" s="33">
        <f>IF(AQ153="2",BH153,0)</f>
        <v>0</v>
      </c>
      <c r="AG153" s="33">
        <f>IF(AQ153="2",BI153,0)</f>
        <v>0</v>
      </c>
      <c r="AH153" s="33">
        <f>IF(AQ153="0",BJ153,0)</f>
        <v>0</v>
      </c>
      <c r="AI153" s="29"/>
      <c r="AJ153" s="17">
        <f>IF(AN153=0,K153,0)</f>
        <v>0</v>
      </c>
      <c r="AK153" s="17">
        <f>IF(AN153=15,K153,0)</f>
        <v>0</v>
      </c>
      <c r="AL153" s="17">
        <f>IF(AN153=21,K153,0)</f>
        <v>0</v>
      </c>
      <c r="AN153" s="33">
        <v>21</v>
      </c>
      <c r="AO153" s="33">
        <f>H153*0</f>
        <v>0</v>
      </c>
      <c r="AP153" s="33">
        <f>H153*(1-0)</f>
        <v>0</v>
      </c>
      <c r="AQ153" s="28" t="s">
        <v>13</v>
      </c>
      <c r="AV153" s="33">
        <f>AW153+AX153</f>
        <v>0</v>
      </c>
      <c r="AW153" s="33">
        <f>G153*AO153</f>
        <v>0</v>
      </c>
      <c r="AX153" s="33">
        <f>G153*AP153</f>
        <v>0</v>
      </c>
      <c r="AY153" s="34" t="s">
        <v>365</v>
      </c>
      <c r="AZ153" s="34" t="s">
        <v>376</v>
      </c>
      <c r="BA153" s="29" t="s">
        <v>379</v>
      </c>
      <c r="BC153" s="33">
        <f>AW153+AX153</f>
        <v>0</v>
      </c>
      <c r="BD153" s="33">
        <f>H153/(100-BE153)*100</f>
        <v>0</v>
      </c>
      <c r="BE153" s="33">
        <v>0</v>
      </c>
      <c r="BF153" s="33">
        <f>153</f>
        <v>153</v>
      </c>
      <c r="BH153" s="17">
        <f>G153*AO153</f>
        <v>0</v>
      </c>
      <c r="BI153" s="17">
        <f>G153*AP153</f>
        <v>0</v>
      </c>
      <c r="BJ153" s="17">
        <f>G153*H153</f>
        <v>0</v>
      </c>
    </row>
    <row r="154" spans="2:12" ht="12.75">
      <c r="B154" s="13" t="s">
        <v>94</v>
      </c>
      <c r="C154" s="84" t="s">
        <v>284</v>
      </c>
      <c r="D154" s="85"/>
      <c r="E154" s="85"/>
      <c r="F154" s="85"/>
      <c r="G154" s="85"/>
      <c r="H154" s="85"/>
      <c r="I154" s="85"/>
      <c r="J154" s="85"/>
      <c r="K154" s="85"/>
      <c r="L154" s="85"/>
    </row>
    <row r="155" spans="1:62" ht="12.75">
      <c r="A155" s="4" t="s">
        <v>63</v>
      </c>
      <c r="B155" s="4" t="s">
        <v>151</v>
      </c>
      <c r="C155" s="78" t="s">
        <v>484</v>
      </c>
      <c r="D155" s="79"/>
      <c r="E155" s="79"/>
      <c r="F155" s="4" t="s">
        <v>324</v>
      </c>
      <c r="G155" s="17">
        <v>1</v>
      </c>
      <c r="H155" s="72"/>
      <c r="I155" s="17">
        <f>G155*AO155</f>
        <v>0</v>
      </c>
      <c r="J155" s="17">
        <f>G155*AP155</f>
        <v>0</v>
      </c>
      <c r="K155" s="17">
        <f>G155*H155</f>
        <v>0</v>
      </c>
      <c r="L155" s="28"/>
      <c r="Z155" s="33">
        <f>IF(AQ155="5",BJ155,0)</f>
        <v>0</v>
      </c>
      <c r="AB155" s="33">
        <f>IF(AQ155="1",BH155,0)</f>
        <v>0</v>
      </c>
      <c r="AC155" s="33">
        <f>IF(AQ155="1",BI155,0)</f>
        <v>0</v>
      </c>
      <c r="AD155" s="33">
        <f>IF(AQ155="7",BH155,0)</f>
        <v>0</v>
      </c>
      <c r="AE155" s="33">
        <f>IF(AQ155="7",BI155,0)</f>
        <v>0</v>
      </c>
      <c r="AF155" s="33">
        <f>IF(AQ155="2",BH155,0)</f>
        <v>0</v>
      </c>
      <c r="AG155" s="33">
        <f>IF(AQ155="2",BI155,0)</f>
        <v>0</v>
      </c>
      <c r="AH155" s="33">
        <f>IF(AQ155="0",BJ155,0)</f>
        <v>0</v>
      </c>
      <c r="AI155" s="29"/>
      <c r="AJ155" s="17">
        <f>IF(AN155=0,K155,0)</f>
        <v>0</v>
      </c>
      <c r="AK155" s="17">
        <f>IF(AN155=15,K155,0)</f>
        <v>0</v>
      </c>
      <c r="AL155" s="17">
        <f>IF(AN155=21,K155,0)</f>
        <v>0</v>
      </c>
      <c r="AN155" s="33">
        <v>21</v>
      </c>
      <c r="AO155" s="33">
        <f>H155*0</f>
        <v>0</v>
      </c>
      <c r="AP155" s="33">
        <f>H155*(1-0)</f>
        <v>0</v>
      </c>
      <c r="AQ155" s="28" t="s">
        <v>13</v>
      </c>
      <c r="AV155" s="33">
        <f>AW155+AX155</f>
        <v>0</v>
      </c>
      <c r="AW155" s="33">
        <f>G155*AO155</f>
        <v>0</v>
      </c>
      <c r="AX155" s="33">
        <f>G155*AP155</f>
        <v>0</v>
      </c>
      <c r="AY155" s="34" t="s">
        <v>365</v>
      </c>
      <c r="AZ155" s="34" t="s">
        <v>376</v>
      </c>
      <c r="BA155" s="29" t="s">
        <v>379</v>
      </c>
      <c r="BC155" s="33">
        <f>AW155+AX155</f>
        <v>0</v>
      </c>
      <c r="BD155" s="33">
        <f>H155/(100-BE155)*100</f>
        <v>0</v>
      </c>
      <c r="BE155" s="33">
        <v>0</v>
      </c>
      <c r="BF155" s="33">
        <f>155</f>
        <v>155</v>
      </c>
      <c r="BH155" s="17">
        <f>G155*AO155</f>
        <v>0</v>
      </c>
      <c r="BI155" s="17">
        <f>G155*AP155</f>
        <v>0</v>
      </c>
      <c r="BJ155" s="17">
        <f>G155*H155</f>
        <v>0</v>
      </c>
    </row>
    <row r="156" spans="2:12" ht="12.75">
      <c r="B156" s="13" t="s">
        <v>94</v>
      </c>
      <c r="C156" s="84" t="s">
        <v>285</v>
      </c>
      <c r="D156" s="85"/>
      <c r="E156" s="85"/>
      <c r="F156" s="85"/>
      <c r="G156" s="85"/>
      <c r="H156" s="85"/>
      <c r="I156" s="85"/>
      <c r="J156" s="85"/>
      <c r="K156" s="85"/>
      <c r="L156" s="85"/>
    </row>
    <row r="157" spans="1:62" ht="12.75">
      <c r="A157" s="4" t="s">
        <v>64</v>
      </c>
      <c r="B157" s="4" t="s">
        <v>152</v>
      </c>
      <c r="C157" s="78" t="s">
        <v>485</v>
      </c>
      <c r="D157" s="79"/>
      <c r="E157" s="79"/>
      <c r="F157" s="4" t="s">
        <v>324</v>
      </c>
      <c r="G157" s="17">
        <v>6</v>
      </c>
      <c r="H157" s="72"/>
      <c r="I157" s="17">
        <f aca="true" t="shared" si="46" ref="I157:I166">G157*AO157</f>
        <v>0</v>
      </c>
      <c r="J157" s="17">
        <f aca="true" t="shared" si="47" ref="J157:J166">G157*AP157</f>
        <v>0</v>
      </c>
      <c r="K157" s="17">
        <f aca="true" t="shared" si="48" ref="K157:K166">G157*H157</f>
        <v>0</v>
      </c>
      <c r="L157" s="28"/>
      <c r="Z157" s="33">
        <f aca="true" t="shared" si="49" ref="Z157:Z166">IF(AQ157="5",BJ157,0)</f>
        <v>0</v>
      </c>
      <c r="AB157" s="33">
        <f aca="true" t="shared" si="50" ref="AB157:AB166">IF(AQ157="1",BH157,0)</f>
        <v>0</v>
      </c>
      <c r="AC157" s="33">
        <f aca="true" t="shared" si="51" ref="AC157:AC166">IF(AQ157="1",BI157,0)</f>
        <v>0</v>
      </c>
      <c r="AD157" s="33">
        <f aca="true" t="shared" si="52" ref="AD157:AD166">IF(AQ157="7",BH157,0)</f>
        <v>0</v>
      </c>
      <c r="AE157" s="33">
        <f aca="true" t="shared" si="53" ref="AE157:AE166">IF(AQ157="7",BI157,0)</f>
        <v>0</v>
      </c>
      <c r="AF157" s="33">
        <f aca="true" t="shared" si="54" ref="AF157:AF166">IF(AQ157="2",BH157,0)</f>
        <v>0</v>
      </c>
      <c r="AG157" s="33">
        <f aca="true" t="shared" si="55" ref="AG157:AG166">IF(AQ157="2",BI157,0)</f>
        <v>0</v>
      </c>
      <c r="AH157" s="33">
        <f aca="true" t="shared" si="56" ref="AH157:AH166">IF(AQ157="0",BJ157,0)</f>
        <v>0</v>
      </c>
      <c r="AI157" s="29"/>
      <c r="AJ157" s="17">
        <f aca="true" t="shared" si="57" ref="AJ157:AJ166">IF(AN157=0,K157,0)</f>
        <v>0</v>
      </c>
      <c r="AK157" s="17">
        <f aca="true" t="shared" si="58" ref="AK157:AK166">IF(AN157=15,K157,0)</f>
        <v>0</v>
      </c>
      <c r="AL157" s="17">
        <f aca="true" t="shared" si="59" ref="AL157:AL166">IF(AN157=21,K157,0)</f>
        <v>0</v>
      </c>
      <c r="AN157" s="33">
        <v>21</v>
      </c>
      <c r="AO157" s="33">
        <f aca="true" t="shared" si="60" ref="AO157:AO166">H157*0</f>
        <v>0</v>
      </c>
      <c r="AP157" s="33">
        <f aca="true" t="shared" si="61" ref="AP157:AP166">H157*(1-0)</f>
        <v>0</v>
      </c>
      <c r="AQ157" s="28" t="s">
        <v>13</v>
      </c>
      <c r="AV157" s="33">
        <f aca="true" t="shared" si="62" ref="AV157:AV166">AW157+AX157</f>
        <v>0</v>
      </c>
      <c r="AW157" s="33">
        <f aca="true" t="shared" si="63" ref="AW157:AW166">G157*AO157</f>
        <v>0</v>
      </c>
      <c r="AX157" s="33">
        <f aca="true" t="shared" si="64" ref="AX157:AX166">G157*AP157</f>
        <v>0</v>
      </c>
      <c r="AY157" s="34" t="s">
        <v>365</v>
      </c>
      <c r="AZ157" s="34" t="s">
        <v>376</v>
      </c>
      <c r="BA157" s="29" t="s">
        <v>379</v>
      </c>
      <c r="BC157" s="33">
        <f aca="true" t="shared" si="65" ref="BC157:BC166">AW157+AX157</f>
        <v>0</v>
      </c>
      <c r="BD157" s="33">
        <f aca="true" t="shared" si="66" ref="BD157:BD166">H157/(100-BE157)*100</f>
        <v>0</v>
      </c>
      <c r="BE157" s="33">
        <v>0</v>
      </c>
      <c r="BF157" s="33">
        <f>157</f>
        <v>157</v>
      </c>
      <c r="BH157" s="17">
        <f aca="true" t="shared" si="67" ref="BH157:BH166">G157*AO157</f>
        <v>0</v>
      </c>
      <c r="BI157" s="17">
        <f aca="true" t="shared" si="68" ref="BI157:BI166">G157*AP157</f>
        <v>0</v>
      </c>
      <c r="BJ157" s="17">
        <f aca="true" t="shared" si="69" ref="BJ157:BJ166">G157*H157</f>
        <v>0</v>
      </c>
    </row>
    <row r="158" spans="1:62" ht="12.75">
      <c r="A158" s="4" t="s">
        <v>65</v>
      </c>
      <c r="B158" s="4" t="s">
        <v>153</v>
      </c>
      <c r="C158" s="78" t="s">
        <v>486</v>
      </c>
      <c r="D158" s="79"/>
      <c r="E158" s="79"/>
      <c r="F158" s="4" t="s">
        <v>324</v>
      </c>
      <c r="G158" s="17">
        <v>1</v>
      </c>
      <c r="H158" s="72"/>
      <c r="I158" s="17">
        <f t="shared" si="46"/>
        <v>0</v>
      </c>
      <c r="J158" s="17">
        <f t="shared" si="47"/>
        <v>0</v>
      </c>
      <c r="K158" s="17">
        <f t="shared" si="48"/>
        <v>0</v>
      </c>
      <c r="L158" s="28"/>
      <c r="Z158" s="33">
        <f t="shared" si="49"/>
        <v>0</v>
      </c>
      <c r="AB158" s="33">
        <f t="shared" si="50"/>
        <v>0</v>
      </c>
      <c r="AC158" s="33">
        <f t="shared" si="51"/>
        <v>0</v>
      </c>
      <c r="AD158" s="33">
        <f t="shared" si="52"/>
        <v>0</v>
      </c>
      <c r="AE158" s="33">
        <f t="shared" si="53"/>
        <v>0</v>
      </c>
      <c r="AF158" s="33">
        <f t="shared" si="54"/>
        <v>0</v>
      </c>
      <c r="AG158" s="33">
        <f t="shared" si="55"/>
        <v>0</v>
      </c>
      <c r="AH158" s="33">
        <f t="shared" si="56"/>
        <v>0</v>
      </c>
      <c r="AI158" s="29"/>
      <c r="AJ158" s="17">
        <f t="shared" si="57"/>
        <v>0</v>
      </c>
      <c r="AK158" s="17">
        <f t="shared" si="58"/>
        <v>0</v>
      </c>
      <c r="AL158" s="17">
        <f t="shared" si="59"/>
        <v>0</v>
      </c>
      <c r="AN158" s="33">
        <v>21</v>
      </c>
      <c r="AO158" s="33">
        <f t="shared" si="60"/>
        <v>0</v>
      </c>
      <c r="AP158" s="33">
        <f t="shared" si="61"/>
        <v>0</v>
      </c>
      <c r="AQ158" s="28" t="s">
        <v>13</v>
      </c>
      <c r="AV158" s="33">
        <f t="shared" si="62"/>
        <v>0</v>
      </c>
      <c r="AW158" s="33">
        <f t="shared" si="63"/>
        <v>0</v>
      </c>
      <c r="AX158" s="33">
        <f t="shared" si="64"/>
        <v>0</v>
      </c>
      <c r="AY158" s="34" t="s">
        <v>365</v>
      </c>
      <c r="AZ158" s="34" t="s">
        <v>376</v>
      </c>
      <c r="BA158" s="29" t="s">
        <v>379</v>
      </c>
      <c r="BC158" s="33">
        <f t="shared" si="65"/>
        <v>0</v>
      </c>
      <c r="BD158" s="33">
        <f t="shared" si="66"/>
        <v>0</v>
      </c>
      <c r="BE158" s="33">
        <v>0</v>
      </c>
      <c r="BF158" s="33">
        <f>158</f>
        <v>158</v>
      </c>
      <c r="BH158" s="17">
        <f t="shared" si="67"/>
        <v>0</v>
      </c>
      <c r="BI158" s="17">
        <f t="shared" si="68"/>
        <v>0</v>
      </c>
      <c r="BJ158" s="17">
        <f t="shared" si="69"/>
        <v>0</v>
      </c>
    </row>
    <row r="159" spans="1:62" ht="12.75">
      <c r="A159" s="4" t="s">
        <v>66</v>
      </c>
      <c r="B159" s="4" t="s">
        <v>154</v>
      </c>
      <c r="C159" s="78" t="s">
        <v>487</v>
      </c>
      <c r="D159" s="79"/>
      <c r="E159" s="79"/>
      <c r="F159" s="4" t="s">
        <v>324</v>
      </c>
      <c r="G159" s="17">
        <v>1</v>
      </c>
      <c r="H159" s="72"/>
      <c r="I159" s="17">
        <f t="shared" si="46"/>
        <v>0</v>
      </c>
      <c r="J159" s="17">
        <f t="shared" si="47"/>
        <v>0</v>
      </c>
      <c r="K159" s="17">
        <f t="shared" si="48"/>
        <v>0</v>
      </c>
      <c r="L159" s="28"/>
      <c r="Z159" s="33">
        <f t="shared" si="49"/>
        <v>0</v>
      </c>
      <c r="AB159" s="33">
        <f t="shared" si="50"/>
        <v>0</v>
      </c>
      <c r="AC159" s="33">
        <f t="shared" si="51"/>
        <v>0</v>
      </c>
      <c r="AD159" s="33">
        <f t="shared" si="52"/>
        <v>0</v>
      </c>
      <c r="AE159" s="33">
        <f t="shared" si="53"/>
        <v>0</v>
      </c>
      <c r="AF159" s="33">
        <f t="shared" si="54"/>
        <v>0</v>
      </c>
      <c r="AG159" s="33">
        <f t="shared" si="55"/>
        <v>0</v>
      </c>
      <c r="AH159" s="33">
        <f t="shared" si="56"/>
        <v>0</v>
      </c>
      <c r="AI159" s="29"/>
      <c r="AJ159" s="17">
        <f t="shared" si="57"/>
        <v>0</v>
      </c>
      <c r="AK159" s="17">
        <f t="shared" si="58"/>
        <v>0</v>
      </c>
      <c r="AL159" s="17">
        <f t="shared" si="59"/>
        <v>0</v>
      </c>
      <c r="AN159" s="33">
        <v>21</v>
      </c>
      <c r="AO159" s="33">
        <f t="shared" si="60"/>
        <v>0</v>
      </c>
      <c r="AP159" s="33">
        <f t="shared" si="61"/>
        <v>0</v>
      </c>
      <c r="AQ159" s="28" t="s">
        <v>13</v>
      </c>
      <c r="AV159" s="33">
        <f t="shared" si="62"/>
        <v>0</v>
      </c>
      <c r="AW159" s="33">
        <f t="shared" si="63"/>
        <v>0</v>
      </c>
      <c r="AX159" s="33">
        <f t="shared" si="64"/>
        <v>0</v>
      </c>
      <c r="AY159" s="34" t="s">
        <v>365</v>
      </c>
      <c r="AZ159" s="34" t="s">
        <v>376</v>
      </c>
      <c r="BA159" s="29" t="s">
        <v>379</v>
      </c>
      <c r="BC159" s="33">
        <f t="shared" si="65"/>
        <v>0</v>
      </c>
      <c r="BD159" s="33">
        <f t="shared" si="66"/>
        <v>0</v>
      </c>
      <c r="BE159" s="33">
        <v>0</v>
      </c>
      <c r="BF159" s="33">
        <f>159</f>
        <v>159</v>
      </c>
      <c r="BH159" s="17">
        <f t="shared" si="67"/>
        <v>0</v>
      </c>
      <c r="BI159" s="17">
        <f t="shared" si="68"/>
        <v>0</v>
      </c>
      <c r="BJ159" s="17">
        <f t="shared" si="69"/>
        <v>0</v>
      </c>
    </row>
    <row r="160" spans="1:62" ht="12.75">
      <c r="A160" s="4" t="s">
        <v>67</v>
      </c>
      <c r="B160" s="4" t="s">
        <v>155</v>
      </c>
      <c r="C160" s="78" t="s">
        <v>286</v>
      </c>
      <c r="D160" s="79"/>
      <c r="E160" s="79"/>
      <c r="F160" s="4" t="s">
        <v>324</v>
      </c>
      <c r="G160" s="17">
        <v>2</v>
      </c>
      <c r="H160" s="72"/>
      <c r="I160" s="17">
        <f t="shared" si="46"/>
        <v>0</v>
      </c>
      <c r="J160" s="17">
        <f t="shared" si="47"/>
        <v>0</v>
      </c>
      <c r="K160" s="17">
        <f t="shared" si="48"/>
        <v>0</v>
      </c>
      <c r="L160" s="28"/>
      <c r="Z160" s="33">
        <f t="shared" si="49"/>
        <v>0</v>
      </c>
      <c r="AB160" s="33">
        <f t="shared" si="50"/>
        <v>0</v>
      </c>
      <c r="AC160" s="33">
        <f t="shared" si="51"/>
        <v>0</v>
      </c>
      <c r="AD160" s="33">
        <f t="shared" si="52"/>
        <v>0</v>
      </c>
      <c r="AE160" s="33">
        <f t="shared" si="53"/>
        <v>0</v>
      </c>
      <c r="AF160" s="33">
        <f t="shared" si="54"/>
        <v>0</v>
      </c>
      <c r="AG160" s="33">
        <f t="shared" si="55"/>
        <v>0</v>
      </c>
      <c r="AH160" s="33">
        <f t="shared" si="56"/>
        <v>0</v>
      </c>
      <c r="AI160" s="29"/>
      <c r="AJ160" s="17">
        <f t="shared" si="57"/>
        <v>0</v>
      </c>
      <c r="AK160" s="17">
        <f t="shared" si="58"/>
        <v>0</v>
      </c>
      <c r="AL160" s="17">
        <f t="shared" si="59"/>
        <v>0</v>
      </c>
      <c r="AN160" s="33">
        <v>21</v>
      </c>
      <c r="AO160" s="33">
        <f t="shared" si="60"/>
        <v>0</v>
      </c>
      <c r="AP160" s="33">
        <f t="shared" si="61"/>
        <v>0</v>
      </c>
      <c r="AQ160" s="28" t="s">
        <v>13</v>
      </c>
      <c r="AV160" s="33">
        <f t="shared" si="62"/>
        <v>0</v>
      </c>
      <c r="AW160" s="33">
        <f t="shared" si="63"/>
        <v>0</v>
      </c>
      <c r="AX160" s="33">
        <f t="shared" si="64"/>
        <v>0</v>
      </c>
      <c r="AY160" s="34" t="s">
        <v>365</v>
      </c>
      <c r="AZ160" s="34" t="s">
        <v>376</v>
      </c>
      <c r="BA160" s="29" t="s">
        <v>379</v>
      </c>
      <c r="BC160" s="33">
        <f t="shared" si="65"/>
        <v>0</v>
      </c>
      <c r="BD160" s="33">
        <f t="shared" si="66"/>
        <v>0</v>
      </c>
      <c r="BE160" s="33">
        <v>0</v>
      </c>
      <c r="BF160" s="33">
        <f>160</f>
        <v>160</v>
      </c>
      <c r="BH160" s="17">
        <f t="shared" si="67"/>
        <v>0</v>
      </c>
      <c r="BI160" s="17">
        <f t="shared" si="68"/>
        <v>0</v>
      </c>
      <c r="BJ160" s="17">
        <f t="shared" si="69"/>
        <v>0</v>
      </c>
    </row>
    <row r="161" spans="1:62" ht="12.75">
      <c r="A161" s="4" t="s">
        <v>68</v>
      </c>
      <c r="B161" s="4" t="s">
        <v>156</v>
      </c>
      <c r="C161" s="78" t="s">
        <v>287</v>
      </c>
      <c r="D161" s="79"/>
      <c r="E161" s="79"/>
      <c r="F161" s="4" t="s">
        <v>321</v>
      </c>
      <c r="G161" s="17">
        <v>1758.42</v>
      </c>
      <c r="H161" s="72"/>
      <c r="I161" s="17">
        <f t="shared" si="46"/>
        <v>0</v>
      </c>
      <c r="J161" s="17">
        <f t="shared" si="47"/>
        <v>0</v>
      </c>
      <c r="K161" s="17">
        <f t="shared" si="48"/>
        <v>0</v>
      </c>
      <c r="L161" s="28"/>
      <c r="Z161" s="33">
        <f t="shared" si="49"/>
        <v>0</v>
      </c>
      <c r="AB161" s="33">
        <f t="shared" si="50"/>
        <v>0</v>
      </c>
      <c r="AC161" s="33">
        <f t="shared" si="51"/>
        <v>0</v>
      </c>
      <c r="AD161" s="33">
        <f t="shared" si="52"/>
        <v>0</v>
      </c>
      <c r="AE161" s="33">
        <f t="shared" si="53"/>
        <v>0</v>
      </c>
      <c r="AF161" s="33">
        <f t="shared" si="54"/>
        <v>0</v>
      </c>
      <c r="AG161" s="33">
        <f t="shared" si="55"/>
        <v>0</v>
      </c>
      <c r="AH161" s="33">
        <f t="shared" si="56"/>
        <v>0</v>
      </c>
      <c r="AI161" s="29"/>
      <c r="AJ161" s="17">
        <f t="shared" si="57"/>
        <v>0</v>
      </c>
      <c r="AK161" s="17">
        <f t="shared" si="58"/>
        <v>0</v>
      </c>
      <c r="AL161" s="17">
        <f t="shared" si="59"/>
        <v>0</v>
      </c>
      <c r="AN161" s="33">
        <v>21</v>
      </c>
      <c r="AO161" s="33">
        <f t="shared" si="60"/>
        <v>0</v>
      </c>
      <c r="AP161" s="33">
        <f t="shared" si="61"/>
        <v>0</v>
      </c>
      <c r="AQ161" s="28" t="s">
        <v>13</v>
      </c>
      <c r="AV161" s="33">
        <f t="shared" si="62"/>
        <v>0</v>
      </c>
      <c r="AW161" s="33">
        <f t="shared" si="63"/>
        <v>0</v>
      </c>
      <c r="AX161" s="33">
        <f t="shared" si="64"/>
        <v>0</v>
      </c>
      <c r="AY161" s="34" t="s">
        <v>365</v>
      </c>
      <c r="AZ161" s="34" t="s">
        <v>376</v>
      </c>
      <c r="BA161" s="29" t="s">
        <v>379</v>
      </c>
      <c r="BC161" s="33">
        <f t="shared" si="65"/>
        <v>0</v>
      </c>
      <c r="BD161" s="33">
        <f t="shared" si="66"/>
        <v>0</v>
      </c>
      <c r="BE161" s="33">
        <v>0</v>
      </c>
      <c r="BF161" s="33">
        <f>161</f>
        <v>161</v>
      </c>
      <c r="BH161" s="17">
        <f t="shared" si="67"/>
        <v>0</v>
      </c>
      <c r="BI161" s="17">
        <f t="shared" si="68"/>
        <v>0</v>
      </c>
      <c r="BJ161" s="17">
        <f t="shared" si="69"/>
        <v>0</v>
      </c>
    </row>
    <row r="162" spans="1:62" ht="12.75">
      <c r="A162" s="4" t="s">
        <v>69</v>
      </c>
      <c r="B162" s="4" t="s">
        <v>157</v>
      </c>
      <c r="C162" s="78" t="s">
        <v>288</v>
      </c>
      <c r="D162" s="79"/>
      <c r="E162" s="79"/>
      <c r="F162" s="4" t="s">
        <v>325</v>
      </c>
      <c r="G162" s="17">
        <v>770</v>
      </c>
      <c r="H162" s="72"/>
      <c r="I162" s="17">
        <f t="shared" si="46"/>
        <v>0</v>
      </c>
      <c r="J162" s="17">
        <f t="shared" si="47"/>
        <v>0</v>
      </c>
      <c r="K162" s="17">
        <f t="shared" si="48"/>
        <v>0</v>
      </c>
      <c r="L162" s="28"/>
      <c r="Z162" s="33">
        <f t="shared" si="49"/>
        <v>0</v>
      </c>
      <c r="AB162" s="33">
        <f t="shared" si="50"/>
        <v>0</v>
      </c>
      <c r="AC162" s="33">
        <f t="shared" si="51"/>
        <v>0</v>
      </c>
      <c r="AD162" s="33">
        <f t="shared" si="52"/>
        <v>0</v>
      </c>
      <c r="AE162" s="33">
        <f t="shared" si="53"/>
        <v>0</v>
      </c>
      <c r="AF162" s="33">
        <f t="shared" si="54"/>
        <v>0</v>
      </c>
      <c r="AG162" s="33">
        <f t="shared" si="55"/>
        <v>0</v>
      </c>
      <c r="AH162" s="33">
        <f t="shared" si="56"/>
        <v>0</v>
      </c>
      <c r="AI162" s="29"/>
      <c r="AJ162" s="17">
        <f t="shared" si="57"/>
        <v>0</v>
      </c>
      <c r="AK162" s="17">
        <f t="shared" si="58"/>
        <v>0</v>
      </c>
      <c r="AL162" s="17">
        <f t="shared" si="59"/>
        <v>0</v>
      </c>
      <c r="AN162" s="33">
        <v>21</v>
      </c>
      <c r="AO162" s="33">
        <f t="shared" si="60"/>
        <v>0</v>
      </c>
      <c r="AP162" s="33">
        <f t="shared" si="61"/>
        <v>0</v>
      </c>
      <c r="AQ162" s="28" t="s">
        <v>13</v>
      </c>
      <c r="AV162" s="33">
        <f t="shared" si="62"/>
        <v>0</v>
      </c>
      <c r="AW162" s="33">
        <f t="shared" si="63"/>
        <v>0</v>
      </c>
      <c r="AX162" s="33">
        <f t="shared" si="64"/>
        <v>0</v>
      </c>
      <c r="AY162" s="34" t="s">
        <v>365</v>
      </c>
      <c r="AZ162" s="34" t="s">
        <v>376</v>
      </c>
      <c r="BA162" s="29" t="s">
        <v>379</v>
      </c>
      <c r="BC162" s="33">
        <f t="shared" si="65"/>
        <v>0</v>
      </c>
      <c r="BD162" s="33">
        <f t="shared" si="66"/>
        <v>0</v>
      </c>
      <c r="BE162" s="33">
        <v>0</v>
      </c>
      <c r="BF162" s="33">
        <f>162</f>
        <v>162</v>
      </c>
      <c r="BH162" s="17">
        <f t="shared" si="67"/>
        <v>0</v>
      </c>
      <c r="BI162" s="17">
        <f t="shared" si="68"/>
        <v>0</v>
      </c>
      <c r="BJ162" s="17">
        <f t="shared" si="69"/>
        <v>0</v>
      </c>
    </row>
    <row r="163" spans="1:62" ht="12.75">
      <c r="A163" s="4" t="s">
        <v>70</v>
      </c>
      <c r="B163" s="4" t="s">
        <v>158</v>
      </c>
      <c r="C163" s="78" t="s">
        <v>289</v>
      </c>
      <c r="D163" s="79"/>
      <c r="E163" s="79"/>
      <c r="F163" s="4" t="s">
        <v>326</v>
      </c>
      <c r="G163" s="17">
        <v>1</v>
      </c>
      <c r="H163" s="72"/>
      <c r="I163" s="17">
        <f t="shared" si="46"/>
        <v>0</v>
      </c>
      <c r="J163" s="17">
        <f t="shared" si="47"/>
        <v>0</v>
      </c>
      <c r="K163" s="17">
        <f t="shared" si="48"/>
        <v>0</v>
      </c>
      <c r="L163" s="28"/>
      <c r="Z163" s="33">
        <f t="shared" si="49"/>
        <v>0</v>
      </c>
      <c r="AB163" s="33">
        <f t="shared" si="50"/>
        <v>0</v>
      </c>
      <c r="AC163" s="33">
        <f t="shared" si="51"/>
        <v>0</v>
      </c>
      <c r="AD163" s="33">
        <f t="shared" si="52"/>
        <v>0</v>
      </c>
      <c r="AE163" s="33">
        <f t="shared" si="53"/>
        <v>0</v>
      </c>
      <c r="AF163" s="33">
        <f t="shared" si="54"/>
        <v>0</v>
      </c>
      <c r="AG163" s="33">
        <f t="shared" si="55"/>
        <v>0</v>
      </c>
      <c r="AH163" s="33">
        <f t="shared" si="56"/>
        <v>0</v>
      </c>
      <c r="AI163" s="29"/>
      <c r="AJ163" s="17">
        <f t="shared" si="57"/>
        <v>0</v>
      </c>
      <c r="AK163" s="17">
        <f t="shared" si="58"/>
        <v>0</v>
      </c>
      <c r="AL163" s="17">
        <f t="shared" si="59"/>
        <v>0</v>
      </c>
      <c r="AN163" s="33">
        <v>21</v>
      </c>
      <c r="AO163" s="33">
        <f t="shared" si="60"/>
        <v>0</v>
      </c>
      <c r="AP163" s="33">
        <f t="shared" si="61"/>
        <v>0</v>
      </c>
      <c r="AQ163" s="28" t="s">
        <v>13</v>
      </c>
      <c r="AV163" s="33">
        <f t="shared" si="62"/>
        <v>0</v>
      </c>
      <c r="AW163" s="33">
        <f t="shared" si="63"/>
        <v>0</v>
      </c>
      <c r="AX163" s="33">
        <f t="shared" si="64"/>
        <v>0</v>
      </c>
      <c r="AY163" s="34" t="s">
        <v>365</v>
      </c>
      <c r="AZ163" s="34" t="s">
        <v>376</v>
      </c>
      <c r="BA163" s="29" t="s">
        <v>379</v>
      </c>
      <c r="BC163" s="33">
        <f t="shared" si="65"/>
        <v>0</v>
      </c>
      <c r="BD163" s="33">
        <f t="shared" si="66"/>
        <v>0</v>
      </c>
      <c r="BE163" s="33">
        <v>0</v>
      </c>
      <c r="BF163" s="33">
        <f>163</f>
        <v>163</v>
      </c>
      <c r="BH163" s="17">
        <f t="shared" si="67"/>
        <v>0</v>
      </c>
      <c r="BI163" s="17">
        <f t="shared" si="68"/>
        <v>0</v>
      </c>
      <c r="BJ163" s="17">
        <f t="shared" si="69"/>
        <v>0</v>
      </c>
    </row>
    <row r="164" spans="1:62" ht="12.75">
      <c r="A164" s="4" t="s">
        <v>71</v>
      </c>
      <c r="B164" s="4" t="s">
        <v>159</v>
      </c>
      <c r="C164" s="78" t="s">
        <v>290</v>
      </c>
      <c r="D164" s="79"/>
      <c r="E164" s="79"/>
      <c r="F164" s="4" t="s">
        <v>321</v>
      </c>
      <c r="G164" s="17">
        <v>1353.44</v>
      </c>
      <c r="H164" s="72"/>
      <c r="I164" s="17">
        <f t="shared" si="46"/>
        <v>0</v>
      </c>
      <c r="J164" s="17">
        <f t="shared" si="47"/>
        <v>0</v>
      </c>
      <c r="K164" s="17">
        <f t="shared" si="48"/>
        <v>0</v>
      </c>
      <c r="L164" s="28"/>
      <c r="Z164" s="33">
        <f t="shared" si="49"/>
        <v>0</v>
      </c>
      <c r="AB164" s="33">
        <f t="shared" si="50"/>
        <v>0</v>
      </c>
      <c r="AC164" s="33">
        <f t="shared" si="51"/>
        <v>0</v>
      </c>
      <c r="AD164" s="33">
        <f t="shared" si="52"/>
        <v>0</v>
      </c>
      <c r="AE164" s="33">
        <f t="shared" si="53"/>
        <v>0</v>
      </c>
      <c r="AF164" s="33">
        <f t="shared" si="54"/>
        <v>0</v>
      </c>
      <c r="AG164" s="33">
        <f t="shared" si="55"/>
        <v>0</v>
      </c>
      <c r="AH164" s="33">
        <f t="shared" si="56"/>
        <v>0</v>
      </c>
      <c r="AI164" s="29"/>
      <c r="AJ164" s="17">
        <f t="shared" si="57"/>
        <v>0</v>
      </c>
      <c r="AK164" s="17">
        <f t="shared" si="58"/>
        <v>0</v>
      </c>
      <c r="AL164" s="17">
        <f t="shared" si="59"/>
        <v>0</v>
      </c>
      <c r="AN164" s="33">
        <v>21</v>
      </c>
      <c r="AO164" s="33">
        <f t="shared" si="60"/>
        <v>0</v>
      </c>
      <c r="AP164" s="33">
        <f t="shared" si="61"/>
        <v>0</v>
      </c>
      <c r="AQ164" s="28" t="s">
        <v>13</v>
      </c>
      <c r="AV164" s="33">
        <f t="shared" si="62"/>
        <v>0</v>
      </c>
      <c r="AW164" s="33">
        <f t="shared" si="63"/>
        <v>0</v>
      </c>
      <c r="AX164" s="33">
        <f t="shared" si="64"/>
        <v>0</v>
      </c>
      <c r="AY164" s="34" t="s">
        <v>365</v>
      </c>
      <c r="AZ164" s="34" t="s">
        <v>376</v>
      </c>
      <c r="BA164" s="29" t="s">
        <v>379</v>
      </c>
      <c r="BC164" s="33">
        <f t="shared" si="65"/>
        <v>0</v>
      </c>
      <c r="BD164" s="33">
        <f t="shared" si="66"/>
        <v>0</v>
      </c>
      <c r="BE164" s="33">
        <v>0</v>
      </c>
      <c r="BF164" s="33">
        <f>164</f>
        <v>164</v>
      </c>
      <c r="BH164" s="17">
        <f t="shared" si="67"/>
        <v>0</v>
      </c>
      <c r="BI164" s="17">
        <f t="shared" si="68"/>
        <v>0</v>
      </c>
      <c r="BJ164" s="17">
        <f t="shared" si="69"/>
        <v>0</v>
      </c>
    </row>
    <row r="165" spans="1:62" ht="12.75">
      <c r="A165" s="4" t="s">
        <v>72</v>
      </c>
      <c r="B165" s="4" t="s">
        <v>160</v>
      </c>
      <c r="C165" s="78" t="s">
        <v>291</v>
      </c>
      <c r="D165" s="79"/>
      <c r="E165" s="79"/>
      <c r="F165" s="4" t="s">
        <v>326</v>
      </c>
      <c r="G165" s="17">
        <v>1</v>
      </c>
      <c r="H165" s="72"/>
      <c r="I165" s="17">
        <f t="shared" si="46"/>
        <v>0</v>
      </c>
      <c r="J165" s="17">
        <f t="shared" si="47"/>
        <v>0</v>
      </c>
      <c r="K165" s="17">
        <f t="shared" si="48"/>
        <v>0</v>
      </c>
      <c r="L165" s="28"/>
      <c r="Z165" s="33">
        <f t="shared" si="49"/>
        <v>0</v>
      </c>
      <c r="AB165" s="33">
        <f t="shared" si="50"/>
        <v>0</v>
      </c>
      <c r="AC165" s="33">
        <f t="shared" si="51"/>
        <v>0</v>
      </c>
      <c r="AD165" s="33">
        <f t="shared" si="52"/>
        <v>0</v>
      </c>
      <c r="AE165" s="33">
        <f t="shared" si="53"/>
        <v>0</v>
      </c>
      <c r="AF165" s="33">
        <f t="shared" si="54"/>
        <v>0</v>
      </c>
      <c r="AG165" s="33">
        <f t="shared" si="55"/>
        <v>0</v>
      </c>
      <c r="AH165" s="33">
        <f t="shared" si="56"/>
        <v>0</v>
      </c>
      <c r="AI165" s="29"/>
      <c r="AJ165" s="17">
        <f t="shared" si="57"/>
        <v>0</v>
      </c>
      <c r="AK165" s="17">
        <f t="shared" si="58"/>
        <v>0</v>
      </c>
      <c r="AL165" s="17">
        <f t="shared" si="59"/>
        <v>0</v>
      </c>
      <c r="AN165" s="33">
        <v>21</v>
      </c>
      <c r="AO165" s="33">
        <f t="shared" si="60"/>
        <v>0</v>
      </c>
      <c r="AP165" s="33">
        <f t="shared" si="61"/>
        <v>0</v>
      </c>
      <c r="AQ165" s="28" t="s">
        <v>13</v>
      </c>
      <c r="AV165" s="33">
        <f t="shared" si="62"/>
        <v>0</v>
      </c>
      <c r="AW165" s="33">
        <f t="shared" si="63"/>
        <v>0</v>
      </c>
      <c r="AX165" s="33">
        <f t="shared" si="64"/>
        <v>0</v>
      </c>
      <c r="AY165" s="34" t="s">
        <v>365</v>
      </c>
      <c r="AZ165" s="34" t="s">
        <v>376</v>
      </c>
      <c r="BA165" s="29" t="s">
        <v>379</v>
      </c>
      <c r="BC165" s="33">
        <f t="shared" si="65"/>
        <v>0</v>
      </c>
      <c r="BD165" s="33">
        <f t="shared" si="66"/>
        <v>0</v>
      </c>
      <c r="BE165" s="33">
        <v>0</v>
      </c>
      <c r="BF165" s="33">
        <f>165</f>
        <v>165</v>
      </c>
      <c r="BH165" s="17">
        <f t="shared" si="67"/>
        <v>0</v>
      </c>
      <c r="BI165" s="17">
        <f t="shared" si="68"/>
        <v>0</v>
      </c>
      <c r="BJ165" s="17">
        <f t="shared" si="69"/>
        <v>0</v>
      </c>
    </row>
    <row r="166" spans="1:62" ht="12.75">
      <c r="A166" s="4" t="s">
        <v>73</v>
      </c>
      <c r="B166" s="4" t="s">
        <v>161</v>
      </c>
      <c r="C166" s="78" t="s">
        <v>292</v>
      </c>
      <c r="D166" s="79"/>
      <c r="E166" s="79"/>
      <c r="F166" s="4" t="s">
        <v>324</v>
      </c>
      <c r="G166" s="17">
        <v>87</v>
      </c>
      <c r="H166" s="72"/>
      <c r="I166" s="17">
        <f t="shared" si="46"/>
        <v>0</v>
      </c>
      <c r="J166" s="17">
        <f t="shared" si="47"/>
        <v>0</v>
      </c>
      <c r="K166" s="17">
        <f t="shared" si="48"/>
        <v>0</v>
      </c>
      <c r="L166" s="28"/>
      <c r="Z166" s="33">
        <f t="shared" si="49"/>
        <v>0</v>
      </c>
      <c r="AB166" s="33">
        <f t="shared" si="50"/>
        <v>0</v>
      </c>
      <c r="AC166" s="33">
        <f t="shared" si="51"/>
        <v>0</v>
      </c>
      <c r="AD166" s="33">
        <f t="shared" si="52"/>
        <v>0</v>
      </c>
      <c r="AE166" s="33">
        <f t="shared" si="53"/>
        <v>0</v>
      </c>
      <c r="AF166" s="33">
        <f t="shared" si="54"/>
        <v>0</v>
      </c>
      <c r="AG166" s="33">
        <f t="shared" si="55"/>
        <v>0</v>
      </c>
      <c r="AH166" s="33">
        <f t="shared" si="56"/>
        <v>0</v>
      </c>
      <c r="AI166" s="29"/>
      <c r="AJ166" s="17">
        <f t="shared" si="57"/>
        <v>0</v>
      </c>
      <c r="AK166" s="17">
        <f t="shared" si="58"/>
        <v>0</v>
      </c>
      <c r="AL166" s="17">
        <f t="shared" si="59"/>
        <v>0</v>
      </c>
      <c r="AN166" s="33">
        <v>21</v>
      </c>
      <c r="AO166" s="33">
        <f t="shared" si="60"/>
        <v>0</v>
      </c>
      <c r="AP166" s="33">
        <f t="shared" si="61"/>
        <v>0</v>
      </c>
      <c r="AQ166" s="28" t="s">
        <v>13</v>
      </c>
      <c r="AV166" s="33">
        <f t="shared" si="62"/>
        <v>0</v>
      </c>
      <c r="AW166" s="33">
        <f t="shared" si="63"/>
        <v>0</v>
      </c>
      <c r="AX166" s="33">
        <f t="shared" si="64"/>
        <v>0</v>
      </c>
      <c r="AY166" s="34" t="s">
        <v>365</v>
      </c>
      <c r="AZ166" s="34" t="s">
        <v>376</v>
      </c>
      <c r="BA166" s="29" t="s">
        <v>379</v>
      </c>
      <c r="BC166" s="33">
        <f t="shared" si="65"/>
        <v>0</v>
      </c>
      <c r="BD166" s="33">
        <f t="shared" si="66"/>
        <v>0</v>
      </c>
      <c r="BE166" s="33">
        <v>0</v>
      </c>
      <c r="BF166" s="33">
        <f>166</f>
        <v>166</v>
      </c>
      <c r="BH166" s="17">
        <f t="shared" si="67"/>
        <v>0</v>
      </c>
      <c r="BI166" s="17">
        <f t="shared" si="68"/>
        <v>0</v>
      </c>
      <c r="BJ166" s="17">
        <f t="shared" si="69"/>
        <v>0</v>
      </c>
    </row>
    <row r="167" spans="1:47" ht="12.75">
      <c r="A167" s="5"/>
      <c r="B167" s="14" t="s">
        <v>162</v>
      </c>
      <c r="C167" s="82" t="s">
        <v>293</v>
      </c>
      <c r="D167" s="83"/>
      <c r="E167" s="83"/>
      <c r="F167" s="5" t="s">
        <v>6</v>
      </c>
      <c r="G167" s="5" t="s">
        <v>6</v>
      </c>
      <c r="H167" s="5"/>
      <c r="I167" s="36">
        <f>SUM(I168:I168)</f>
        <v>0</v>
      </c>
      <c r="J167" s="36">
        <f>SUM(J168:J168)</f>
        <v>0</v>
      </c>
      <c r="K167" s="36">
        <f>SUM(K168:K168)</f>
        <v>0</v>
      </c>
      <c r="L167" s="29"/>
      <c r="AI167" s="29"/>
      <c r="AS167" s="36">
        <f>SUM(AJ168:AJ168)</f>
        <v>0</v>
      </c>
      <c r="AT167" s="36">
        <f>SUM(AK168:AK168)</f>
        <v>0</v>
      </c>
      <c r="AU167" s="36">
        <f>SUM(AL168:AL168)</f>
        <v>0</v>
      </c>
    </row>
    <row r="168" spans="1:62" ht="12.75">
      <c r="A168" s="4" t="s">
        <v>74</v>
      </c>
      <c r="B168" s="4" t="s">
        <v>163</v>
      </c>
      <c r="C168" s="78" t="s">
        <v>294</v>
      </c>
      <c r="D168" s="79"/>
      <c r="E168" s="79"/>
      <c r="F168" s="4" t="s">
        <v>327</v>
      </c>
      <c r="G168" s="17">
        <v>284.68</v>
      </c>
      <c r="H168" s="72"/>
      <c r="I168" s="17">
        <f>G168*AO168</f>
        <v>0</v>
      </c>
      <c r="J168" s="17">
        <f>G168*AP168</f>
        <v>0</v>
      </c>
      <c r="K168" s="17">
        <f>G168*H168</f>
        <v>0</v>
      </c>
      <c r="L168" s="28"/>
      <c r="Z168" s="33">
        <f>IF(AQ168="5",BJ168,0)</f>
        <v>0</v>
      </c>
      <c r="AB168" s="33">
        <f>IF(AQ168="1",BH168,0)</f>
        <v>0</v>
      </c>
      <c r="AC168" s="33">
        <f>IF(AQ168="1",BI168,0)</f>
        <v>0</v>
      </c>
      <c r="AD168" s="33">
        <f>IF(AQ168="7",BH168,0)</f>
        <v>0</v>
      </c>
      <c r="AE168" s="33">
        <f>IF(AQ168="7",BI168,0)</f>
        <v>0</v>
      </c>
      <c r="AF168" s="33">
        <f>IF(AQ168="2",BH168,0)</f>
        <v>0</v>
      </c>
      <c r="AG168" s="33">
        <f>IF(AQ168="2",BI168,0)</f>
        <v>0</v>
      </c>
      <c r="AH168" s="33">
        <f>IF(AQ168="0",BJ168,0)</f>
        <v>0</v>
      </c>
      <c r="AI168" s="29"/>
      <c r="AJ168" s="17">
        <f>IF(AN168=0,K168,0)</f>
        <v>0</v>
      </c>
      <c r="AK168" s="17">
        <f>IF(AN168=15,K168,0)</f>
        <v>0</v>
      </c>
      <c r="AL168" s="17">
        <f>IF(AN168=21,K168,0)</f>
        <v>0</v>
      </c>
      <c r="AN168" s="33">
        <v>21</v>
      </c>
      <c r="AO168" s="33">
        <f>H168*0</f>
        <v>0</v>
      </c>
      <c r="AP168" s="33">
        <f>H168*(1-0)</f>
        <v>0</v>
      </c>
      <c r="AQ168" s="28" t="s">
        <v>13</v>
      </c>
      <c r="AV168" s="33">
        <f>AW168+AX168</f>
        <v>0</v>
      </c>
      <c r="AW168" s="33">
        <f>G168*AO168</f>
        <v>0</v>
      </c>
      <c r="AX168" s="33">
        <f>G168*AP168</f>
        <v>0</v>
      </c>
      <c r="AY168" s="34" t="s">
        <v>366</v>
      </c>
      <c r="AZ168" s="34" t="s">
        <v>376</v>
      </c>
      <c r="BA168" s="29" t="s">
        <v>379</v>
      </c>
      <c r="BC168" s="33">
        <f>AW168+AX168</f>
        <v>0</v>
      </c>
      <c r="BD168" s="33">
        <f>H168/(100-BE168)*100</f>
        <v>0</v>
      </c>
      <c r="BE168" s="33">
        <v>0</v>
      </c>
      <c r="BF168" s="33">
        <f>168</f>
        <v>168</v>
      </c>
      <c r="BH168" s="17">
        <f>G168*AO168</f>
        <v>0</v>
      </c>
      <c r="BI168" s="17">
        <f>G168*AP168</f>
        <v>0</v>
      </c>
      <c r="BJ168" s="17">
        <f>G168*H168</f>
        <v>0</v>
      </c>
    </row>
    <row r="169" spans="2:12" ht="12.75">
      <c r="B169" s="13" t="s">
        <v>94</v>
      </c>
      <c r="C169" s="84" t="s">
        <v>295</v>
      </c>
      <c r="D169" s="85"/>
      <c r="E169" s="85"/>
      <c r="F169" s="85"/>
      <c r="G169" s="85"/>
      <c r="H169" s="85"/>
      <c r="I169" s="85"/>
      <c r="J169" s="85"/>
      <c r="K169" s="85"/>
      <c r="L169" s="85"/>
    </row>
    <row r="170" spans="1:47" ht="12.75">
      <c r="A170" s="5"/>
      <c r="B170" s="14" t="s">
        <v>164</v>
      </c>
      <c r="C170" s="82" t="s">
        <v>296</v>
      </c>
      <c r="D170" s="83"/>
      <c r="E170" s="83"/>
      <c r="F170" s="5" t="s">
        <v>6</v>
      </c>
      <c r="G170" s="5" t="s">
        <v>6</v>
      </c>
      <c r="H170" s="5" t="s">
        <v>6</v>
      </c>
      <c r="I170" s="36">
        <f>SUM(I171:I172)</f>
        <v>0</v>
      </c>
      <c r="J170" s="36">
        <f>SUM(J171:J172)</f>
        <v>0</v>
      </c>
      <c r="K170" s="36">
        <f>SUM(K171:K172)</f>
        <v>0</v>
      </c>
      <c r="L170" s="29"/>
      <c r="AI170" s="29"/>
      <c r="AS170" s="36">
        <f>SUM(AJ171:AJ172)</f>
        <v>0</v>
      </c>
      <c r="AT170" s="36">
        <f>SUM(AK171:AK172)</f>
        <v>0</v>
      </c>
      <c r="AU170" s="36">
        <f>SUM(AL171:AL172)</f>
        <v>0</v>
      </c>
    </row>
    <row r="171" spans="1:62" ht="12.75">
      <c r="A171" s="4" t="s">
        <v>75</v>
      </c>
      <c r="B171" s="4" t="s">
        <v>165</v>
      </c>
      <c r="C171" s="78" t="s">
        <v>488</v>
      </c>
      <c r="D171" s="79"/>
      <c r="E171" s="79"/>
      <c r="F171" s="4" t="s">
        <v>320</v>
      </c>
      <c r="G171" s="17">
        <v>647.92825</v>
      </c>
      <c r="H171" s="72"/>
      <c r="I171" s="17">
        <f>G171*AO171</f>
        <v>0</v>
      </c>
      <c r="J171" s="17">
        <f>G171*AP171</f>
        <v>0</v>
      </c>
      <c r="K171" s="17">
        <f>G171*H171</f>
        <v>0</v>
      </c>
      <c r="L171" s="28" t="s">
        <v>344</v>
      </c>
      <c r="Z171" s="33">
        <f>IF(AQ171="5",BJ171,0)</f>
        <v>0</v>
      </c>
      <c r="AB171" s="33">
        <f>IF(AQ171="1",BH171,0)</f>
        <v>0</v>
      </c>
      <c r="AC171" s="33">
        <f>IF(AQ171="1",BI171,0)</f>
        <v>0</v>
      </c>
      <c r="AD171" s="33">
        <f>IF(AQ171="7",BH171,0)</f>
        <v>0</v>
      </c>
      <c r="AE171" s="33">
        <f>IF(AQ171="7",BI171,0)</f>
        <v>0</v>
      </c>
      <c r="AF171" s="33">
        <f>IF(AQ171="2",BH171,0)</f>
        <v>0</v>
      </c>
      <c r="AG171" s="33">
        <f>IF(AQ171="2",BI171,0)</f>
        <v>0</v>
      </c>
      <c r="AH171" s="33">
        <f>IF(AQ171="0",BJ171,0)</f>
        <v>0</v>
      </c>
      <c r="AI171" s="29"/>
      <c r="AJ171" s="17">
        <f>IF(AN171=0,K171,0)</f>
        <v>0</v>
      </c>
      <c r="AK171" s="17">
        <f>IF(AN171=15,K171,0)</f>
        <v>0</v>
      </c>
      <c r="AL171" s="17">
        <f>IF(AN171=21,K171,0)</f>
        <v>0</v>
      </c>
      <c r="AN171" s="33">
        <v>21</v>
      </c>
      <c r="AO171" s="33">
        <f>H171*0.205940604287084</f>
        <v>0</v>
      </c>
      <c r="AP171" s="33">
        <f>H171*(1-0.205940604287084)</f>
        <v>0</v>
      </c>
      <c r="AQ171" s="28" t="s">
        <v>13</v>
      </c>
      <c r="AV171" s="33">
        <f>AW171+AX171</f>
        <v>0</v>
      </c>
      <c r="AW171" s="33">
        <f>G171*AO171</f>
        <v>0</v>
      </c>
      <c r="AX171" s="33">
        <f>G171*AP171</f>
        <v>0</v>
      </c>
      <c r="AY171" s="34" t="s">
        <v>367</v>
      </c>
      <c r="AZ171" s="34" t="s">
        <v>377</v>
      </c>
      <c r="BA171" s="29" t="s">
        <v>379</v>
      </c>
      <c r="BC171" s="33">
        <f>AW171+AX171</f>
        <v>0</v>
      </c>
      <c r="BD171" s="33">
        <f>H171/(100-BE171)*100</f>
        <v>0</v>
      </c>
      <c r="BE171" s="33">
        <v>0</v>
      </c>
      <c r="BF171" s="33">
        <f>171</f>
        <v>171</v>
      </c>
      <c r="BH171" s="17">
        <f>G171*AO171</f>
        <v>0</v>
      </c>
      <c r="BI171" s="17">
        <f>G171*AP171</f>
        <v>0</v>
      </c>
      <c r="BJ171" s="17">
        <f>G171*H171</f>
        <v>0</v>
      </c>
    </row>
    <row r="172" spans="1:62" ht="12.75">
      <c r="A172" s="4" t="s">
        <v>76</v>
      </c>
      <c r="B172" s="4" t="s">
        <v>166</v>
      </c>
      <c r="C172" s="78" t="s">
        <v>489</v>
      </c>
      <c r="D172" s="79"/>
      <c r="E172" s="79"/>
      <c r="F172" s="4" t="s">
        <v>320</v>
      </c>
      <c r="G172" s="17">
        <v>647.92825</v>
      </c>
      <c r="H172" s="72"/>
      <c r="I172" s="17">
        <f>G172*AO172</f>
        <v>0</v>
      </c>
      <c r="J172" s="17">
        <f>G172*AP172</f>
        <v>0</v>
      </c>
      <c r="K172" s="17">
        <f>G172*H172</f>
        <v>0</v>
      </c>
      <c r="L172" s="28" t="s">
        <v>344</v>
      </c>
      <c r="Z172" s="33">
        <f>IF(AQ172="5",BJ172,0)</f>
        <v>0</v>
      </c>
      <c r="AB172" s="33">
        <f>IF(AQ172="1",BH172,0)</f>
        <v>0</v>
      </c>
      <c r="AC172" s="33">
        <f>IF(AQ172="1",BI172,0)</f>
        <v>0</v>
      </c>
      <c r="AD172" s="33">
        <f>IF(AQ172="7",BH172,0)</f>
        <v>0</v>
      </c>
      <c r="AE172" s="33">
        <f>IF(AQ172="7",BI172,0)</f>
        <v>0</v>
      </c>
      <c r="AF172" s="33">
        <f>IF(AQ172="2",BH172,0)</f>
        <v>0</v>
      </c>
      <c r="AG172" s="33">
        <f>IF(AQ172="2",BI172,0)</f>
        <v>0</v>
      </c>
      <c r="AH172" s="33">
        <f>IF(AQ172="0",BJ172,0)</f>
        <v>0</v>
      </c>
      <c r="AI172" s="29"/>
      <c r="AJ172" s="17">
        <f>IF(AN172=0,K172,0)</f>
        <v>0</v>
      </c>
      <c r="AK172" s="17">
        <f>IF(AN172=15,K172,0)</f>
        <v>0</v>
      </c>
      <c r="AL172" s="17">
        <f>IF(AN172=21,K172,0)</f>
        <v>0</v>
      </c>
      <c r="AN172" s="33">
        <v>21</v>
      </c>
      <c r="AO172" s="33">
        <f>H172*0.0909911429068998</f>
        <v>0</v>
      </c>
      <c r="AP172" s="33">
        <f>H172*(1-0.0909911429068998)</f>
        <v>0</v>
      </c>
      <c r="AQ172" s="28" t="s">
        <v>13</v>
      </c>
      <c r="AV172" s="33">
        <f>AW172+AX172</f>
        <v>0</v>
      </c>
      <c r="AW172" s="33">
        <f>G172*AO172</f>
        <v>0</v>
      </c>
      <c r="AX172" s="33">
        <f>G172*AP172</f>
        <v>0</v>
      </c>
      <c r="AY172" s="34" t="s">
        <v>367</v>
      </c>
      <c r="AZ172" s="34" t="s">
        <v>377</v>
      </c>
      <c r="BA172" s="29" t="s">
        <v>379</v>
      </c>
      <c r="BC172" s="33">
        <f>AW172+AX172</f>
        <v>0</v>
      </c>
      <c r="BD172" s="33">
        <f>H172/(100-BE172)*100</f>
        <v>0</v>
      </c>
      <c r="BE172" s="33">
        <v>0</v>
      </c>
      <c r="BF172" s="33">
        <f>172</f>
        <v>172</v>
      </c>
      <c r="BH172" s="17">
        <f>G172*AO172</f>
        <v>0</v>
      </c>
      <c r="BI172" s="17">
        <f>G172*AP172</f>
        <v>0</v>
      </c>
      <c r="BJ172" s="17">
        <f>G172*H172</f>
        <v>0</v>
      </c>
    </row>
    <row r="173" spans="1:47" ht="12.75">
      <c r="A173" s="5"/>
      <c r="B173" s="14" t="s">
        <v>167</v>
      </c>
      <c r="C173" s="82" t="s">
        <v>297</v>
      </c>
      <c r="D173" s="83"/>
      <c r="E173" s="83"/>
      <c r="F173" s="5" t="s">
        <v>6</v>
      </c>
      <c r="G173" s="5" t="s">
        <v>6</v>
      </c>
      <c r="H173" s="5"/>
      <c r="I173" s="36">
        <f>SUM(I174:I177)</f>
        <v>0</v>
      </c>
      <c r="J173" s="36">
        <f>SUM(J174:J177)</f>
        <v>0</v>
      </c>
      <c r="K173" s="36">
        <f>SUM(K174:K177)</f>
        <v>0</v>
      </c>
      <c r="L173" s="29"/>
      <c r="AI173" s="29"/>
      <c r="AS173" s="36">
        <f>SUM(AJ174:AJ177)</f>
        <v>0</v>
      </c>
      <c r="AT173" s="36">
        <f>SUM(AK174:AK177)</f>
        <v>0</v>
      </c>
      <c r="AU173" s="36">
        <f>SUM(AL174:AL177)</f>
        <v>0</v>
      </c>
    </row>
    <row r="174" spans="1:62" ht="12.75">
      <c r="A174" s="4" t="s">
        <v>77</v>
      </c>
      <c r="B174" s="4" t="s">
        <v>168</v>
      </c>
      <c r="C174" s="78" t="s">
        <v>298</v>
      </c>
      <c r="D174" s="79"/>
      <c r="E174" s="79"/>
      <c r="F174" s="4" t="s">
        <v>320</v>
      </c>
      <c r="G174" s="17">
        <v>1002.5</v>
      </c>
      <c r="H174" s="72"/>
      <c r="I174" s="17">
        <f>G174*AO174</f>
        <v>0</v>
      </c>
      <c r="J174" s="17">
        <f>G174*AP174</f>
        <v>0</v>
      </c>
      <c r="K174" s="17">
        <f>G174*H174</f>
        <v>0</v>
      </c>
      <c r="L174" s="28" t="s">
        <v>344</v>
      </c>
      <c r="Z174" s="33">
        <f>IF(AQ174="5",BJ174,0)</f>
        <v>0</v>
      </c>
      <c r="AB174" s="33">
        <f>IF(AQ174="1",BH174,0)</f>
        <v>0</v>
      </c>
      <c r="AC174" s="33">
        <f>IF(AQ174="1",BI174,0)</f>
        <v>0</v>
      </c>
      <c r="AD174" s="33">
        <f>IF(AQ174="7",BH174,0)</f>
        <v>0</v>
      </c>
      <c r="AE174" s="33">
        <f>IF(AQ174="7",BI174,0)</f>
        <v>0</v>
      </c>
      <c r="AF174" s="33">
        <f>IF(AQ174="2",BH174,0)</f>
        <v>0</v>
      </c>
      <c r="AG174" s="33">
        <f>IF(AQ174="2",BI174,0)</f>
        <v>0</v>
      </c>
      <c r="AH174" s="33">
        <f>IF(AQ174="0",BJ174,0)</f>
        <v>0</v>
      </c>
      <c r="AI174" s="29"/>
      <c r="AJ174" s="17">
        <f>IF(AN174=0,K174,0)</f>
        <v>0</v>
      </c>
      <c r="AK174" s="17">
        <f>IF(AN174=15,K174,0)</f>
        <v>0</v>
      </c>
      <c r="AL174" s="17">
        <f>IF(AN174=21,K174,0)</f>
        <v>0</v>
      </c>
      <c r="AN174" s="33">
        <v>21</v>
      </c>
      <c r="AO174" s="33">
        <f>H174*0.000261096605744125</f>
        <v>0</v>
      </c>
      <c r="AP174" s="33">
        <f>H174*(1-0.000261096605744125)</f>
        <v>0</v>
      </c>
      <c r="AQ174" s="28" t="s">
        <v>7</v>
      </c>
      <c r="AV174" s="33">
        <f>AW174+AX174</f>
        <v>0</v>
      </c>
      <c r="AW174" s="33">
        <f>G174*AO174</f>
        <v>0</v>
      </c>
      <c r="AX174" s="33">
        <f>G174*AP174</f>
        <v>0</v>
      </c>
      <c r="AY174" s="34" t="s">
        <v>368</v>
      </c>
      <c r="AZ174" s="34" t="s">
        <v>378</v>
      </c>
      <c r="BA174" s="29" t="s">
        <v>379</v>
      </c>
      <c r="BC174" s="33">
        <f>AW174+AX174</f>
        <v>0</v>
      </c>
      <c r="BD174" s="33">
        <f>H174/(100-BE174)*100</f>
        <v>0</v>
      </c>
      <c r="BE174" s="33">
        <v>0</v>
      </c>
      <c r="BF174" s="33">
        <f>174</f>
        <v>174</v>
      </c>
      <c r="BH174" s="17">
        <f>G174*AO174</f>
        <v>0</v>
      </c>
      <c r="BI174" s="17">
        <f>G174*AP174</f>
        <v>0</v>
      </c>
      <c r="BJ174" s="17">
        <f>G174*H174</f>
        <v>0</v>
      </c>
    </row>
    <row r="175" spans="1:62" ht="12.75">
      <c r="A175" s="4" t="s">
        <v>78</v>
      </c>
      <c r="B175" s="4" t="s">
        <v>169</v>
      </c>
      <c r="C175" s="78" t="s">
        <v>299</v>
      </c>
      <c r="D175" s="79"/>
      <c r="E175" s="79"/>
      <c r="F175" s="4" t="s">
        <v>320</v>
      </c>
      <c r="G175" s="17">
        <v>2005</v>
      </c>
      <c r="H175" s="72"/>
      <c r="I175" s="17">
        <f>G175*AO175</f>
        <v>0</v>
      </c>
      <c r="J175" s="17">
        <f>G175*AP175</f>
        <v>0</v>
      </c>
      <c r="K175" s="17">
        <f>G175*H175</f>
        <v>0</v>
      </c>
      <c r="L175" s="28" t="s">
        <v>344</v>
      </c>
      <c r="Z175" s="33">
        <f>IF(AQ175="5",BJ175,0)</f>
        <v>0</v>
      </c>
      <c r="AB175" s="33">
        <f>IF(AQ175="1",BH175,0)</f>
        <v>0</v>
      </c>
      <c r="AC175" s="33">
        <f>IF(AQ175="1",BI175,0)</f>
        <v>0</v>
      </c>
      <c r="AD175" s="33">
        <f>IF(AQ175="7",BH175,0)</f>
        <v>0</v>
      </c>
      <c r="AE175" s="33">
        <f>IF(AQ175="7",BI175,0)</f>
        <v>0</v>
      </c>
      <c r="AF175" s="33">
        <f>IF(AQ175="2",BH175,0)</f>
        <v>0</v>
      </c>
      <c r="AG175" s="33">
        <f>IF(AQ175="2",BI175,0)</f>
        <v>0</v>
      </c>
      <c r="AH175" s="33">
        <f>IF(AQ175="0",BJ175,0)</f>
        <v>0</v>
      </c>
      <c r="AI175" s="29"/>
      <c r="AJ175" s="17">
        <f>IF(AN175=0,K175,0)</f>
        <v>0</v>
      </c>
      <c r="AK175" s="17">
        <f>IF(AN175=15,K175,0)</f>
        <v>0</v>
      </c>
      <c r="AL175" s="17">
        <f>IF(AN175=21,K175,0)</f>
        <v>0</v>
      </c>
      <c r="AN175" s="33">
        <v>21</v>
      </c>
      <c r="AO175" s="33">
        <f>H175*0.904761904761905</f>
        <v>0</v>
      </c>
      <c r="AP175" s="33">
        <f>H175*(1-0.904761904761905)</f>
        <v>0</v>
      </c>
      <c r="AQ175" s="28" t="s">
        <v>7</v>
      </c>
      <c r="AV175" s="33">
        <f>AW175+AX175</f>
        <v>0</v>
      </c>
      <c r="AW175" s="33">
        <f>G175*AO175</f>
        <v>0</v>
      </c>
      <c r="AX175" s="33">
        <f>G175*AP175</f>
        <v>0</v>
      </c>
      <c r="AY175" s="34" t="s">
        <v>368</v>
      </c>
      <c r="AZ175" s="34" t="s">
        <v>378</v>
      </c>
      <c r="BA175" s="29" t="s">
        <v>379</v>
      </c>
      <c r="BC175" s="33">
        <f>AW175+AX175</f>
        <v>0</v>
      </c>
      <c r="BD175" s="33">
        <f>H175/(100-BE175)*100</f>
        <v>0</v>
      </c>
      <c r="BE175" s="33">
        <v>0</v>
      </c>
      <c r="BF175" s="33">
        <f>175</f>
        <v>175</v>
      </c>
      <c r="BH175" s="17">
        <f>G175*AO175</f>
        <v>0</v>
      </c>
      <c r="BI175" s="17">
        <f>G175*AP175</f>
        <v>0</v>
      </c>
      <c r="BJ175" s="17">
        <f>G175*H175</f>
        <v>0</v>
      </c>
    </row>
    <row r="176" spans="1:62" ht="12.75">
      <c r="A176" s="4" t="s">
        <v>79</v>
      </c>
      <c r="B176" s="4" t="s">
        <v>170</v>
      </c>
      <c r="C176" s="78" t="s">
        <v>300</v>
      </c>
      <c r="D176" s="79"/>
      <c r="E176" s="79"/>
      <c r="F176" s="4" t="s">
        <v>320</v>
      </c>
      <c r="G176" s="17">
        <v>1002.5</v>
      </c>
      <c r="H176" s="72"/>
      <c r="I176" s="17">
        <f>G176*AO176</f>
        <v>0</v>
      </c>
      <c r="J176" s="17">
        <f>G176*AP176</f>
        <v>0</v>
      </c>
      <c r="K176" s="17">
        <f>G176*H176</f>
        <v>0</v>
      </c>
      <c r="L176" s="28" t="s">
        <v>344</v>
      </c>
      <c r="Z176" s="33">
        <f>IF(AQ176="5",BJ176,0)</f>
        <v>0</v>
      </c>
      <c r="AB176" s="33">
        <f>IF(AQ176="1",BH176,0)</f>
        <v>0</v>
      </c>
      <c r="AC176" s="33">
        <f>IF(AQ176="1",BI176,0)</f>
        <v>0</v>
      </c>
      <c r="AD176" s="33">
        <f>IF(AQ176="7",BH176,0)</f>
        <v>0</v>
      </c>
      <c r="AE176" s="33">
        <f>IF(AQ176="7",BI176,0)</f>
        <v>0</v>
      </c>
      <c r="AF176" s="33">
        <f>IF(AQ176="2",BH176,0)</f>
        <v>0</v>
      </c>
      <c r="AG176" s="33">
        <f>IF(AQ176="2",BI176,0)</f>
        <v>0</v>
      </c>
      <c r="AH176" s="33">
        <f>IF(AQ176="0",BJ176,0)</f>
        <v>0</v>
      </c>
      <c r="AI176" s="29"/>
      <c r="AJ176" s="17">
        <f>IF(AN176=0,K176,0)</f>
        <v>0</v>
      </c>
      <c r="AK176" s="17">
        <f>IF(AN176=15,K176,0)</f>
        <v>0</v>
      </c>
      <c r="AL176" s="17">
        <f>IF(AN176=21,K176,0)</f>
        <v>0</v>
      </c>
      <c r="AN176" s="33">
        <v>21</v>
      </c>
      <c r="AO176" s="33">
        <f>H176*0</f>
        <v>0</v>
      </c>
      <c r="AP176" s="33">
        <f>H176*(1-0)</f>
        <v>0</v>
      </c>
      <c r="AQ176" s="28" t="s">
        <v>7</v>
      </c>
      <c r="AV176" s="33">
        <f>AW176+AX176</f>
        <v>0</v>
      </c>
      <c r="AW176" s="33">
        <f>G176*AO176</f>
        <v>0</v>
      </c>
      <c r="AX176" s="33">
        <f>G176*AP176</f>
        <v>0</v>
      </c>
      <c r="AY176" s="34" t="s">
        <v>368</v>
      </c>
      <c r="AZ176" s="34" t="s">
        <v>378</v>
      </c>
      <c r="BA176" s="29" t="s">
        <v>379</v>
      </c>
      <c r="BC176" s="33">
        <f>AW176+AX176</f>
        <v>0</v>
      </c>
      <c r="BD176" s="33">
        <f>H176/(100-BE176)*100</f>
        <v>0</v>
      </c>
      <c r="BE176" s="33">
        <v>0</v>
      </c>
      <c r="BF176" s="33">
        <f>176</f>
        <v>176</v>
      </c>
      <c r="BH176" s="17">
        <f>G176*AO176</f>
        <v>0</v>
      </c>
      <c r="BI176" s="17">
        <f>G176*AP176</f>
        <v>0</v>
      </c>
      <c r="BJ176" s="17">
        <f>G176*H176</f>
        <v>0</v>
      </c>
    </row>
    <row r="177" spans="1:62" ht="12.75">
      <c r="A177" s="4" t="s">
        <v>80</v>
      </c>
      <c r="B177" s="4" t="s">
        <v>171</v>
      </c>
      <c r="C177" s="78" t="s">
        <v>301</v>
      </c>
      <c r="D177" s="79"/>
      <c r="E177" s="79"/>
      <c r="F177" s="4" t="s">
        <v>320</v>
      </c>
      <c r="G177" s="17">
        <v>505.74</v>
      </c>
      <c r="H177" s="72"/>
      <c r="I177" s="17">
        <f>G177*AO177</f>
        <v>0</v>
      </c>
      <c r="J177" s="17">
        <f>G177*AP177</f>
        <v>0</v>
      </c>
      <c r="K177" s="17">
        <f>G177*H177</f>
        <v>0</v>
      </c>
      <c r="L177" s="28" t="s">
        <v>344</v>
      </c>
      <c r="Z177" s="33">
        <f>IF(AQ177="5",BJ177,0)</f>
        <v>0</v>
      </c>
      <c r="AB177" s="33">
        <f>IF(AQ177="1",BH177,0)</f>
        <v>0</v>
      </c>
      <c r="AC177" s="33">
        <f>IF(AQ177="1",BI177,0)</f>
        <v>0</v>
      </c>
      <c r="AD177" s="33">
        <f>IF(AQ177="7",BH177,0)</f>
        <v>0</v>
      </c>
      <c r="AE177" s="33">
        <f>IF(AQ177="7",BI177,0)</f>
        <v>0</v>
      </c>
      <c r="AF177" s="33">
        <f>IF(AQ177="2",BH177,0)</f>
        <v>0</v>
      </c>
      <c r="AG177" s="33">
        <f>IF(AQ177="2",BI177,0)</f>
        <v>0</v>
      </c>
      <c r="AH177" s="33">
        <f>IF(AQ177="0",BJ177,0)</f>
        <v>0</v>
      </c>
      <c r="AI177" s="29"/>
      <c r="AJ177" s="17">
        <f>IF(AN177=0,K177,0)</f>
        <v>0</v>
      </c>
      <c r="AK177" s="17">
        <f>IF(AN177=15,K177,0)</f>
        <v>0</v>
      </c>
      <c r="AL177" s="17">
        <f>IF(AN177=21,K177,0)</f>
        <v>0</v>
      </c>
      <c r="AN177" s="33">
        <v>21</v>
      </c>
      <c r="AO177" s="33">
        <f>H177*0.328073394495413</f>
        <v>0</v>
      </c>
      <c r="AP177" s="33">
        <f>H177*(1-0.328073394495413)</f>
        <v>0</v>
      </c>
      <c r="AQ177" s="28" t="s">
        <v>7</v>
      </c>
      <c r="AV177" s="33">
        <f>AW177+AX177</f>
        <v>0</v>
      </c>
      <c r="AW177" s="33">
        <f>G177*AO177</f>
        <v>0</v>
      </c>
      <c r="AX177" s="33">
        <f>G177*AP177</f>
        <v>0</v>
      </c>
      <c r="AY177" s="34" t="s">
        <v>368</v>
      </c>
      <c r="AZ177" s="34" t="s">
        <v>378</v>
      </c>
      <c r="BA177" s="29" t="s">
        <v>379</v>
      </c>
      <c r="BC177" s="33">
        <f>AW177+AX177</f>
        <v>0</v>
      </c>
      <c r="BD177" s="33">
        <f>H177/(100-BE177)*100</f>
        <v>0</v>
      </c>
      <c r="BE177" s="33">
        <v>0</v>
      </c>
      <c r="BF177" s="33">
        <f>177</f>
        <v>177</v>
      </c>
      <c r="BH177" s="17">
        <f>G177*AO177</f>
        <v>0</v>
      </c>
      <c r="BI177" s="17">
        <f>G177*AP177</f>
        <v>0</v>
      </c>
      <c r="BJ177" s="17">
        <f>G177*H177</f>
        <v>0</v>
      </c>
    </row>
    <row r="178" spans="1:47" ht="12.75">
      <c r="A178" s="5"/>
      <c r="B178" s="14" t="s">
        <v>172</v>
      </c>
      <c r="C178" s="82" t="s">
        <v>302</v>
      </c>
      <c r="D178" s="83"/>
      <c r="E178" s="83"/>
      <c r="F178" s="5" t="s">
        <v>6</v>
      </c>
      <c r="G178" s="5" t="s">
        <v>6</v>
      </c>
      <c r="H178" s="5"/>
      <c r="I178" s="36">
        <f>SUM(I179:I179)</f>
        <v>0</v>
      </c>
      <c r="J178" s="36">
        <f>SUM(J179:J179)</f>
        <v>0</v>
      </c>
      <c r="K178" s="36">
        <f>SUM(K179:K179)</f>
        <v>0</v>
      </c>
      <c r="L178" s="29"/>
      <c r="AI178" s="29"/>
      <c r="AS178" s="36">
        <f>SUM(AJ179:AJ179)</f>
        <v>0</v>
      </c>
      <c r="AT178" s="36">
        <f>SUM(AK179:AK179)</f>
        <v>0</v>
      </c>
      <c r="AU178" s="36">
        <f>SUM(AL179:AL179)</f>
        <v>0</v>
      </c>
    </row>
    <row r="179" spans="1:62" ht="12.75">
      <c r="A179" s="4" t="s">
        <v>81</v>
      </c>
      <c r="B179" s="4" t="s">
        <v>173</v>
      </c>
      <c r="C179" s="78" t="s">
        <v>303</v>
      </c>
      <c r="D179" s="79"/>
      <c r="E179" s="79"/>
      <c r="F179" s="4" t="s">
        <v>320</v>
      </c>
      <c r="G179" s="17">
        <v>637.182</v>
      </c>
      <c r="H179" s="72"/>
      <c r="I179" s="17">
        <f>G179*AO179</f>
        <v>0</v>
      </c>
      <c r="J179" s="17">
        <f>G179*AP179</f>
        <v>0</v>
      </c>
      <c r="K179" s="17">
        <f>G179*H179</f>
        <v>0</v>
      </c>
      <c r="L179" s="28"/>
      <c r="Z179" s="33">
        <f>IF(AQ179="5",BJ179,0)</f>
        <v>0</v>
      </c>
      <c r="AB179" s="33">
        <f>IF(AQ179="1",BH179,0)</f>
        <v>0</v>
      </c>
      <c r="AC179" s="33">
        <f>IF(AQ179="1",BI179,0)</f>
        <v>0</v>
      </c>
      <c r="AD179" s="33">
        <f>IF(AQ179="7",BH179,0)</f>
        <v>0</v>
      </c>
      <c r="AE179" s="33">
        <f>IF(AQ179="7",BI179,0)</f>
        <v>0</v>
      </c>
      <c r="AF179" s="33">
        <f>IF(AQ179="2",BH179,0)</f>
        <v>0</v>
      </c>
      <c r="AG179" s="33">
        <f>IF(AQ179="2",BI179,0)</f>
        <v>0</v>
      </c>
      <c r="AH179" s="33">
        <f>IF(AQ179="0",BJ179,0)</f>
        <v>0</v>
      </c>
      <c r="AI179" s="29"/>
      <c r="AJ179" s="17">
        <f>IF(AN179=0,K179,0)</f>
        <v>0</v>
      </c>
      <c r="AK179" s="17">
        <f>IF(AN179=15,K179,0)</f>
        <v>0</v>
      </c>
      <c r="AL179" s="17">
        <f>IF(AN179=21,K179,0)</f>
        <v>0</v>
      </c>
      <c r="AN179" s="33">
        <v>21</v>
      </c>
      <c r="AO179" s="33">
        <f>H179*0</f>
        <v>0</v>
      </c>
      <c r="AP179" s="33">
        <f>H179*(1-0)</f>
        <v>0</v>
      </c>
      <c r="AQ179" s="28" t="s">
        <v>7</v>
      </c>
      <c r="AV179" s="33">
        <f>AW179+AX179</f>
        <v>0</v>
      </c>
      <c r="AW179" s="33">
        <f>G179*AO179</f>
        <v>0</v>
      </c>
      <c r="AX179" s="33">
        <f>G179*AP179</f>
        <v>0</v>
      </c>
      <c r="AY179" s="34" t="s">
        <v>369</v>
      </c>
      <c r="AZ179" s="34" t="s">
        <v>378</v>
      </c>
      <c r="BA179" s="29" t="s">
        <v>379</v>
      </c>
      <c r="BC179" s="33">
        <f>AW179+AX179</f>
        <v>0</v>
      </c>
      <c r="BD179" s="33">
        <f>H179/(100-BE179)*100</f>
        <v>0</v>
      </c>
      <c r="BE179" s="33">
        <v>0</v>
      </c>
      <c r="BF179" s="33">
        <f>179</f>
        <v>179</v>
      </c>
      <c r="BH179" s="17">
        <f>G179*AO179</f>
        <v>0</v>
      </c>
      <c r="BI179" s="17">
        <f>G179*AP179</f>
        <v>0</v>
      </c>
      <c r="BJ179" s="17">
        <f>G179*H179</f>
        <v>0</v>
      </c>
    </row>
    <row r="180" spans="1:47" ht="12.75">
      <c r="A180" s="5"/>
      <c r="B180" s="14" t="s">
        <v>174</v>
      </c>
      <c r="C180" s="82" t="s">
        <v>304</v>
      </c>
      <c r="D180" s="83"/>
      <c r="E180" s="83"/>
      <c r="F180" s="5" t="s">
        <v>6</v>
      </c>
      <c r="G180" s="5" t="s">
        <v>6</v>
      </c>
      <c r="H180" s="5"/>
      <c r="I180" s="36">
        <f>SUM(I181:I181)</f>
        <v>0</v>
      </c>
      <c r="J180" s="36">
        <f>SUM(J181:J181)</f>
        <v>0</v>
      </c>
      <c r="K180" s="36">
        <f>SUM(K181:K181)</f>
        <v>0</v>
      </c>
      <c r="L180" s="29"/>
      <c r="AI180" s="29"/>
      <c r="AS180" s="36">
        <f>SUM(AJ181:AJ181)</f>
        <v>0</v>
      </c>
      <c r="AT180" s="36">
        <f>SUM(AK181:AK181)</f>
        <v>0</v>
      </c>
      <c r="AU180" s="36">
        <f>SUM(AL181:AL181)</f>
        <v>0</v>
      </c>
    </row>
    <row r="181" spans="1:62" ht="12.75">
      <c r="A181" s="4" t="s">
        <v>82</v>
      </c>
      <c r="B181" s="4" t="s">
        <v>175</v>
      </c>
      <c r="C181" s="78" t="s">
        <v>305</v>
      </c>
      <c r="D181" s="79"/>
      <c r="E181" s="79"/>
      <c r="F181" s="4" t="s">
        <v>324</v>
      </c>
      <c r="G181" s="17">
        <v>14</v>
      </c>
      <c r="H181" s="72"/>
      <c r="I181" s="17">
        <f>G181*AO181</f>
        <v>0</v>
      </c>
      <c r="J181" s="17">
        <f>G181*AP181</f>
        <v>0</v>
      </c>
      <c r="K181" s="17">
        <f>G181*H181</f>
        <v>0</v>
      </c>
      <c r="L181" s="28" t="s">
        <v>344</v>
      </c>
      <c r="Z181" s="33">
        <f>IF(AQ181="5",BJ181,0)</f>
        <v>0</v>
      </c>
      <c r="AB181" s="33">
        <f>IF(AQ181="1",BH181,0)</f>
        <v>0</v>
      </c>
      <c r="AC181" s="33">
        <f>IF(AQ181="1",BI181,0)</f>
        <v>0</v>
      </c>
      <c r="AD181" s="33">
        <f>IF(AQ181="7",BH181,0)</f>
        <v>0</v>
      </c>
      <c r="AE181" s="33">
        <f>IF(AQ181="7",BI181,0)</f>
        <v>0</v>
      </c>
      <c r="AF181" s="33">
        <f>IF(AQ181="2",BH181,0)</f>
        <v>0</v>
      </c>
      <c r="AG181" s="33">
        <f>IF(AQ181="2",BI181,0)</f>
        <v>0</v>
      </c>
      <c r="AH181" s="33">
        <f>IF(AQ181="0",BJ181,0)</f>
        <v>0</v>
      </c>
      <c r="AI181" s="29"/>
      <c r="AJ181" s="17">
        <f>IF(AN181=0,K181,0)</f>
        <v>0</v>
      </c>
      <c r="AK181" s="17">
        <f>IF(AN181=15,K181,0)</f>
        <v>0</v>
      </c>
      <c r="AL181" s="17">
        <f>IF(AN181=21,K181,0)</f>
        <v>0</v>
      </c>
      <c r="AN181" s="33">
        <v>21</v>
      </c>
      <c r="AO181" s="33">
        <f>H181*0.0565</f>
        <v>0</v>
      </c>
      <c r="AP181" s="33">
        <f>H181*(1-0.0565)</f>
        <v>0</v>
      </c>
      <c r="AQ181" s="28" t="s">
        <v>7</v>
      </c>
      <c r="AV181" s="33">
        <f>AW181+AX181</f>
        <v>0</v>
      </c>
      <c r="AW181" s="33">
        <f>G181*AO181</f>
        <v>0</v>
      </c>
      <c r="AX181" s="33">
        <f>G181*AP181</f>
        <v>0</v>
      </c>
      <c r="AY181" s="34" t="s">
        <v>370</v>
      </c>
      <c r="AZ181" s="34" t="s">
        <v>378</v>
      </c>
      <c r="BA181" s="29" t="s">
        <v>379</v>
      </c>
      <c r="BC181" s="33">
        <f>AW181+AX181</f>
        <v>0</v>
      </c>
      <c r="BD181" s="33">
        <f>H181/(100-BE181)*100</f>
        <v>0</v>
      </c>
      <c r="BE181" s="33">
        <v>0</v>
      </c>
      <c r="BF181" s="33">
        <f>181</f>
        <v>181</v>
      </c>
      <c r="BH181" s="17">
        <f>G181*AO181</f>
        <v>0</v>
      </c>
      <c r="BI181" s="17">
        <f>G181*AP181</f>
        <v>0</v>
      </c>
      <c r="BJ181" s="17">
        <f>G181*H181</f>
        <v>0</v>
      </c>
    </row>
    <row r="182" spans="1:47" ht="12.75">
      <c r="A182" s="5"/>
      <c r="B182" s="14" t="s">
        <v>176</v>
      </c>
      <c r="C182" s="82" t="s">
        <v>306</v>
      </c>
      <c r="D182" s="83"/>
      <c r="E182" s="83"/>
      <c r="F182" s="5" t="s">
        <v>6</v>
      </c>
      <c r="G182" s="5" t="s">
        <v>6</v>
      </c>
      <c r="H182" s="5"/>
      <c r="I182" s="36">
        <f>SUM(I183:I183)</f>
        <v>0</v>
      </c>
      <c r="J182" s="36">
        <f>SUM(J183:J183)</f>
        <v>0</v>
      </c>
      <c r="K182" s="36">
        <f>SUM(K183:K183)</f>
        <v>0</v>
      </c>
      <c r="L182" s="29"/>
      <c r="AI182" s="29"/>
      <c r="AS182" s="36">
        <f>SUM(AJ183:AJ183)</f>
        <v>0</v>
      </c>
      <c r="AT182" s="36">
        <f>SUM(AK183:AK183)</f>
        <v>0</v>
      </c>
      <c r="AU182" s="36">
        <f>SUM(AL183:AL183)</f>
        <v>0</v>
      </c>
    </row>
    <row r="183" spans="1:62" ht="12.75">
      <c r="A183" s="4" t="s">
        <v>83</v>
      </c>
      <c r="B183" s="4" t="s">
        <v>177</v>
      </c>
      <c r="C183" s="78" t="s">
        <v>307</v>
      </c>
      <c r="D183" s="79"/>
      <c r="E183" s="79"/>
      <c r="F183" s="4" t="s">
        <v>323</v>
      </c>
      <c r="G183" s="17">
        <v>116.71647</v>
      </c>
      <c r="H183" s="72"/>
      <c r="I183" s="17">
        <f>G183*AO183</f>
        <v>0</v>
      </c>
      <c r="J183" s="17">
        <f>G183*AP183</f>
        <v>0</v>
      </c>
      <c r="K183" s="17">
        <f>G183*H183</f>
        <v>0</v>
      </c>
      <c r="L183" s="28" t="s">
        <v>344</v>
      </c>
      <c r="Z183" s="33">
        <f>IF(AQ183="5",BJ183,0)</f>
        <v>0</v>
      </c>
      <c r="AB183" s="33">
        <f>IF(AQ183="1",BH183,0)</f>
        <v>0</v>
      </c>
      <c r="AC183" s="33">
        <f>IF(AQ183="1",BI183,0)</f>
        <v>0</v>
      </c>
      <c r="AD183" s="33">
        <f>IF(AQ183="7",BH183,0)</f>
        <v>0</v>
      </c>
      <c r="AE183" s="33">
        <f>IF(AQ183="7",BI183,0)</f>
        <v>0</v>
      </c>
      <c r="AF183" s="33">
        <f>IF(AQ183="2",BH183,0)</f>
        <v>0</v>
      </c>
      <c r="AG183" s="33">
        <f>IF(AQ183="2",BI183,0)</f>
        <v>0</v>
      </c>
      <c r="AH183" s="33">
        <f>IF(AQ183="0",BJ183,0)</f>
        <v>0</v>
      </c>
      <c r="AI183" s="29"/>
      <c r="AJ183" s="17">
        <f>IF(AN183=0,K183,0)</f>
        <v>0</v>
      </c>
      <c r="AK183" s="17">
        <f>IF(AN183=15,K183,0)</f>
        <v>0</v>
      </c>
      <c r="AL183" s="17">
        <f>IF(AN183=21,K183,0)</f>
        <v>0</v>
      </c>
      <c r="AN183" s="33">
        <v>21</v>
      </c>
      <c r="AO183" s="33">
        <f>H183*0</f>
        <v>0</v>
      </c>
      <c r="AP183" s="33">
        <f>H183*(1-0)</f>
        <v>0</v>
      </c>
      <c r="AQ183" s="28" t="s">
        <v>11</v>
      </c>
      <c r="AV183" s="33">
        <f>AW183+AX183</f>
        <v>0</v>
      </c>
      <c r="AW183" s="33">
        <f>G183*AO183</f>
        <v>0</v>
      </c>
      <c r="AX183" s="33">
        <f>G183*AP183</f>
        <v>0</v>
      </c>
      <c r="AY183" s="34" t="s">
        <v>371</v>
      </c>
      <c r="AZ183" s="34" t="s">
        <v>378</v>
      </c>
      <c r="BA183" s="29" t="s">
        <v>379</v>
      </c>
      <c r="BC183" s="33">
        <f>AW183+AX183</f>
        <v>0</v>
      </c>
      <c r="BD183" s="33">
        <f>H183/(100-BE183)*100</f>
        <v>0</v>
      </c>
      <c r="BE183" s="33">
        <v>0</v>
      </c>
      <c r="BF183" s="33">
        <f>183</f>
        <v>183</v>
      </c>
      <c r="BH183" s="17">
        <f>G183*AO183</f>
        <v>0</v>
      </c>
      <c r="BI183" s="17">
        <f>G183*AP183</f>
        <v>0</v>
      </c>
      <c r="BJ183" s="17">
        <f>G183*H183</f>
        <v>0</v>
      </c>
    </row>
    <row r="184" spans="1:47" ht="12.75">
      <c r="A184" s="5"/>
      <c r="B184" s="14" t="s">
        <v>178</v>
      </c>
      <c r="C184" s="82" t="s">
        <v>308</v>
      </c>
      <c r="D184" s="83"/>
      <c r="E184" s="83"/>
      <c r="F184" s="5" t="s">
        <v>6</v>
      </c>
      <c r="G184" s="5" t="s">
        <v>6</v>
      </c>
      <c r="H184" s="5"/>
      <c r="I184" s="36">
        <f>SUM(I185:I196)</f>
        <v>0</v>
      </c>
      <c r="J184" s="36">
        <f>SUM(J185:J196)</f>
        <v>0</v>
      </c>
      <c r="K184" s="36">
        <f>SUM(K185:K190)</f>
        <v>0</v>
      </c>
      <c r="L184" s="29"/>
      <c r="AI184" s="29"/>
      <c r="AS184" s="36">
        <f>SUM(AJ185:AJ197)</f>
        <v>0</v>
      </c>
      <c r="AT184" s="36">
        <f>SUM(AK185:AK197)</f>
        <v>0</v>
      </c>
      <c r="AU184" s="36">
        <f>SUM(AL185:AL197)</f>
        <v>0</v>
      </c>
    </row>
    <row r="185" spans="1:62" ht="12.75">
      <c r="A185" s="4" t="s">
        <v>84</v>
      </c>
      <c r="B185" s="4" t="s">
        <v>179</v>
      </c>
      <c r="C185" s="78" t="s">
        <v>309</v>
      </c>
      <c r="D185" s="79"/>
      <c r="E185" s="79"/>
      <c r="F185" s="4" t="s">
        <v>323</v>
      </c>
      <c r="G185" s="17">
        <v>4.6868</v>
      </c>
      <c r="H185" s="72"/>
      <c r="I185" s="17">
        <f>G185*AO185</f>
        <v>0</v>
      </c>
      <c r="J185" s="17">
        <f>G185*AP185</f>
        <v>0</v>
      </c>
      <c r="K185" s="17">
        <f aca="true" t="shared" si="70" ref="K185:K190">G185*H185</f>
        <v>0</v>
      </c>
      <c r="L185" s="28" t="s">
        <v>344</v>
      </c>
      <c r="Z185" s="33">
        <f aca="true" t="shared" si="71" ref="Z185:Z197">IF(AQ185="5",BJ185,0)</f>
        <v>0</v>
      </c>
      <c r="AB185" s="33">
        <f aca="true" t="shared" si="72" ref="AB185:AB197">IF(AQ185="1",BH185,0)</f>
        <v>0</v>
      </c>
      <c r="AC185" s="33">
        <f aca="true" t="shared" si="73" ref="AC185:AC197">IF(AQ185="1",BI185,0)</f>
        <v>0</v>
      </c>
      <c r="AD185" s="33">
        <f aca="true" t="shared" si="74" ref="AD185:AD197">IF(AQ185="7",BH185,0)</f>
        <v>0</v>
      </c>
      <c r="AE185" s="33">
        <f aca="true" t="shared" si="75" ref="AE185:AE197">IF(AQ185="7",BI185,0)</f>
        <v>0</v>
      </c>
      <c r="AF185" s="33">
        <f aca="true" t="shared" si="76" ref="AF185:AF197">IF(AQ185="2",BH185,0)</f>
        <v>0</v>
      </c>
      <c r="AG185" s="33">
        <f aca="true" t="shared" si="77" ref="AG185:AG197">IF(AQ185="2",BI185,0)</f>
        <v>0</v>
      </c>
      <c r="AH185" s="33">
        <f aca="true" t="shared" si="78" ref="AH185:AH197">IF(AQ185="0",BJ185,0)</f>
        <v>0</v>
      </c>
      <c r="AI185" s="29"/>
      <c r="AJ185" s="17">
        <f>IF(AN185=0,K185,0)</f>
        <v>0</v>
      </c>
      <c r="AK185" s="17">
        <f>IF(AN185=15,K185,0)</f>
        <v>0</v>
      </c>
      <c r="AL185" s="17">
        <f>IF(AN185=21,K185,0)</f>
        <v>0</v>
      </c>
      <c r="AN185" s="33">
        <v>21</v>
      </c>
      <c r="AO185" s="33">
        <f>H185*0</f>
        <v>0</v>
      </c>
      <c r="AP185" s="33">
        <f>H185*(1-0)</f>
        <v>0</v>
      </c>
      <c r="AQ185" s="28" t="s">
        <v>11</v>
      </c>
      <c r="AV185" s="33">
        <f aca="true" t="shared" si="79" ref="AV185:AV197">AW185+AX185</f>
        <v>0</v>
      </c>
      <c r="AW185" s="33">
        <f>G185*AO185</f>
        <v>0</v>
      </c>
      <c r="AX185" s="33">
        <f>G185*AP185</f>
        <v>0</v>
      </c>
      <c r="AY185" s="34" t="s">
        <v>372</v>
      </c>
      <c r="AZ185" s="34" t="s">
        <v>378</v>
      </c>
      <c r="BA185" s="29" t="s">
        <v>379</v>
      </c>
      <c r="BC185" s="33">
        <f aca="true" t="shared" si="80" ref="BC185:BC197">AW185+AX185</f>
        <v>0</v>
      </c>
      <c r="BD185" s="33">
        <f>H185/(100-BE185)*100</f>
        <v>0</v>
      </c>
      <c r="BE185" s="33">
        <v>0</v>
      </c>
      <c r="BF185" s="33">
        <f>185</f>
        <v>185</v>
      </c>
      <c r="BH185" s="17">
        <f>G185*AO185</f>
        <v>0</v>
      </c>
      <c r="BI185" s="17">
        <f>G185*AP185</f>
        <v>0</v>
      </c>
      <c r="BJ185" s="17">
        <f>G185*H185</f>
        <v>0</v>
      </c>
    </row>
    <row r="186" spans="1:62" ht="12.75">
      <c r="A186" s="4" t="s">
        <v>85</v>
      </c>
      <c r="B186" s="4" t="s">
        <v>180</v>
      </c>
      <c r="C186" s="78" t="s">
        <v>310</v>
      </c>
      <c r="D186" s="79"/>
      <c r="E186" s="79"/>
      <c r="F186" s="4" t="s">
        <v>323</v>
      </c>
      <c r="G186" s="17">
        <v>23.434</v>
      </c>
      <c r="H186" s="72"/>
      <c r="I186" s="17">
        <f>G186*AO186</f>
        <v>0</v>
      </c>
      <c r="J186" s="17">
        <f>G186*AP186</f>
        <v>0</v>
      </c>
      <c r="K186" s="17">
        <f t="shared" si="70"/>
        <v>0</v>
      </c>
      <c r="L186" s="28" t="s">
        <v>344</v>
      </c>
      <c r="Z186" s="33">
        <f t="shared" si="71"/>
        <v>0</v>
      </c>
      <c r="AB186" s="33">
        <f t="shared" si="72"/>
        <v>0</v>
      </c>
      <c r="AC186" s="33">
        <f t="shared" si="73"/>
        <v>0</v>
      </c>
      <c r="AD186" s="33">
        <f t="shared" si="74"/>
        <v>0</v>
      </c>
      <c r="AE186" s="33">
        <f t="shared" si="75"/>
        <v>0</v>
      </c>
      <c r="AF186" s="33">
        <f t="shared" si="76"/>
        <v>0</v>
      </c>
      <c r="AG186" s="33">
        <f t="shared" si="77"/>
        <v>0</v>
      </c>
      <c r="AH186" s="33">
        <f t="shared" si="78"/>
        <v>0</v>
      </c>
      <c r="AI186" s="29"/>
      <c r="AJ186" s="17">
        <f>IF(AN186=0,K186,0)</f>
        <v>0</v>
      </c>
      <c r="AK186" s="17">
        <f>IF(AN186=15,K186,0)</f>
        <v>0</v>
      </c>
      <c r="AL186" s="17">
        <f>IF(AN186=21,K186,0)</f>
        <v>0</v>
      </c>
      <c r="AN186" s="33">
        <v>21</v>
      </c>
      <c r="AO186" s="33">
        <f>H186*0</f>
        <v>0</v>
      </c>
      <c r="AP186" s="33">
        <f>H186*(1-0)</f>
        <v>0</v>
      </c>
      <c r="AQ186" s="28" t="s">
        <v>11</v>
      </c>
      <c r="AV186" s="33">
        <f t="shared" si="79"/>
        <v>0</v>
      </c>
      <c r="AW186" s="33">
        <f>G186*AO186</f>
        <v>0</v>
      </c>
      <c r="AX186" s="33">
        <f>G186*AP186</f>
        <v>0</v>
      </c>
      <c r="AY186" s="34" t="s">
        <v>372</v>
      </c>
      <c r="AZ186" s="34" t="s">
        <v>378</v>
      </c>
      <c r="BA186" s="29" t="s">
        <v>379</v>
      </c>
      <c r="BC186" s="33">
        <f t="shared" si="80"/>
        <v>0</v>
      </c>
      <c r="BD186" s="33">
        <f>H186/(100-BE186)*100</f>
        <v>0</v>
      </c>
      <c r="BE186" s="33">
        <v>0</v>
      </c>
      <c r="BF186" s="33">
        <f>186</f>
        <v>186</v>
      </c>
      <c r="BH186" s="17">
        <f>G186*AO186</f>
        <v>0</v>
      </c>
      <c r="BI186" s="17">
        <f>G186*AP186</f>
        <v>0</v>
      </c>
      <c r="BJ186" s="17">
        <f>G186*H186</f>
        <v>0</v>
      </c>
    </row>
    <row r="187" spans="1:62" ht="12.75">
      <c r="A187" s="4" t="s">
        <v>86</v>
      </c>
      <c r="B187" s="4" t="s">
        <v>181</v>
      </c>
      <c r="C187" s="78" t="s">
        <v>311</v>
      </c>
      <c r="D187" s="79"/>
      <c r="E187" s="79"/>
      <c r="F187" s="4" t="s">
        <v>323</v>
      </c>
      <c r="G187" s="17">
        <v>4.6868</v>
      </c>
      <c r="H187" s="72"/>
      <c r="I187" s="17">
        <f>G187*AO187</f>
        <v>0</v>
      </c>
      <c r="J187" s="17">
        <f>G187*AP187</f>
        <v>0</v>
      </c>
      <c r="K187" s="17">
        <f t="shared" si="70"/>
        <v>0</v>
      </c>
      <c r="L187" s="28" t="s">
        <v>344</v>
      </c>
      <c r="Z187" s="33">
        <f t="shared" si="71"/>
        <v>0</v>
      </c>
      <c r="AB187" s="33">
        <f t="shared" si="72"/>
        <v>0</v>
      </c>
      <c r="AC187" s="33">
        <f t="shared" si="73"/>
        <v>0</v>
      </c>
      <c r="AD187" s="33">
        <f t="shared" si="74"/>
        <v>0</v>
      </c>
      <c r="AE187" s="33">
        <f t="shared" si="75"/>
        <v>0</v>
      </c>
      <c r="AF187" s="33">
        <f t="shared" si="76"/>
        <v>0</v>
      </c>
      <c r="AG187" s="33">
        <f t="shared" si="77"/>
        <v>0</v>
      </c>
      <c r="AH187" s="33">
        <f t="shared" si="78"/>
        <v>0</v>
      </c>
      <c r="AI187" s="29"/>
      <c r="AJ187" s="17">
        <f>IF(AN187=0,K187,0)</f>
        <v>0</v>
      </c>
      <c r="AK187" s="17">
        <f>IF(AN187=15,K187,0)</f>
        <v>0</v>
      </c>
      <c r="AL187" s="17">
        <f>IF(AN187=21,K187,0)</f>
        <v>0</v>
      </c>
      <c r="AN187" s="33">
        <v>21</v>
      </c>
      <c r="AO187" s="33">
        <f>H187*0</f>
        <v>0</v>
      </c>
      <c r="AP187" s="33">
        <f>H187*(1-0)</f>
        <v>0</v>
      </c>
      <c r="AQ187" s="28" t="s">
        <v>11</v>
      </c>
      <c r="AV187" s="33">
        <f t="shared" si="79"/>
        <v>0</v>
      </c>
      <c r="AW187" s="33">
        <f>G187*AO187</f>
        <v>0</v>
      </c>
      <c r="AX187" s="33">
        <f>G187*AP187</f>
        <v>0</v>
      </c>
      <c r="AY187" s="34" t="s">
        <v>372</v>
      </c>
      <c r="AZ187" s="34" t="s">
        <v>378</v>
      </c>
      <c r="BA187" s="29" t="s">
        <v>379</v>
      </c>
      <c r="BC187" s="33">
        <f t="shared" si="80"/>
        <v>0</v>
      </c>
      <c r="BD187" s="33">
        <f>H187/(100-BE187)*100</f>
        <v>0</v>
      </c>
      <c r="BE187" s="33">
        <v>0</v>
      </c>
      <c r="BF187" s="33">
        <f>187</f>
        <v>187</v>
      </c>
      <c r="BH187" s="17">
        <f>G187*AO187</f>
        <v>0</v>
      </c>
      <c r="BI187" s="17">
        <f>G187*AP187</f>
        <v>0</v>
      </c>
      <c r="BJ187" s="17">
        <f>G187*H187</f>
        <v>0</v>
      </c>
    </row>
    <row r="188" spans="1:62" ht="12.75">
      <c r="A188" s="4" t="s">
        <v>87</v>
      </c>
      <c r="B188" s="4" t="s">
        <v>182</v>
      </c>
      <c r="C188" s="78" t="s">
        <v>312</v>
      </c>
      <c r="D188" s="79"/>
      <c r="E188" s="79"/>
      <c r="F188" s="4" t="s">
        <v>323</v>
      </c>
      <c r="G188" s="17">
        <v>18.7472</v>
      </c>
      <c r="H188" s="72"/>
      <c r="I188" s="17">
        <f>G188*AO188</f>
        <v>0</v>
      </c>
      <c r="J188" s="17">
        <f>G188*AP188</f>
        <v>0</v>
      </c>
      <c r="K188" s="17">
        <f t="shared" si="70"/>
        <v>0</v>
      </c>
      <c r="L188" s="28" t="s">
        <v>344</v>
      </c>
      <c r="Z188" s="33">
        <f t="shared" si="71"/>
        <v>0</v>
      </c>
      <c r="AB188" s="33">
        <f t="shared" si="72"/>
        <v>0</v>
      </c>
      <c r="AC188" s="33">
        <f t="shared" si="73"/>
        <v>0</v>
      </c>
      <c r="AD188" s="33">
        <f t="shared" si="74"/>
        <v>0</v>
      </c>
      <c r="AE188" s="33">
        <f t="shared" si="75"/>
        <v>0</v>
      </c>
      <c r="AF188" s="33">
        <f t="shared" si="76"/>
        <v>0</v>
      </c>
      <c r="AG188" s="33">
        <f t="shared" si="77"/>
        <v>0</v>
      </c>
      <c r="AH188" s="33">
        <f t="shared" si="78"/>
        <v>0</v>
      </c>
      <c r="AI188" s="29"/>
      <c r="AJ188" s="17">
        <f>IF(AN188=0,K188,0)</f>
        <v>0</v>
      </c>
      <c r="AK188" s="17">
        <f>IF(AN188=15,K188,0)</f>
        <v>0</v>
      </c>
      <c r="AL188" s="17">
        <f>IF(AN188=21,K188,0)</f>
        <v>0</v>
      </c>
      <c r="AN188" s="33">
        <v>21</v>
      </c>
      <c r="AO188" s="33">
        <f>H188*0</f>
        <v>0</v>
      </c>
      <c r="AP188" s="33">
        <f>H188*(1-0)</f>
        <v>0</v>
      </c>
      <c r="AQ188" s="28" t="s">
        <v>11</v>
      </c>
      <c r="AV188" s="33">
        <f t="shared" si="79"/>
        <v>0</v>
      </c>
      <c r="AW188" s="33">
        <f>G188*AO188</f>
        <v>0</v>
      </c>
      <c r="AX188" s="33">
        <f>G188*AP188</f>
        <v>0</v>
      </c>
      <c r="AY188" s="34" t="s">
        <v>372</v>
      </c>
      <c r="AZ188" s="34" t="s">
        <v>378</v>
      </c>
      <c r="BA188" s="29" t="s">
        <v>379</v>
      </c>
      <c r="BC188" s="33">
        <f t="shared" si="80"/>
        <v>0</v>
      </c>
      <c r="BD188" s="33">
        <f>H188/(100-BE188)*100</f>
        <v>0</v>
      </c>
      <c r="BE188" s="33">
        <v>0</v>
      </c>
      <c r="BF188" s="33">
        <f>188</f>
        <v>188</v>
      </c>
      <c r="BH188" s="17">
        <f>G188*AO188</f>
        <v>0</v>
      </c>
      <c r="BI188" s="17">
        <f>G188*AP188</f>
        <v>0</v>
      </c>
      <c r="BJ188" s="17">
        <f>G188*H188</f>
        <v>0</v>
      </c>
    </row>
    <row r="189" spans="1:62" ht="12.75">
      <c r="A189" s="4" t="s">
        <v>88</v>
      </c>
      <c r="B189" s="4" t="s">
        <v>183</v>
      </c>
      <c r="C189" s="78" t="s">
        <v>313</v>
      </c>
      <c r="D189" s="79"/>
      <c r="E189" s="79"/>
      <c r="F189" s="4" t="s">
        <v>323</v>
      </c>
      <c r="G189" s="17">
        <v>4.6868</v>
      </c>
      <c r="H189" s="72"/>
      <c r="I189" s="17">
        <f>G189*AO189</f>
        <v>0</v>
      </c>
      <c r="J189" s="17">
        <f>G189*AP189</f>
        <v>0</v>
      </c>
      <c r="K189" s="17">
        <f t="shared" si="70"/>
        <v>0</v>
      </c>
      <c r="L189" s="28" t="s">
        <v>344</v>
      </c>
      <c r="Z189" s="33">
        <f t="shared" si="71"/>
        <v>0</v>
      </c>
      <c r="AB189" s="33">
        <f t="shared" si="72"/>
        <v>0</v>
      </c>
      <c r="AC189" s="33">
        <f t="shared" si="73"/>
        <v>0</v>
      </c>
      <c r="AD189" s="33">
        <f t="shared" si="74"/>
        <v>0</v>
      </c>
      <c r="AE189" s="33">
        <f t="shared" si="75"/>
        <v>0</v>
      </c>
      <c r="AF189" s="33">
        <f t="shared" si="76"/>
        <v>0</v>
      </c>
      <c r="AG189" s="33">
        <f t="shared" si="77"/>
        <v>0</v>
      </c>
      <c r="AH189" s="33">
        <f t="shared" si="78"/>
        <v>0</v>
      </c>
      <c r="AI189" s="29"/>
      <c r="AJ189" s="17">
        <f>IF(AN189=0,K189,0)</f>
        <v>0</v>
      </c>
      <c r="AK189" s="17">
        <f>IF(AN189=15,K189,0)</f>
        <v>0</v>
      </c>
      <c r="AL189" s="17">
        <f>IF(AN189=21,K189,0)</f>
        <v>0</v>
      </c>
      <c r="AN189" s="33">
        <v>21</v>
      </c>
      <c r="AO189" s="33">
        <f>H189*0</f>
        <v>0</v>
      </c>
      <c r="AP189" s="33">
        <f>H189*(1-0)</f>
        <v>0</v>
      </c>
      <c r="AQ189" s="28" t="s">
        <v>11</v>
      </c>
      <c r="AV189" s="33">
        <f t="shared" si="79"/>
        <v>0</v>
      </c>
      <c r="AW189" s="33">
        <f>G189*AO189</f>
        <v>0</v>
      </c>
      <c r="AX189" s="33">
        <f>G189*AP189</f>
        <v>0</v>
      </c>
      <c r="AY189" s="34" t="s">
        <v>372</v>
      </c>
      <c r="AZ189" s="34" t="s">
        <v>378</v>
      </c>
      <c r="BA189" s="29" t="s">
        <v>379</v>
      </c>
      <c r="BC189" s="33">
        <f t="shared" si="80"/>
        <v>0</v>
      </c>
      <c r="BD189" s="33">
        <f>H189/(100-BE189)*100</f>
        <v>0</v>
      </c>
      <c r="BE189" s="33">
        <v>0</v>
      </c>
      <c r="BF189" s="33">
        <f>189</f>
        <v>189</v>
      </c>
      <c r="BH189" s="17">
        <f>G189*AO189</f>
        <v>0</v>
      </c>
      <c r="BI189" s="17">
        <f>G189*AP189</f>
        <v>0</v>
      </c>
      <c r="BJ189" s="17">
        <f>G189*H189</f>
        <v>0</v>
      </c>
    </row>
    <row r="190" spans="1:62" ht="12.75">
      <c r="A190" s="4" t="s">
        <v>89</v>
      </c>
      <c r="B190" s="4" t="s">
        <v>184</v>
      </c>
      <c r="C190" s="78" t="s">
        <v>314</v>
      </c>
      <c r="D190" s="79"/>
      <c r="E190" s="79"/>
      <c r="F190" s="4" t="s">
        <v>323</v>
      </c>
      <c r="G190" s="17">
        <v>4.6868</v>
      </c>
      <c r="H190" s="72"/>
      <c r="I190" s="17">
        <f>G190*AO197</f>
        <v>0</v>
      </c>
      <c r="J190" s="17">
        <f>G190*AP197</f>
        <v>0</v>
      </c>
      <c r="K190" s="17">
        <f t="shared" si="70"/>
        <v>0</v>
      </c>
      <c r="L190" s="28" t="s">
        <v>344</v>
      </c>
      <c r="Z190" s="33"/>
      <c r="AB190" s="33"/>
      <c r="AC190" s="33"/>
      <c r="AD190" s="33"/>
      <c r="AE190" s="33"/>
      <c r="AF190" s="33"/>
      <c r="AG190" s="33"/>
      <c r="AH190" s="33"/>
      <c r="AI190" s="29"/>
      <c r="AJ190" s="17"/>
      <c r="AK190" s="17"/>
      <c r="AL190" s="17"/>
      <c r="AN190" s="33"/>
      <c r="AO190" s="33"/>
      <c r="AP190" s="33"/>
      <c r="AQ190" s="28"/>
      <c r="AV190" s="33"/>
      <c r="AW190" s="33"/>
      <c r="AX190" s="33"/>
      <c r="AY190" s="34"/>
      <c r="AZ190" s="34"/>
      <c r="BA190" s="29"/>
      <c r="BC190" s="33"/>
      <c r="BD190" s="33"/>
      <c r="BE190" s="33"/>
      <c r="BF190" s="33"/>
      <c r="BH190" s="17"/>
      <c r="BI190" s="17"/>
      <c r="BJ190" s="17"/>
    </row>
    <row r="191" spans="1:62" ht="12.75">
      <c r="A191" s="5"/>
      <c r="B191" s="14" t="s">
        <v>450</v>
      </c>
      <c r="C191" s="82" t="s">
        <v>451</v>
      </c>
      <c r="D191" s="83" t="s">
        <v>6</v>
      </c>
      <c r="E191" s="83" t="s">
        <v>6</v>
      </c>
      <c r="F191" s="5" t="s">
        <v>6</v>
      </c>
      <c r="G191" s="5"/>
      <c r="H191" s="5"/>
      <c r="I191" s="36">
        <f>SUM(I192:I202)</f>
        <v>0</v>
      </c>
      <c r="J191" s="36"/>
      <c r="K191" s="36">
        <f>SUM(K192:K199)</f>
        <v>0</v>
      </c>
      <c r="L191" s="28"/>
      <c r="Z191" s="33"/>
      <c r="AB191" s="33"/>
      <c r="AC191" s="33"/>
      <c r="AD191" s="33"/>
      <c r="AE191" s="33"/>
      <c r="AF191" s="33"/>
      <c r="AG191" s="33"/>
      <c r="AH191" s="33"/>
      <c r="AI191" s="29"/>
      <c r="AJ191" s="17"/>
      <c r="AK191" s="17"/>
      <c r="AL191" s="17"/>
      <c r="AN191" s="33"/>
      <c r="AO191" s="33"/>
      <c r="AP191" s="33"/>
      <c r="AQ191" s="28"/>
      <c r="AV191" s="33"/>
      <c r="AW191" s="33"/>
      <c r="AX191" s="33"/>
      <c r="AY191" s="34"/>
      <c r="AZ191" s="34"/>
      <c r="BA191" s="29"/>
      <c r="BC191" s="33"/>
      <c r="BD191" s="33"/>
      <c r="BE191" s="33"/>
      <c r="BF191" s="33"/>
      <c r="BH191" s="17"/>
      <c r="BI191" s="17"/>
      <c r="BJ191" s="17"/>
    </row>
    <row r="192" spans="1:62" ht="12.75">
      <c r="A192" s="4" t="s">
        <v>496</v>
      </c>
      <c r="B192" s="4" t="s">
        <v>452</v>
      </c>
      <c r="C192" s="4" t="s">
        <v>453</v>
      </c>
      <c r="D192" s="71"/>
      <c r="E192" s="71"/>
      <c r="F192" s="4" t="s">
        <v>326</v>
      </c>
      <c r="G192" s="17">
        <v>211</v>
      </c>
      <c r="H192" s="72"/>
      <c r="I192" s="17">
        <f aca="true" t="shared" si="81" ref="I192:I199">G192*AQ192</f>
        <v>0</v>
      </c>
      <c r="J192" s="17">
        <f aca="true" t="shared" si="82" ref="J192:J199">G192*AR192</f>
        <v>0</v>
      </c>
      <c r="K192" s="17">
        <f>H192*G192</f>
        <v>0</v>
      </c>
      <c r="L192" s="28"/>
      <c r="Z192" s="33"/>
      <c r="AB192" s="33"/>
      <c r="AC192" s="33"/>
      <c r="AD192" s="33"/>
      <c r="AE192" s="33"/>
      <c r="AF192" s="33"/>
      <c r="AG192" s="33"/>
      <c r="AH192" s="33"/>
      <c r="AI192" s="29"/>
      <c r="AJ192" s="17"/>
      <c r="AK192" s="17"/>
      <c r="AL192" s="17"/>
      <c r="AN192" s="33"/>
      <c r="AO192" s="33"/>
      <c r="AP192" s="33"/>
      <c r="AQ192" s="28"/>
      <c r="AV192" s="33"/>
      <c r="AW192" s="33"/>
      <c r="AX192" s="33"/>
      <c r="AY192" s="34"/>
      <c r="AZ192" s="34"/>
      <c r="BA192" s="29"/>
      <c r="BC192" s="33"/>
      <c r="BD192" s="33"/>
      <c r="BE192" s="33"/>
      <c r="BF192" s="33"/>
      <c r="BH192" s="17"/>
      <c r="BI192" s="17"/>
      <c r="BJ192" s="17"/>
    </row>
    <row r="193" spans="1:62" ht="12.75">
      <c r="A193" s="4" t="s">
        <v>497</v>
      </c>
      <c r="B193" s="4" t="s">
        <v>454</v>
      </c>
      <c r="C193" s="4" t="s">
        <v>455</v>
      </c>
      <c r="D193" s="71"/>
      <c r="E193" s="71"/>
      <c r="F193" s="4" t="s">
        <v>326</v>
      </c>
      <c r="G193" s="17">
        <v>68</v>
      </c>
      <c r="H193" s="72"/>
      <c r="I193" s="17">
        <f t="shared" si="81"/>
        <v>0</v>
      </c>
      <c r="J193" s="17">
        <f t="shared" si="82"/>
        <v>0</v>
      </c>
      <c r="K193" s="17">
        <f aca="true" t="shared" si="83" ref="K193:K199">H193*G193</f>
        <v>0</v>
      </c>
      <c r="L193" s="28"/>
      <c r="Z193" s="33"/>
      <c r="AB193" s="33"/>
      <c r="AC193" s="33"/>
      <c r="AD193" s="33"/>
      <c r="AE193" s="33"/>
      <c r="AF193" s="33"/>
      <c r="AG193" s="33"/>
      <c r="AH193" s="33"/>
      <c r="AI193" s="29"/>
      <c r="AJ193" s="17"/>
      <c r="AK193" s="17"/>
      <c r="AL193" s="17"/>
      <c r="AN193" s="33"/>
      <c r="AO193" s="33"/>
      <c r="AP193" s="33"/>
      <c r="AQ193" s="28"/>
      <c r="AV193" s="33"/>
      <c r="AW193" s="33"/>
      <c r="AX193" s="33"/>
      <c r="AY193" s="34"/>
      <c r="AZ193" s="34"/>
      <c r="BA193" s="29"/>
      <c r="BC193" s="33"/>
      <c r="BD193" s="33"/>
      <c r="BE193" s="33"/>
      <c r="BF193" s="33"/>
      <c r="BH193" s="17"/>
      <c r="BI193" s="17"/>
      <c r="BJ193" s="17"/>
    </row>
    <row r="194" spans="1:62" ht="12.75">
      <c r="A194" s="4" t="s">
        <v>498</v>
      </c>
      <c r="B194" s="4" t="s">
        <v>456</v>
      </c>
      <c r="C194" s="4" t="s">
        <v>494</v>
      </c>
      <c r="D194" s="71"/>
      <c r="E194" s="71"/>
      <c r="F194" s="4" t="s">
        <v>326</v>
      </c>
      <c r="G194" s="17">
        <v>551</v>
      </c>
      <c r="H194" s="72"/>
      <c r="I194" s="17">
        <f t="shared" si="81"/>
        <v>0</v>
      </c>
      <c r="J194" s="17">
        <f t="shared" si="82"/>
        <v>0</v>
      </c>
      <c r="K194" s="17">
        <f t="shared" si="83"/>
        <v>0</v>
      </c>
      <c r="L194" s="28"/>
      <c r="Z194" s="33"/>
      <c r="AB194" s="33"/>
      <c r="AC194" s="33"/>
      <c r="AD194" s="33"/>
      <c r="AE194" s="33"/>
      <c r="AF194" s="33"/>
      <c r="AG194" s="33"/>
      <c r="AH194" s="33"/>
      <c r="AI194" s="29"/>
      <c r="AJ194" s="17"/>
      <c r="AK194" s="17"/>
      <c r="AL194" s="17"/>
      <c r="AN194" s="33"/>
      <c r="AO194" s="33"/>
      <c r="AP194" s="33"/>
      <c r="AQ194" s="28"/>
      <c r="AV194" s="33"/>
      <c r="AW194" s="33"/>
      <c r="AX194" s="33"/>
      <c r="AY194" s="34"/>
      <c r="AZ194" s="34"/>
      <c r="BA194" s="29"/>
      <c r="BC194" s="33"/>
      <c r="BD194" s="33"/>
      <c r="BE194" s="33"/>
      <c r="BF194" s="33"/>
      <c r="BH194" s="17"/>
      <c r="BI194" s="17"/>
      <c r="BJ194" s="17"/>
    </row>
    <row r="195" spans="1:62" ht="12.75">
      <c r="A195" s="4" t="s">
        <v>499</v>
      </c>
      <c r="B195" s="4" t="s">
        <v>457</v>
      </c>
      <c r="C195" s="4" t="s">
        <v>495</v>
      </c>
      <c r="D195" s="71"/>
      <c r="E195" s="71"/>
      <c r="F195" s="4" t="s">
        <v>321</v>
      </c>
      <c r="G195" s="17">
        <v>50</v>
      </c>
      <c r="H195" s="72"/>
      <c r="I195" s="17">
        <f t="shared" si="81"/>
        <v>0</v>
      </c>
      <c r="J195" s="17">
        <f t="shared" si="82"/>
        <v>0</v>
      </c>
      <c r="K195" s="17">
        <f t="shared" si="83"/>
        <v>0</v>
      </c>
      <c r="L195" s="28"/>
      <c r="Z195" s="33"/>
      <c r="AB195" s="33"/>
      <c r="AC195" s="33"/>
      <c r="AD195" s="33"/>
      <c r="AE195" s="33"/>
      <c r="AF195" s="33"/>
      <c r="AG195" s="33"/>
      <c r="AH195" s="33"/>
      <c r="AI195" s="29"/>
      <c r="AJ195" s="17"/>
      <c r="AK195" s="17"/>
      <c r="AL195" s="17"/>
      <c r="AN195" s="33"/>
      <c r="AO195" s="33"/>
      <c r="AP195" s="33"/>
      <c r="AQ195" s="28"/>
      <c r="AV195" s="33"/>
      <c r="AW195" s="33"/>
      <c r="AX195" s="33"/>
      <c r="AY195" s="34"/>
      <c r="AZ195" s="34"/>
      <c r="BA195" s="29"/>
      <c r="BC195" s="33"/>
      <c r="BD195" s="33"/>
      <c r="BE195" s="33"/>
      <c r="BF195" s="33"/>
      <c r="BH195" s="17"/>
      <c r="BI195" s="17"/>
      <c r="BJ195" s="17"/>
    </row>
    <row r="196" spans="1:62" ht="12.75">
      <c r="A196" s="4" t="s">
        <v>500</v>
      </c>
      <c r="B196" s="4" t="s">
        <v>458</v>
      </c>
      <c r="C196" s="4" t="s">
        <v>490</v>
      </c>
      <c r="D196" s="71"/>
      <c r="E196" s="71"/>
      <c r="F196" s="4" t="s">
        <v>321</v>
      </c>
      <c r="G196" s="17">
        <v>96</v>
      </c>
      <c r="H196" s="72"/>
      <c r="I196" s="17">
        <f t="shared" si="81"/>
        <v>0</v>
      </c>
      <c r="J196" s="17">
        <f t="shared" si="82"/>
        <v>0</v>
      </c>
      <c r="K196" s="17">
        <f t="shared" si="83"/>
        <v>0</v>
      </c>
      <c r="L196" s="28"/>
      <c r="Z196" s="33"/>
      <c r="AB196" s="33"/>
      <c r="AC196" s="33"/>
      <c r="AD196" s="33"/>
      <c r="AE196" s="33"/>
      <c r="AF196" s="33"/>
      <c r="AG196" s="33"/>
      <c r="AH196" s="33"/>
      <c r="AI196" s="29"/>
      <c r="AJ196" s="17"/>
      <c r="AK196" s="17"/>
      <c r="AL196" s="17"/>
      <c r="AN196" s="33"/>
      <c r="AO196" s="33"/>
      <c r="AP196" s="33"/>
      <c r="AQ196" s="28"/>
      <c r="AV196" s="33"/>
      <c r="AW196" s="33"/>
      <c r="AX196" s="33"/>
      <c r="AY196" s="34"/>
      <c r="AZ196" s="34"/>
      <c r="BA196" s="29"/>
      <c r="BC196" s="33"/>
      <c r="BD196" s="33"/>
      <c r="BE196" s="33"/>
      <c r="BF196" s="33"/>
      <c r="BH196" s="17"/>
      <c r="BI196" s="17"/>
      <c r="BJ196" s="17"/>
    </row>
    <row r="197" spans="1:62" ht="12.75">
      <c r="A197" s="4" t="s">
        <v>501</v>
      </c>
      <c r="B197" s="4" t="s">
        <v>504</v>
      </c>
      <c r="C197" s="4" t="s">
        <v>491</v>
      </c>
      <c r="D197" s="71"/>
      <c r="E197" s="71"/>
      <c r="F197" s="4" t="s">
        <v>326</v>
      </c>
      <c r="G197" s="17">
        <v>53</v>
      </c>
      <c r="H197" s="72"/>
      <c r="I197" s="17">
        <v>0</v>
      </c>
      <c r="J197" s="17">
        <f t="shared" si="82"/>
        <v>0</v>
      </c>
      <c r="K197" s="17">
        <f t="shared" si="83"/>
        <v>0</v>
      </c>
      <c r="L197" s="73"/>
      <c r="Z197" s="33">
        <f t="shared" si="71"/>
        <v>0</v>
      </c>
      <c r="AB197" s="33">
        <f t="shared" si="72"/>
        <v>0</v>
      </c>
      <c r="AC197" s="33">
        <f t="shared" si="73"/>
        <v>0</v>
      </c>
      <c r="AD197" s="33">
        <f t="shared" si="74"/>
        <v>0</v>
      </c>
      <c r="AE197" s="33">
        <f t="shared" si="75"/>
        <v>0</v>
      </c>
      <c r="AF197" s="33">
        <f t="shared" si="76"/>
        <v>0</v>
      </c>
      <c r="AG197" s="33">
        <f t="shared" si="77"/>
        <v>0</v>
      </c>
      <c r="AH197" s="33">
        <f t="shared" si="78"/>
        <v>0</v>
      </c>
      <c r="AI197" s="29"/>
      <c r="AJ197" s="17">
        <f>IF(AN197=0,K190,0)</f>
        <v>0</v>
      </c>
      <c r="AK197" s="17">
        <f>IF(AN197=15,K190,0)</f>
        <v>0</v>
      </c>
      <c r="AL197" s="17">
        <f>IF(AN197=21,K190,0)</f>
        <v>0</v>
      </c>
      <c r="AN197" s="33">
        <v>21</v>
      </c>
      <c r="AO197" s="33">
        <f>H190*0</f>
        <v>0</v>
      </c>
      <c r="AP197" s="33">
        <f>H190*(1-0)</f>
        <v>0</v>
      </c>
      <c r="AQ197" s="28" t="s">
        <v>11</v>
      </c>
      <c r="AV197" s="33">
        <f t="shared" si="79"/>
        <v>0</v>
      </c>
      <c r="AW197" s="33">
        <f>G190*AO197</f>
        <v>0</v>
      </c>
      <c r="AX197" s="33">
        <f>G190*AP197</f>
        <v>0</v>
      </c>
      <c r="AY197" s="34" t="s">
        <v>372</v>
      </c>
      <c r="AZ197" s="34" t="s">
        <v>378</v>
      </c>
      <c r="BA197" s="29" t="s">
        <v>379</v>
      </c>
      <c r="BC197" s="33">
        <f t="shared" si="80"/>
        <v>0</v>
      </c>
      <c r="BD197" s="33">
        <f>H190/(100-BE197)*100</f>
        <v>0</v>
      </c>
      <c r="BE197" s="33">
        <v>0</v>
      </c>
      <c r="BF197" s="33">
        <f>190</f>
        <v>190</v>
      </c>
      <c r="BH197" s="17">
        <f>G190*AO197</f>
        <v>0</v>
      </c>
      <c r="BI197" s="17">
        <f>G190*AP197</f>
        <v>0</v>
      </c>
      <c r="BJ197" s="17">
        <f>G190*H190</f>
        <v>0</v>
      </c>
    </row>
    <row r="198" spans="1:12" ht="12.75">
      <c r="A198" s="4" t="s">
        <v>502</v>
      </c>
      <c r="B198" s="4" t="s">
        <v>505</v>
      </c>
      <c r="C198" s="4" t="s">
        <v>459</v>
      </c>
      <c r="D198" s="71"/>
      <c r="E198" s="71"/>
      <c r="F198" s="4" t="s">
        <v>326</v>
      </c>
      <c r="G198" s="17">
        <v>750</v>
      </c>
      <c r="H198" s="72"/>
      <c r="I198" s="17">
        <f t="shared" si="81"/>
        <v>0</v>
      </c>
      <c r="J198" s="17">
        <f t="shared" si="82"/>
        <v>0</v>
      </c>
      <c r="K198" s="17">
        <f t="shared" si="83"/>
        <v>0</v>
      </c>
      <c r="L198" s="74"/>
    </row>
    <row r="199" spans="1:12" ht="11.25" customHeight="1">
      <c r="A199" s="4" t="s">
        <v>503</v>
      </c>
      <c r="B199" s="4" t="s">
        <v>506</v>
      </c>
      <c r="C199" s="4" t="s">
        <v>492</v>
      </c>
      <c r="D199" s="71"/>
      <c r="E199" s="71"/>
      <c r="F199" s="4" t="s">
        <v>326</v>
      </c>
      <c r="G199" s="17">
        <v>750</v>
      </c>
      <c r="H199" s="72"/>
      <c r="I199" s="17">
        <f t="shared" si="81"/>
        <v>0</v>
      </c>
      <c r="J199" s="17">
        <f t="shared" si="82"/>
        <v>0</v>
      </c>
      <c r="K199" s="17">
        <f t="shared" si="83"/>
        <v>0</v>
      </c>
      <c r="L199" s="73"/>
    </row>
    <row r="200" spans="1:12" ht="12.75">
      <c r="A200" s="80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1:11" ht="12.75">
      <c r="A201" s="7"/>
      <c r="B201" s="7"/>
      <c r="C201" s="7"/>
      <c r="D201" s="7"/>
      <c r="E201" s="7"/>
      <c r="F201" s="7"/>
      <c r="G201" s="7"/>
      <c r="H201" s="7"/>
      <c r="I201" s="115" t="s">
        <v>338</v>
      </c>
      <c r="J201" s="116"/>
      <c r="K201" s="37">
        <f>K191+K184+K182+K180+K178+K173+K170+K167+K128+K119+K117+K115+K111+K105+K102+K99+K94+K41+K32+K12</f>
        <v>0</v>
      </c>
    </row>
    <row r="202" ht="12.75">
      <c r="A202" s="8" t="s">
        <v>90</v>
      </c>
    </row>
  </sheetData>
  <sheetProtection password="CF62" sheet="1"/>
  <mergeCells count="210">
    <mergeCell ref="I201:J201"/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L15"/>
    <mergeCell ref="C16:E16"/>
    <mergeCell ref="C17:L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L44"/>
    <mergeCell ref="C45:E45"/>
    <mergeCell ref="C46:E46"/>
    <mergeCell ref="C47:L47"/>
    <mergeCell ref="C48:E48"/>
    <mergeCell ref="C49:L49"/>
    <mergeCell ref="C50:E50"/>
    <mergeCell ref="C51:L51"/>
    <mergeCell ref="C52:E52"/>
    <mergeCell ref="C53:L53"/>
    <mergeCell ref="C54:E54"/>
    <mergeCell ref="C55:E55"/>
    <mergeCell ref="C56:E56"/>
    <mergeCell ref="C57:E57"/>
    <mergeCell ref="C58:E58"/>
    <mergeCell ref="C59:L59"/>
    <mergeCell ref="C60:E60"/>
    <mergeCell ref="C61:L61"/>
    <mergeCell ref="C62:E62"/>
    <mergeCell ref="C63:E63"/>
    <mergeCell ref="C64:L64"/>
    <mergeCell ref="C65:E65"/>
    <mergeCell ref="C66:L66"/>
    <mergeCell ref="C67:E67"/>
    <mergeCell ref="C68:L68"/>
    <mergeCell ref="C69:E69"/>
    <mergeCell ref="C70:L70"/>
    <mergeCell ref="C71:E71"/>
    <mergeCell ref="C72:E72"/>
    <mergeCell ref="C73:E73"/>
    <mergeCell ref="C74:E74"/>
    <mergeCell ref="C75:L75"/>
    <mergeCell ref="C76:E76"/>
    <mergeCell ref="C77:L77"/>
    <mergeCell ref="C78:E78"/>
    <mergeCell ref="C79:L79"/>
    <mergeCell ref="C80:E80"/>
    <mergeCell ref="C81:L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L98"/>
    <mergeCell ref="C99:E99"/>
    <mergeCell ref="C100:E100"/>
    <mergeCell ref="C101:E101"/>
    <mergeCell ref="C102:E102"/>
    <mergeCell ref="C103:E103"/>
    <mergeCell ref="C104:L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L130"/>
    <mergeCell ref="C131:E131"/>
    <mergeCell ref="C132:L132"/>
    <mergeCell ref="C133:E133"/>
    <mergeCell ref="C134:L134"/>
    <mergeCell ref="C135:E135"/>
    <mergeCell ref="C136:L136"/>
    <mergeCell ref="C137:E137"/>
    <mergeCell ref="C138:L138"/>
    <mergeCell ref="C139:E139"/>
    <mergeCell ref="C140:L140"/>
    <mergeCell ref="C141:E141"/>
    <mergeCell ref="C142:L142"/>
    <mergeCell ref="C143:E143"/>
    <mergeCell ref="C144:L144"/>
    <mergeCell ref="C145:E145"/>
    <mergeCell ref="C146:L146"/>
    <mergeCell ref="C147:E147"/>
    <mergeCell ref="C148:L148"/>
    <mergeCell ref="C149:E149"/>
    <mergeCell ref="C150:L150"/>
    <mergeCell ref="C151:E151"/>
    <mergeCell ref="C152:L152"/>
    <mergeCell ref="C153:E153"/>
    <mergeCell ref="C154:L154"/>
    <mergeCell ref="C155:E155"/>
    <mergeCell ref="C156:L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L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9:E189"/>
    <mergeCell ref="C190:E190"/>
    <mergeCell ref="A200:L200"/>
    <mergeCell ref="C183:E183"/>
    <mergeCell ref="C184:E184"/>
    <mergeCell ref="C185:E185"/>
    <mergeCell ref="C186:E186"/>
    <mergeCell ref="C187:E187"/>
    <mergeCell ref="C188:E188"/>
    <mergeCell ref="C191:E191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22" sqref="D22"/>
    </sheetView>
  </sheetViews>
  <sheetFormatPr defaultColWidth="11.57421875" defaultRowHeight="12.75"/>
  <cols>
    <col min="1" max="1" width="16.57421875" style="0" customWidth="1"/>
    <col min="2" max="2" width="41.7109375" style="0" customWidth="1"/>
    <col min="3" max="3" width="11.574218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0" style="0" hidden="1" customWidth="1"/>
    <col min="8" max="8" width="5.7109375" style="0" hidden="1" customWidth="1"/>
  </cols>
  <sheetData>
    <row r="1" spans="1:6" ht="72.75" customHeight="1">
      <c r="A1" s="117" t="s">
        <v>383</v>
      </c>
      <c r="B1" s="118"/>
      <c r="C1" s="118"/>
      <c r="D1" s="118"/>
      <c r="E1" s="118"/>
      <c r="F1" s="118"/>
    </row>
    <row r="2" spans="1:7" ht="12.75">
      <c r="A2" s="119" t="s">
        <v>1</v>
      </c>
      <c r="B2" s="121" t="str">
        <f>'Stavební rozpočet'!C2</f>
        <v>RED POINT</v>
      </c>
      <c r="C2" s="116"/>
      <c r="D2" s="124" t="s">
        <v>329</v>
      </c>
      <c r="E2" s="124" t="str">
        <f>'Stavební rozpočet'!I2</f>
        <v>K2 invest s.r.o.</v>
      </c>
      <c r="F2" s="125"/>
      <c r="G2" s="31"/>
    </row>
    <row r="3" spans="1:7" ht="12.75">
      <c r="A3" s="114"/>
      <c r="B3" s="122"/>
      <c r="C3" s="122"/>
      <c r="D3" s="81"/>
      <c r="E3" s="81"/>
      <c r="F3" s="113"/>
      <c r="G3" s="31"/>
    </row>
    <row r="4" spans="1:7" ht="12.75">
      <c r="A4" s="106" t="s">
        <v>2</v>
      </c>
      <c r="B4" s="80" t="str">
        <f>'Stavební rozpočet'!C4</f>
        <v>zateplení objekktu</v>
      </c>
      <c r="C4" s="81"/>
      <c r="D4" s="80" t="s">
        <v>330</v>
      </c>
      <c r="E4" s="80">
        <f>'Stavební rozpočet'!I4</f>
        <v>0</v>
      </c>
      <c r="F4" s="113"/>
      <c r="G4" s="31"/>
    </row>
    <row r="5" spans="1:7" ht="12.75">
      <c r="A5" s="114"/>
      <c r="B5" s="81"/>
      <c r="C5" s="81"/>
      <c r="D5" s="81"/>
      <c r="E5" s="81"/>
      <c r="F5" s="113"/>
      <c r="G5" s="31"/>
    </row>
    <row r="6" spans="1:7" ht="12.75">
      <c r="A6" s="106" t="s">
        <v>3</v>
      </c>
      <c r="B6" s="80" t="str">
        <f>'Stavební rozpočet'!C6</f>
        <v>k.ú. Chrudim, parc.č. 288/1</v>
      </c>
      <c r="C6" s="81"/>
      <c r="D6" s="80" t="s">
        <v>331</v>
      </c>
      <c r="E6" s="80">
        <f>'Stavební rozpočet'!I6</f>
        <v>0</v>
      </c>
      <c r="F6" s="113"/>
      <c r="G6" s="31"/>
    </row>
    <row r="7" spans="1:7" ht="12.75">
      <c r="A7" s="114"/>
      <c r="B7" s="81"/>
      <c r="C7" s="81"/>
      <c r="D7" s="81"/>
      <c r="E7" s="81"/>
      <c r="F7" s="113"/>
      <c r="G7" s="31"/>
    </row>
    <row r="8" spans="1:7" ht="12.75">
      <c r="A8" s="106" t="s">
        <v>332</v>
      </c>
      <c r="B8" s="80" t="str">
        <f>'Stavební rozpočet'!I8</f>
        <v> </v>
      </c>
      <c r="C8" s="81"/>
      <c r="D8" s="109" t="s">
        <v>318</v>
      </c>
      <c r="E8" s="80">
        <f>'Stavební rozpočet'!F8</f>
        <v>0</v>
      </c>
      <c r="F8" s="113"/>
      <c r="G8" s="31"/>
    </row>
    <row r="9" spans="1:7" ht="12.75">
      <c r="A9" s="107"/>
      <c r="B9" s="108"/>
      <c r="C9" s="108"/>
      <c r="D9" s="108"/>
      <c r="E9" s="108"/>
      <c r="F9" s="130"/>
      <c r="G9" s="31"/>
    </row>
    <row r="10" spans="1:7" ht="12.75">
      <c r="A10" s="38" t="s">
        <v>91</v>
      </c>
      <c r="B10" s="126" t="s">
        <v>384</v>
      </c>
      <c r="C10" s="127"/>
      <c r="D10" s="40" t="s">
        <v>385</v>
      </c>
      <c r="E10" s="40" t="s">
        <v>386</v>
      </c>
      <c r="F10" s="40" t="s">
        <v>387</v>
      </c>
      <c r="G10" s="31"/>
    </row>
    <row r="11" spans="1:8" ht="12.75">
      <c r="A11" s="39" t="s">
        <v>66</v>
      </c>
      <c r="B11" s="128" t="s">
        <v>190</v>
      </c>
      <c r="C11" s="129"/>
      <c r="D11" s="42">
        <f>'Stavební rozpočet'!I12</f>
        <v>0</v>
      </c>
      <c r="E11" s="42">
        <f>'Stavební rozpočet'!J12</f>
        <v>0</v>
      </c>
      <c r="F11" s="42">
        <f>'Stavební rozpočet'!K12</f>
        <v>0</v>
      </c>
      <c r="G11" s="33" t="s">
        <v>388</v>
      </c>
      <c r="H11" s="33">
        <f aca="true" t="shared" si="0" ref="H11:H30">IF(G11="F",0,F11)</f>
        <v>0</v>
      </c>
    </row>
    <row r="12" spans="1:8" ht="12.75">
      <c r="A12" s="15" t="s">
        <v>67</v>
      </c>
      <c r="B12" s="109" t="s">
        <v>206</v>
      </c>
      <c r="C12" s="81"/>
      <c r="D12" s="33">
        <f>'Stavební rozpočet'!I32</f>
        <v>0</v>
      </c>
      <c r="E12" s="33">
        <f>'Stavební rozpočet'!J32</f>
        <v>0</v>
      </c>
      <c r="F12" s="33">
        <f>'Stavební rozpočet'!K32</f>
        <v>0</v>
      </c>
      <c r="G12" s="33" t="s">
        <v>388</v>
      </c>
      <c r="H12" s="33">
        <f t="shared" si="0"/>
        <v>0</v>
      </c>
    </row>
    <row r="13" spans="1:8" ht="12.75">
      <c r="A13" s="15" t="s">
        <v>68</v>
      </c>
      <c r="B13" s="109" t="s">
        <v>215</v>
      </c>
      <c r="C13" s="81"/>
      <c r="D13" s="33">
        <f>'Stavební rozpočet'!I41</f>
        <v>0</v>
      </c>
      <c r="E13" s="33">
        <f>'Stavební rozpočet'!J41</f>
        <v>0</v>
      </c>
      <c r="F13" s="33">
        <f>'Stavební rozpočet'!K41</f>
        <v>0</v>
      </c>
      <c r="G13" s="33" t="s">
        <v>388</v>
      </c>
      <c r="H13" s="33">
        <f t="shared" si="0"/>
        <v>0</v>
      </c>
    </row>
    <row r="14" spans="1:8" ht="12.75">
      <c r="A14" s="15" t="s">
        <v>112</v>
      </c>
      <c r="B14" s="109" t="s">
        <v>247</v>
      </c>
      <c r="C14" s="81"/>
      <c r="D14" s="33">
        <f>'Stavební rozpočet'!I94</f>
        <v>0</v>
      </c>
      <c r="E14" s="33">
        <f>'Stavební rozpočet'!J94</f>
        <v>0</v>
      </c>
      <c r="F14" s="33">
        <f>'Stavební rozpočet'!K94</f>
        <v>0</v>
      </c>
      <c r="G14" s="33" t="s">
        <v>388</v>
      </c>
      <c r="H14" s="33">
        <f t="shared" si="0"/>
        <v>0</v>
      </c>
    </row>
    <row r="15" spans="1:8" ht="12.75">
      <c r="A15" s="15" t="s">
        <v>69</v>
      </c>
      <c r="B15" s="109" t="s">
        <v>252</v>
      </c>
      <c r="C15" s="81"/>
      <c r="D15" s="33">
        <f>'Stavební rozpočet'!I99</f>
        <v>0</v>
      </c>
      <c r="E15" s="33">
        <f>'Stavební rozpočet'!J99</f>
        <v>0</v>
      </c>
      <c r="F15" s="33">
        <f>'Stavební rozpočet'!K99</f>
        <v>0</v>
      </c>
      <c r="G15" s="33" t="s">
        <v>388</v>
      </c>
      <c r="H15" s="33">
        <f t="shared" si="0"/>
        <v>0</v>
      </c>
    </row>
    <row r="16" spans="1:8" ht="12.75">
      <c r="A16" s="15" t="s">
        <v>70</v>
      </c>
      <c r="B16" s="109" t="s">
        <v>255</v>
      </c>
      <c r="C16" s="81"/>
      <c r="D16" s="33">
        <f>'Stavební rozpočet'!I102</f>
        <v>0</v>
      </c>
      <c r="E16" s="33">
        <f>'Stavební rozpočet'!J102</f>
        <v>0</v>
      </c>
      <c r="F16" s="33">
        <f>'Stavební rozpočet'!K102</f>
        <v>0</v>
      </c>
      <c r="G16" s="33" t="s">
        <v>388</v>
      </c>
      <c r="H16" s="33">
        <f t="shared" si="0"/>
        <v>0</v>
      </c>
    </row>
    <row r="17" spans="1:8" ht="12.75">
      <c r="A17" s="15" t="s">
        <v>116</v>
      </c>
      <c r="B17" s="109" t="s">
        <v>258</v>
      </c>
      <c r="C17" s="81"/>
      <c r="D17" s="33">
        <f>'Stavební rozpočet'!I105</f>
        <v>0</v>
      </c>
      <c r="E17" s="33">
        <f>'Stavební rozpočet'!J105</f>
        <v>0</v>
      </c>
      <c r="F17" s="33">
        <f>'Stavební rozpočet'!K105</f>
        <v>0</v>
      </c>
      <c r="G17" s="33" t="s">
        <v>388</v>
      </c>
      <c r="H17" s="33">
        <f t="shared" si="0"/>
        <v>0</v>
      </c>
    </row>
    <row r="18" spans="1:8" ht="12.75">
      <c r="A18" s="15" t="s">
        <v>120</v>
      </c>
      <c r="B18" s="109" t="s">
        <v>263</v>
      </c>
      <c r="C18" s="81"/>
      <c r="D18" s="33">
        <f>'Stavební rozpočet'!I111</f>
        <v>0</v>
      </c>
      <c r="E18" s="33">
        <f>'Stavební rozpočet'!J111</f>
        <v>0</v>
      </c>
      <c r="F18" s="33">
        <f>'Stavební rozpočet'!K111</f>
        <v>0</v>
      </c>
      <c r="G18" s="33" t="s">
        <v>388</v>
      </c>
      <c r="H18" s="33">
        <f t="shared" si="0"/>
        <v>0</v>
      </c>
    </row>
    <row r="19" spans="1:8" ht="12.75">
      <c r="A19" s="15" t="s">
        <v>124</v>
      </c>
      <c r="B19" s="109" t="s">
        <v>267</v>
      </c>
      <c r="C19" s="81"/>
      <c r="D19" s="33">
        <f>'Stavební rozpočet'!I115</f>
        <v>0</v>
      </c>
      <c r="E19" s="33">
        <f>'Stavební rozpočet'!J115</f>
        <v>0</v>
      </c>
      <c r="F19" s="33">
        <f>'Stavební rozpočet'!K115</f>
        <v>0</v>
      </c>
      <c r="G19" s="33" t="s">
        <v>388</v>
      </c>
      <c r="H19" s="33">
        <f t="shared" si="0"/>
        <v>0</v>
      </c>
    </row>
    <row r="20" spans="1:8" ht="12.75">
      <c r="A20" s="15" t="s">
        <v>126</v>
      </c>
      <c r="B20" s="109" t="s">
        <v>269</v>
      </c>
      <c r="C20" s="81"/>
      <c r="D20" s="33">
        <f>'Stavební rozpočet'!I117</f>
        <v>0</v>
      </c>
      <c r="E20" s="33">
        <f>'Stavební rozpočet'!J117</f>
        <v>0</v>
      </c>
      <c r="F20" s="33">
        <f>'Stavební rozpočet'!K117</f>
        <v>0</v>
      </c>
      <c r="G20" s="33" t="s">
        <v>388</v>
      </c>
      <c r="H20" s="33">
        <f t="shared" si="0"/>
        <v>0</v>
      </c>
    </row>
    <row r="21" spans="1:8" ht="12.75">
      <c r="A21" s="15" t="s">
        <v>128</v>
      </c>
      <c r="B21" s="109" t="s">
        <v>271</v>
      </c>
      <c r="C21" s="81"/>
      <c r="D21" s="33">
        <f>'Stavební rozpočet'!I119</f>
        <v>0</v>
      </c>
      <c r="E21" s="33">
        <f>'Stavební rozpočet'!J119</f>
        <v>0</v>
      </c>
      <c r="F21" s="33">
        <f>'Stavební rozpočet'!K119</f>
        <v>0</v>
      </c>
      <c r="G21" s="33" t="s">
        <v>388</v>
      </c>
      <c r="H21" s="33">
        <f t="shared" si="0"/>
        <v>0</v>
      </c>
    </row>
    <row r="22" spans="1:8" ht="12.75">
      <c r="A22" s="15" t="s">
        <v>137</v>
      </c>
      <c r="B22" s="109" t="s">
        <v>280</v>
      </c>
      <c r="C22" s="81"/>
      <c r="D22" s="33">
        <f>'Stavební rozpočet'!I128</f>
        <v>0</v>
      </c>
      <c r="E22" s="33">
        <f>'Stavební rozpočet'!J128</f>
        <v>0</v>
      </c>
      <c r="F22" s="33">
        <f>'Stavební rozpočet'!K128</f>
        <v>0</v>
      </c>
      <c r="G22" s="33" t="s">
        <v>388</v>
      </c>
      <c r="H22" s="33">
        <f t="shared" si="0"/>
        <v>0</v>
      </c>
    </row>
    <row r="23" spans="1:8" ht="12.75">
      <c r="A23" s="15" t="s">
        <v>162</v>
      </c>
      <c r="B23" s="109" t="s">
        <v>293</v>
      </c>
      <c r="C23" s="81"/>
      <c r="D23" s="33">
        <f>'Stavební rozpočet'!I167</f>
        <v>0</v>
      </c>
      <c r="E23" s="33">
        <f>'Stavební rozpočet'!J167</f>
        <v>0</v>
      </c>
      <c r="F23" s="33">
        <f>'Stavební rozpočet'!K167</f>
        <v>0</v>
      </c>
      <c r="G23" s="33" t="s">
        <v>388</v>
      </c>
      <c r="H23" s="33">
        <f t="shared" si="0"/>
        <v>0</v>
      </c>
    </row>
    <row r="24" spans="1:8" ht="12.75">
      <c r="A24" s="15" t="s">
        <v>164</v>
      </c>
      <c r="B24" s="109" t="s">
        <v>296</v>
      </c>
      <c r="C24" s="81"/>
      <c r="D24" s="33">
        <f>'Stavební rozpočet'!I170</f>
        <v>0</v>
      </c>
      <c r="E24" s="33">
        <f>'Stavební rozpočet'!J170</f>
        <v>0</v>
      </c>
      <c r="F24" s="33">
        <f>'Stavební rozpočet'!K170</f>
        <v>0</v>
      </c>
      <c r="G24" s="33" t="s">
        <v>388</v>
      </c>
      <c r="H24" s="33">
        <f t="shared" si="0"/>
        <v>0</v>
      </c>
    </row>
    <row r="25" spans="1:8" ht="12.75">
      <c r="A25" s="15" t="s">
        <v>167</v>
      </c>
      <c r="B25" s="109" t="s">
        <v>297</v>
      </c>
      <c r="C25" s="81"/>
      <c r="D25" s="33">
        <f>'Stavební rozpočet'!I173</f>
        <v>0</v>
      </c>
      <c r="E25" s="33">
        <f>'Stavební rozpočet'!J173</f>
        <v>0</v>
      </c>
      <c r="F25" s="33">
        <f>'Stavební rozpočet'!K173</f>
        <v>0</v>
      </c>
      <c r="G25" s="33" t="s">
        <v>388</v>
      </c>
      <c r="H25" s="33">
        <f t="shared" si="0"/>
        <v>0</v>
      </c>
    </row>
    <row r="26" spans="1:8" ht="12.75">
      <c r="A26" s="15" t="s">
        <v>172</v>
      </c>
      <c r="B26" s="109" t="s">
        <v>302</v>
      </c>
      <c r="C26" s="81"/>
      <c r="D26" s="33">
        <f>'Stavební rozpočet'!I178</f>
        <v>0</v>
      </c>
      <c r="E26" s="33">
        <f>'Stavební rozpočet'!J178</f>
        <v>0</v>
      </c>
      <c r="F26" s="33">
        <f>'Stavební rozpočet'!K178</f>
        <v>0</v>
      </c>
      <c r="G26" s="33" t="s">
        <v>388</v>
      </c>
      <c r="H26" s="33">
        <f t="shared" si="0"/>
        <v>0</v>
      </c>
    </row>
    <row r="27" spans="1:8" ht="12.75">
      <c r="A27" s="15" t="s">
        <v>174</v>
      </c>
      <c r="B27" s="109" t="s">
        <v>304</v>
      </c>
      <c r="C27" s="81"/>
      <c r="D27" s="33">
        <f>'Stavební rozpočet'!I180</f>
        <v>0</v>
      </c>
      <c r="E27" s="33">
        <f>'Stavební rozpočet'!J180</f>
        <v>0</v>
      </c>
      <c r="F27" s="33">
        <f>'Stavební rozpočet'!K180</f>
        <v>0</v>
      </c>
      <c r="G27" s="33" t="s">
        <v>388</v>
      </c>
      <c r="H27" s="33">
        <f t="shared" si="0"/>
        <v>0</v>
      </c>
    </row>
    <row r="28" spans="1:8" ht="12.75">
      <c r="A28" s="15" t="s">
        <v>176</v>
      </c>
      <c r="B28" s="109" t="s">
        <v>306</v>
      </c>
      <c r="C28" s="81"/>
      <c r="D28" s="33">
        <f>'Stavební rozpočet'!I182</f>
        <v>0</v>
      </c>
      <c r="E28" s="33">
        <f>'Stavební rozpočet'!J182</f>
        <v>0</v>
      </c>
      <c r="F28" s="33">
        <f>'Stavební rozpočet'!K182</f>
        <v>0</v>
      </c>
      <c r="G28" s="33" t="s">
        <v>388</v>
      </c>
      <c r="H28" s="33">
        <f t="shared" si="0"/>
        <v>0</v>
      </c>
    </row>
    <row r="29" spans="1:8" ht="12.75">
      <c r="A29" s="15" t="s">
        <v>178</v>
      </c>
      <c r="B29" s="109" t="s">
        <v>308</v>
      </c>
      <c r="C29" s="81"/>
      <c r="D29" s="33">
        <f>'Stavební rozpočet'!I184</f>
        <v>0</v>
      </c>
      <c r="E29" s="33">
        <f>'Stavební rozpočet'!J184</f>
        <v>0</v>
      </c>
      <c r="F29" s="33">
        <f>'Stavební rozpočet'!K184</f>
        <v>0</v>
      </c>
      <c r="G29" s="33" t="s">
        <v>388</v>
      </c>
      <c r="H29" s="33">
        <f t="shared" si="0"/>
        <v>0</v>
      </c>
    </row>
    <row r="30" spans="1:8" ht="12.75">
      <c r="A30" t="s">
        <v>450</v>
      </c>
      <c r="B30" t="s">
        <v>451</v>
      </c>
      <c r="D30" s="33"/>
      <c r="E30" s="33"/>
      <c r="F30" s="33">
        <f>'Stavební rozpočet'!K191</f>
        <v>0</v>
      </c>
      <c r="G30" s="33"/>
      <c r="H30" s="33">
        <f t="shared" si="0"/>
        <v>0</v>
      </c>
    </row>
    <row r="32" spans="5:6" ht="12.75">
      <c r="E32" s="41" t="s">
        <v>338</v>
      </c>
      <c r="F32" s="43">
        <f>SUM(H11:H30)</f>
        <v>0</v>
      </c>
    </row>
  </sheetData>
  <sheetProtection password="CCFD" sheet="1"/>
  <mergeCells count="3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8:C28"/>
    <mergeCell ref="B29:C29"/>
    <mergeCell ref="B22:C22"/>
    <mergeCell ref="B23:C23"/>
    <mergeCell ref="B24:C24"/>
    <mergeCell ref="B25:C25"/>
    <mergeCell ref="B26:C26"/>
    <mergeCell ref="B27:C27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I14" sqref="I14:I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0"/>
      <c r="B1" s="44"/>
      <c r="C1" s="155" t="s">
        <v>404</v>
      </c>
      <c r="D1" s="118"/>
      <c r="E1" s="118"/>
      <c r="F1" s="118"/>
      <c r="G1" s="118"/>
      <c r="H1" s="118"/>
      <c r="I1" s="118"/>
    </row>
    <row r="2" spans="1:10" ht="12.75">
      <c r="A2" s="119" t="s">
        <v>1</v>
      </c>
      <c r="B2" s="120"/>
      <c r="C2" s="121" t="str">
        <f>'Stavební rozpočet'!C2</f>
        <v>RED POINT</v>
      </c>
      <c r="D2" s="116"/>
      <c r="E2" s="124" t="s">
        <v>329</v>
      </c>
      <c r="F2" s="124" t="str">
        <f>'Stavební rozpočet'!I2</f>
        <v>K2 invest s.r.o.</v>
      </c>
      <c r="G2" s="120"/>
      <c r="H2" s="124" t="s">
        <v>429</v>
      </c>
      <c r="I2" s="156"/>
      <c r="J2" s="31"/>
    </row>
    <row r="3" spans="1:10" ht="12.75">
      <c r="A3" s="114"/>
      <c r="B3" s="81"/>
      <c r="C3" s="122"/>
      <c r="D3" s="122"/>
      <c r="E3" s="81"/>
      <c r="F3" s="81"/>
      <c r="G3" s="81"/>
      <c r="H3" s="81"/>
      <c r="I3" s="113"/>
      <c r="J3" s="31"/>
    </row>
    <row r="4" spans="1:10" ht="12.75">
      <c r="A4" s="106" t="s">
        <v>2</v>
      </c>
      <c r="B4" s="81"/>
      <c r="C4" s="80" t="str">
        <f>'Stavební rozpočet'!C4</f>
        <v>zateplení objekktu</v>
      </c>
      <c r="D4" s="81"/>
      <c r="E4" s="80" t="s">
        <v>330</v>
      </c>
      <c r="F4" s="80">
        <f>'Stavební rozpočet'!I4</f>
        <v>0</v>
      </c>
      <c r="G4" s="81"/>
      <c r="H4" s="80" t="s">
        <v>429</v>
      </c>
      <c r="I4" s="154"/>
      <c r="J4" s="31"/>
    </row>
    <row r="5" spans="1:10" ht="12.75">
      <c r="A5" s="114"/>
      <c r="B5" s="81"/>
      <c r="C5" s="81"/>
      <c r="D5" s="81"/>
      <c r="E5" s="81"/>
      <c r="F5" s="81"/>
      <c r="G5" s="81"/>
      <c r="H5" s="81"/>
      <c r="I5" s="113"/>
      <c r="J5" s="31"/>
    </row>
    <row r="6" spans="1:10" ht="12.75">
      <c r="A6" s="106" t="s">
        <v>3</v>
      </c>
      <c r="B6" s="81"/>
      <c r="C6" s="80" t="str">
        <f>'Stavební rozpočet'!C6</f>
        <v>k.ú. Chrudim, parc.č. 288/1</v>
      </c>
      <c r="D6" s="81"/>
      <c r="E6" s="80" t="s">
        <v>331</v>
      </c>
      <c r="F6" s="80">
        <f>'Stavební rozpočet'!I6</f>
        <v>0</v>
      </c>
      <c r="G6" s="81"/>
      <c r="H6" s="80" t="s">
        <v>429</v>
      </c>
      <c r="I6" s="154"/>
      <c r="J6" s="31"/>
    </row>
    <row r="7" spans="1:10" ht="12.75">
      <c r="A7" s="114"/>
      <c r="B7" s="81"/>
      <c r="C7" s="81"/>
      <c r="D7" s="81"/>
      <c r="E7" s="81"/>
      <c r="F7" s="81"/>
      <c r="G7" s="81"/>
      <c r="H7" s="81"/>
      <c r="I7" s="113"/>
      <c r="J7" s="31"/>
    </row>
    <row r="8" spans="1:10" ht="12.75">
      <c r="A8" s="106" t="s">
        <v>316</v>
      </c>
      <c r="B8" s="81"/>
      <c r="C8" s="80"/>
      <c r="D8" s="81"/>
      <c r="E8" s="80" t="s">
        <v>317</v>
      </c>
      <c r="F8" s="80"/>
      <c r="G8" s="81"/>
      <c r="H8" s="109" t="s">
        <v>430</v>
      </c>
      <c r="I8" s="154"/>
      <c r="J8" s="31"/>
    </row>
    <row r="9" spans="1:10" ht="12.75">
      <c r="A9" s="114"/>
      <c r="B9" s="81"/>
      <c r="C9" s="81"/>
      <c r="D9" s="81"/>
      <c r="E9" s="81"/>
      <c r="F9" s="81"/>
      <c r="G9" s="81"/>
      <c r="H9" s="81"/>
      <c r="I9" s="113"/>
      <c r="J9" s="31"/>
    </row>
    <row r="10" spans="1:10" ht="12.75">
      <c r="A10" s="106" t="s">
        <v>4</v>
      </c>
      <c r="B10" s="81"/>
      <c r="C10" s="80" t="str">
        <f>'Stavební rozpočet'!C8</f>
        <v> </v>
      </c>
      <c r="D10" s="81"/>
      <c r="E10" s="80" t="s">
        <v>332</v>
      </c>
      <c r="F10" s="80" t="str">
        <f>'Stavební rozpočet'!I8</f>
        <v> </v>
      </c>
      <c r="G10" s="81"/>
      <c r="H10" s="109" t="s">
        <v>431</v>
      </c>
      <c r="I10" s="152"/>
      <c r="J10" s="31"/>
    </row>
    <row r="11" spans="1:10" ht="12.75">
      <c r="A11" s="150"/>
      <c r="B11" s="151"/>
      <c r="C11" s="151"/>
      <c r="D11" s="151"/>
      <c r="E11" s="151"/>
      <c r="F11" s="151"/>
      <c r="G11" s="151"/>
      <c r="H11" s="151"/>
      <c r="I11" s="153"/>
      <c r="J11" s="31"/>
    </row>
    <row r="12" spans="1:9" ht="23.25" customHeight="1">
      <c r="A12" s="146" t="s">
        <v>389</v>
      </c>
      <c r="B12" s="147"/>
      <c r="C12" s="147"/>
      <c r="D12" s="147"/>
      <c r="E12" s="147"/>
      <c r="F12" s="147"/>
      <c r="G12" s="147"/>
      <c r="H12" s="147"/>
      <c r="I12" s="147"/>
    </row>
    <row r="13" spans="1:10" ht="26.25" customHeight="1">
      <c r="A13" s="45" t="s">
        <v>390</v>
      </c>
      <c r="B13" s="148" t="s">
        <v>402</v>
      </c>
      <c r="C13" s="149"/>
      <c r="D13" s="45" t="s">
        <v>405</v>
      </c>
      <c r="E13" s="148" t="s">
        <v>414</v>
      </c>
      <c r="F13" s="149"/>
      <c r="G13" s="45" t="s">
        <v>415</v>
      </c>
      <c r="H13" s="148" t="s">
        <v>432</v>
      </c>
      <c r="I13" s="149"/>
      <c r="J13" s="31"/>
    </row>
    <row r="14" spans="1:10" ht="15" customHeight="1">
      <c r="A14" s="46" t="s">
        <v>391</v>
      </c>
      <c r="B14" s="50" t="s">
        <v>403</v>
      </c>
      <c r="C14" s="54">
        <f>SUM('Stavební rozpočet'!AB12:AB197)</f>
        <v>0</v>
      </c>
      <c r="D14" s="144" t="s">
        <v>406</v>
      </c>
      <c r="E14" s="145"/>
      <c r="F14" s="54">
        <f>VORN!I15</f>
        <v>0</v>
      </c>
      <c r="G14" s="144" t="s">
        <v>416</v>
      </c>
      <c r="H14" s="145"/>
      <c r="I14" s="54">
        <f>VORN!I21</f>
        <v>0</v>
      </c>
      <c r="J14" s="31"/>
    </row>
    <row r="15" spans="1:10" ht="15" customHeight="1">
      <c r="A15" s="47"/>
      <c r="B15" s="50" t="s">
        <v>339</v>
      </c>
      <c r="C15" s="54">
        <f>SUM('Stavební rozpočet'!AC12:AC197)</f>
        <v>0</v>
      </c>
      <c r="D15" s="144" t="s">
        <v>407</v>
      </c>
      <c r="E15" s="145"/>
      <c r="F15" s="54">
        <f>VORN!I16</f>
        <v>0</v>
      </c>
      <c r="G15" s="144" t="s">
        <v>417</v>
      </c>
      <c r="H15" s="145"/>
      <c r="I15" s="54">
        <f>VORN!I22</f>
        <v>0</v>
      </c>
      <c r="J15" s="31"/>
    </row>
    <row r="16" spans="1:10" ht="15" customHeight="1">
      <c r="A16" s="46" t="s">
        <v>392</v>
      </c>
      <c r="B16" s="50" t="s">
        <v>403</v>
      </c>
      <c r="C16" s="54">
        <f>SUM('Stavební rozpočet'!AD12:AD197)</f>
        <v>0</v>
      </c>
      <c r="D16" s="144" t="s">
        <v>408</v>
      </c>
      <c r="E16" s="145"/>
      <c r="F16" s="54">
        <f>VORN!I17</f>
        <v>0</v>
      </c>
      <c r="G16" s="144" t="s">
        <v>418</v>
      </c>
      <c r="H16" s="145"/>
      <c r="I16" s="54">
        <f>VORN!I23</f>
        <v>0</v>
      </c>
      <c r="J16" s="31"/>
    </row>
    <row r="17" spans="1:10" ht="15" customHeight="1">
      <c r="A17" s="47"/>
      <c r="B17" s="50" t="s">
        <v>339</v>
      </c>
      <c r="C17" s="54">
        <f>SUM('Stavební rozpočet'!AE12:AE197)</f>
        <v>0</v>
      </c>
      <c r="D17" s="144"/>
      <c r="E17" s="145"/>
      <c r="F17" s="55"/>
      <c r="G17" s="144" t="s">
        <v>419</v>
      </c>
      <c r="H17" s="145"/>
      <c r="I17" s="54">
        <f>VORN!I24</f>
        <v>0</v>
      </c>
      <c r="J17" s="31"/>
    </row>
    <row r="18" spans="1:12" ht="15" customHeight="1">
      <c r="A18" s="46" t="s">
        <v>393</v>
      </c>
      <c r="B18" s="50" t="s">
        <v>403</v>
      </c>
      <c r="C18" s="54">
        <f>SUM('Stavební rozpočet'!AF12:AF197)</f>
        <v>0</v>
      </c>
      <c r="D18" s="144"/>
      <c r="E18" s="145"/>
      <c r="F18" s="55"/>
      <c r="G18" s="144" t="s">
        <v>420</v>
      </c>
      <c r="H18" s="145"/>
      <c r="I18" s="54">
        <f>VORN!I25</f>
        <v>0</v>
      </c>
      <c r="J18" s="31"/>
      <c r="L18" s="75"/>
    </row>
    <row r="19" spans="1:10" ht="15" customHeight="1">
      <c r="A19" s="47"/>
      <c r="B19" s="50" t="s">
        <v>339</v>
      </c>
      <c r="C19" s="54">
        <f>SUM('Stavební rozpočet'!AG12:AG197)</f>
        <v>0</v>
      </c>
      <c r="D19" s="144"/>
      <c r="E19" s="145"/>
      <c r="F19" s="55"/>
      <c r="G19" s="144" t="s">
        <v>421</v>
      </c>
      <c r="H19" s="145"/>
      <c r="I19" s="54">
        <f>VORN!I26</f>
        <v>0</v>
      </c>
      <c r="J19" s="31"/>
    </row>
    <row r="20" spans="1:10" ht="15" customHeight="1">
      <c r="A20" s="142" t="s">
        <v>394</v>
      </c>
      <c r="B20" s="143"/>
      <c r="C20" s="54">
        <f>SUM('Stavební rozpočet'!AH12:AH197)</f>
        <v>0</v>
      </c>
      <c r="D20" s="144"/>
      <c r="E20" s="145"/>
      <c r="F20" s="55"/>
      <c r="G20" s="144"/>
      <c r="H20" s="145"/>
      <c r="I20" s="55"/>
      <c r="J20" s="31"/>
    </row>
    <row r="21" spans="1:10" ht="15" customHeight="1">
      <c r="A21" s="142" t="s">
        <v>395</v>
      </c>
      <c r="B21" s="143"/>
      <c r="C21" s="54">
        <f>SUM('Stavební rozpočet'!Z12:Z197)</f>
        <v>0</v>
      </c>
      <c r="D21" s="144"/>
      <c r="E21" s="145"/>
      <c r="F21" s="55"/>
      <c r="G21" s="144"/>
      <c r="H21" s="145"/>
      <c r="I21" s="55"/>
      <c r="J21" s="31"/>
    </row>
    <row r="22" spans="1:10" ht="16.5" customHeight="1">
      <c r="A22" s="142" t="s">
        <v>396</v>
      </c>
      <c r="B22" s="143"/>
      <c r="C22" s="54">
        <f>SUM(C14:C21)+'Stavební rozpočet - součet'!F30</f>
        <v>0</v>
      </c>
      <c r="D22" s="142" t="s">
        <v>409</v>
      </c>
      <c r="E22" s="143"/>
      <c r="F22" s="54">
        <f>SUM(F14:F21)</f>
        <v>0</v>
      </c>
      <c r="G22" s="142" t="s">
        <v>422</v>
      </c>
      <c r="H22" s="143"/>
      <c r="I22" s="54">
        <f>SUM(I14:I21)</f>
        <v>0</v>
      </c>
      <c r="J22" s="31"/>
    </row>
    <row r="23" spans="1:10" ht="15" customHeight="1">
      <c r="A23" s="7"/>
      <c r="B23" s="7"/>
      <c r="C23" s="52"/>
      <c r="D23" s="142" t="s">
        <v>410</v>
      </c>
      <c r="E23" s="143"/>
      <c r="F23" s="56">
        <v>0</v>
      </c>
      <c r="G23" s="142" t="s">
        <v>423</v>
      </c>
      <c r="H23" s="143"/>
      <c r="I23" s="54">
        <v>0</v>
      </c>
      <c r="J23" s="31"/>
    </row>
    <row r="24" spans="4:10" ht="15" customHeight="1">
      <c r="D24" s="7"/>
      <c r="E24" s="7"/>
      <c r="F24" s="57"/>
      <c r="G24" s="142" t="s">
        <v>424</v>
      </c>
      <c r="H24" s="143"/>
      <c r="I24" s="54">
        <f>vorn_sum</f>
        <v>0</v>
      </c>
      <c r="J24" s="31"/>
    </row>
    <row r="25" spans="6:10" ht="15" customHeight="1">
      <c r="F25" s="58"/>
      <c r="G25" s="142" t="s">
        <v>425</v>
      </c>
      <c r="H25" s="143"/>
      <c r="I25" s="54">
        <v>0</v>
      </c>
      <c r="J25" s="31"/>
    </row>
    <row r="26" spans="1:9" ht="12.75">
      <c r="A26" s="44"/>
      <c r="B26" s="44"/>
      <c r="C26" s="44"/>
      <c r="G26" s="7"/>
      <c r="H26" s="7"/>
      <c r="I26" s="7"/>
    </row>
    <row r="27" spans="1:9" ht="15" customHeight="1">
      <c r="A27" s="137" t="s">
        <v>397</v>
      </c>
      <c r="B27" s="138"/>
      <c r="C27" s="59">
        <f>SUM('Stavební rozpočet'!AJ12:AJ197)</f>
        <v>0</v>
      </c>
      <c r="D27" s="53"/>
      <c r="E27" s="44"/>
      <c r="F27" s="44"/>
      <c r="G27" s="44"/>
      <c r="H27" s="44"/>
      <c r="I27" s="44"/>
    </row>
    <row r="28" spans="1:10" ht="15" customHeight="1">
      <c r="A28" s="137" t="s">
        <v>398</v>
      </c>
      <c r="B28" s="138"/>
      <c r="C28" s="59">
        <f>SUM('Stavební rozpočet'!AK12:AK197)</f>
        <v>0</v>
      </c>
      <c r="D28" s="137" t="s">
        <v>411</v>
      </c>
      <c r="E28" s="138"/>
      <c r="F28" s="59">
        <f>ROUND(C28*(15/100),2)</f>
        <v>0</v>
      </c>
      <c r="G28" s="137" t="s">
        <v>426</v>
      </c>
      <c r="H28" s="138"/>
      <c r="I28" s="59">
        <f>SUM(C27:C29)</f>
        <v>0</v>
      </c>
      <c r="J28" s="31"/>
    </row>
    <row r="29" spans="1:10" ht="15" customHeight="1">
      <c r="A29" s="137" t="s">
        <v>399</v>
      </c>
      <c r="B29" s="138"/>
      <c r="C29" s="59">
        <f>SUM(F22+I22+F23+I23+I24+I25+C22)</f>
        <v>0</v>
      </c>
      <c r="D29" s="137" t="s">
        <v>412</v>
      </c>
      <c r="E29" s="138"/>
      <c r="F29" s="59">
        <f>ROUND(C29*(21/100),2)</f>
        <v>0</v>
      </c>
      <c r="G29" s="137" t="s">
        <v>427</v>
      </c>
      <c r="H29" s="138"/>
      <c r="I29" s="59">
        <f>SUM(F28:F29)+I28</f>
        <v>0</v>
      </c>
      <c r="J29" s="31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4.25" customHeight="1">
      <c r="A31" s="139" t="s">
        <v>400</v>
      </c>
      <c r="B31" s="140"/>
      <c r="C31" s="141"/>
      <c r="D31" s="139" t="s">
        <v>413</v>
      </c>
      <c r="E31" s="140"/>
      <c r="F31" s="141"/>
      <c r="G31" s="139" t="s">
        <v>428</v>
      </c>
      <c r="H31" s="140"/>
      <c r="I31" s="141"/>
      <c r="J31" s="32"/>
    </row>
    <row r="32" spans="1:10" ht="14.25" customHeight="1">
      <c r="A32" s="131"/>
      <c r="B32" s="132"/>
      <c r="C32" s="133"/>
      <c r="D32" s="131"/>
      <c r="E32" s="132"/>
      <c r="F32" s="133"/>
      <c r="G32" s="131"/>
      <c r="H32" s="132"/>
      <c r="I32" s="133"/>
      <c r="J32" s="32"/>
    </row>
    <row r="33" spans="1:10" ht="14.25" customHeight="1">
      <c r="A33" s="131"/>
      <c r="B33" s="132"/>
      <c r="C33" s="133"/>
      <c r="D33" s="131"/>
      <c r="E33" s="132"/>
      <c r="F33" s="133"/>
      <c r="G33" s="131"/>
      <c r="H33" s="132"/>
      <c r="I33" s="133"/>
      <c r="J33" s="32"/>
    </row>
    <row r="34" spans="1:10" ht="14.25" customHeight="1">
      <c r="A34" s="131"/>
      <c r="B34" s="132"/>
      <c r="C34" s="133"/>
      <c r="D34" s="131"/>
      <c r="E34" s="132"/>
      <c r="F34" s="133"/>
      <c r="G34" s="131"/>
      <c r="H34" s="132"/>
      <c r="I34" s="133"/>
      <c r="J34" s="32"/>
    </row>
    <row r="35" spans="1:10" ht="14.25" customHeight="1">
      <c r="A35" s="134" t="s">
        <v>401</v>
      </c>
      <c r="B35" s="135"/>
      <c r="C35" s="136"/>
      <c r="D35" s="134" t="s">
        <v>401</v>
      </c>
      <c r="E35" s="135"/>
      <c r="F35" s="136"/>
      <c r="G35" s="134" t="s">
        <v>401</v>
      </c>
      <c r="H35" s="135"/>
      <c r="I35" s="136"/>
      <c r="J35" s="32"/>
    </row>
    <row r="36" spans="1:9" ht="11.25" customHeight="1">
      <c r="A36" s="49" t="s">
        <v>90</v>
      </c>
      <c r="B36" s="51"/>
      <c r="C36" s="51"/>
      <c r="D36" s="51"/>
      <c r="E36" s="51"/>
      <c r="F36" s="51"/>
      <c r="G36" s="51"/>
      <c r="H36" s="51"/>
      <c r="I36" s="51"/>
    </row>
    <row r="37" spans="1:9" ht="12.75">
      <c r="A37" s="80"/>
      <c r="B37" s="81"/>
      <c r="C37" s="81"/>
      <c r="D37" s="81"/>
      <c r="E37" s="81"/>
      <c r="F37" s="81"/>
      <c r="G37" s="81"/>
      <c r="H37" s="81"/>
      <c r="I37" s="81"/>
    </row>
  </sheetData>
  <sheetProtection password="CCFD" sheet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16" sqref="F1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0"/>
      <c r="B1" s="44"/>
      <c r="C1" s="155" t="s">
        <v>441</v>
      </c>
      <c r="D1" s="118"/>
      <c r="E1" s="118"/>
      <c r="F1" s="118"/>
      <c r="G1" s="118"/>
      <c r="H1" s="118"/>
      <c r="I1" s="118"/>
    </row>
    <row r="2" spans="1:10" ht="12.75">
      <c r="A2" s="119" t="s">
        <v>1</v>
      </c>
      <c r="B2" s="120"/>
      <c r="C2" s="121" t="str">
        <f>'Stavební rozpočet'!C2</f>
        <v>RED POINT</v>
      </c>
      <c r="D2" s="116"/>
      <c r="E2" s="124" t="s">
        <v>329</v>
      </c>
      <c r="F2" s="124" t="str">
        <f>'Stavební rozpočet'!I2</f>
        <v>K2 invest s.r.o.</v>
      </c>
      <c r="G2" s="120"/>
      <c r="H2" s="124" t="s">
        <v>429</v>
      </c>
      <c r="I2" s="156"/>
      <c r="J2" s="31"/>
    </row>
    <row r="3" spans="1:10" ht="12.75">
      <c r="A3" s="114"/>
      <c r="B3" s="81"/>
      <c r="C3" s="122"/>
      <c r="D3" s="122"/>
      <c r="E3" s="81"/>
      <c r="F3" s="81"/>
      <c r="G3" s="81"/>
      <c r="H3" s="81"/>
      <c r="I3" s="113"/>
      <c r="J3" s="31"/>
    </row>
    <row r="4" spans="1:10" ht="12.75">
      <c r="A4" s="106" t="s">
        <v>2</v>
      </c>
      <c r="B4" s="81"/>
      <c r="C4" s="80" t="str">
        <f>'Stavební rozpočet'!C4</f>
        <v>zateplení objekktu</v>
      </c>
      <c r="D4" s="81"/>
      <c r="E4" s="80" t="s">
        <v>330</v>
      </c>
      <c r="F4" s="80">
        <f>'Stavební rozpočet'!I4</f>
        <v>0</v>
      </c>
      <c r="G4" s="81"/>
      <c r="H4" s="80" t="s">
        <v>429</v>
      </c>
      <c r="I4" s="154"/>
      <c r="J4" s="31"/>
    </row>
    <row r="5" spans="1:10" ht="12.75">
      <c r="A5" s="114"/>
      <c r="B5" s="81"/>
      <c r="C5" s="81"/>
      <c r="D5" s="81"/>
      <c r="E5" s="81"/>
      <c r="F5" s="81"/>
      <c r="G5" s="81"/>
      <c r="H5" s="81"/>
      <c r="I5" s="113"/>
      <c r="J5" s="31"/>
    </row>
    <row r="6" spans="1:10" ht="12.75">
      <c r="A6" s="106" t="s">
        <v>3</v>
      </c>
      <c r="B6" s="81"/>
      <c r="C6" s="80" t="str">
        <f>'Stavební rozpočet'!C6</f>
        <v>k.ú. Chrudim, parc.č. 288/1</v>
      </c>
      <c r="D6" s="81"/>
      <c r="E6" s="80" t="s">
        <v>331</v>
      </c>
      <c r="F6" s="80">
        <f>'Stavební rozpočet'!I6</f>
        <v>0</v>
      </c>
      <c r="G6" s="81"/>
      <c r="H6" s="80" t="s">
        <v>429</v>
      </c>
      <c r="I6" s="154"/>
      <c r="J6" s="31"/>
    </row>
    <row r="7" spans="1:10" ht="12.75">
      <c r="A7" s="114"/>
      <c r="B7" s="81"/>
      <c r="C7" s="81"/>
      <c r="D7" s="81"/>
      <c r="E7" s="81"/>
      <c r="F7" s="81"/>
      <c r="G7" s="81"/>
      <c r="H7" s="81"/>
      <c r="I7" s="113"/>
      <c r="J7" s="31"/>
    </row>
    <row r="8" spans="1:10" ht="12.75">
      <c r="A8" s="106" t="s">
        <v>316</v>
      </c>
      <c r="B8" s="81"/>
      <c r="C8" s="80"/>
      <c r="D8" s="81"/>
      <c r="E8" s="80" t="s">
        <v>317</v>
      </c>
      <c r="F8" s="80"/>
      <c r="G8" s="81"/>
      <c r="H8" s="109" t="s">
        <v>430</v>
      </c>
      <c r="I8" s="154"/>
      <c r="J8" s="31"/>
    </row>
    <row r="9" spans="1:10" ht="12.75">
      <c r="A9" s="114"/>
      <c r="B9" s="81"/>
      <c r="C9" s="81"/>
      <c r="D9" s="81"/>
      <c r="E9" s="81"/>
      <c r="F9" s="81"/>
      <c r="G9" s="81"/>
      <c r="H9" s="81"/>
      <c r="I9" s="113"/>
      <c r="J9" s="31"/>
    </row>
    <row r="10" spans="1:10" ht="12.75">
      <c r="A10" s="106" t="s">
        <v>4</v>
      </c>
      <c r="B10" s="81"/>
      <c r="C10" s="80" t="str">
        <f>'Stavební rozpočet'!C8</f>
        <v> </v>
      </c>
      <c r="D10" s="81"/>
      <c r="E10" s="80" t="s">
        <v>332</v>
      </c>
      <c r="F10" s="80" t="str">
        <f>'Stavební rozpočet'!I8</f>
        <v> </v>
      </c>
      <c r="G10" s="81"/>
      <c r="H10" s="109" t="s">
        <v>431</v>
      </c>
      <c r="I10" s="152"/>
      <c r="J10" s="31"/>
    </row>
    <row r="11" spans="1:10" ht="12.75">
      <c r="A11" s="150"/>
      <c r="B11" s="151"/>
      <c r="C11" s="151"/>
      <c r="D11" s="151"/>
      <c r="E11" s="151"/>
      <c r="F11" s="151"/>
      <c r="G11" s="151"/>
      <c r="H11" s="151"/>
      <c r="I11" s="153"/>
      <c r="J11" s="31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169" t="s">
        <v>433</v>
      </c>
      <c r="B13" s="170"/>
      <c r="C13" s="170"/>
      <c r="D13" s="170"/>
      <c r="E13" s="170"/>
      <c r="F13" s="61"/>
      <c r="G13" s="61"/>
      <c r="H13" s="61"/>
      <c r="I13" s="61"/>
    </row>
    <row r="14" spans="1:10" ht="12.75">
      <c r="A14" s="171" t="s">
        <v>434</v>
      </c>
      <c r="B14" s="172"/>
      <c r="C14" s="172"/>
      <c r="D14" s="172"/>
      <c r="E14" s="173"/>
      <c r="F14" s="62" t="s">
        <v>442</v>
      </c>
      <c r="G14" s="62" t="s">
        <v>443</v>
      </c>
      <c r="H14" s="62" t="s">
        <v>444</v>
      </c>
      <c r="I14" s="62" t="s">
        <v>442</v>
      </c>
      <c r="J14" s="32"/>
    </row>
    <row r="15" spans="1:10" ht="12.75">
      <c r="A15" s="174" t="s">
        <v>406</v>
      </c>
      <c r="B15" s="175"/>
      <c r="C15" s="175"/>
      <c r="D15" s="175"/>
      <c r="E15" s="176"/>
      <c r="F15" s="63">
        <v>0</v>
      </c>
      <c r="G15" s="66"/>
      <c r="H15" s="66"/>
      <c r="I15" s="63">
        <f>F15</f>
        <v>0</v>
      </c>
      <c r="J15" s="31"/>
    </row>
    <row r="16" spans="1:10" ht="12.75">
      <c r="A16" s="174" t="s">
        <v>407</v>
      </c>
      <c r="B16" s="175"/>
      <c r="C16" s="175"/>
      <c r="D16" s="175"/>
      <c r="E16" s="176"/>
      <c r="F16" s="63">
        <v>0</v>
      </c>
      <c r="G16" s="66"/>
      <c r="H16" s="66"/>
      <c r="I16" s="63">
        <f>F16</f>
        <v>0</v>
      </c>
      <c r="J16" s="31"/>
    </row>
    <row r="17" spans="1:10" ht="12.75">
      <c r="A17" s="157" t="s">
        <v>408</v>
      </c>
      <c r="B17" s="158"/>
      <c r="C17" s="158"/>
      <c r="D17" s="158"/>
      <c r="E17" s="159"/>
      <c r="F17" s="64">
        <v>0</v>
      </c>
      <c r="G17" s="67"/>
      <c r="H17" s="67"/>
      <c r="I17" s="64">
        <f>F17</f>
        <v>0</v>
      </c>
      <c r="J17" s="31"/>
    </row>
    <row r="18" spans="1:10" ht="12.75">
      <c r="A18" s="160" t="s">
        <v>435</v>
      </c>
      <c r="B18" s="161"/>
      <c r="C18" s="161"/>
      <c r="D18" s="161"/>
      <c r="E18" s="162"/>
      <c r="F18" s="65"/>
      <c r="G18" s="68"/>
      <c r="H18" s="68"/>
      <c r="I18" s="69">
        <f>SUM(I15:I17)</f>
        <v>0</v>
      </c>
      <c r="J18" s="32"/>
    </row>
    <row r="19" spans="1:9" ht="12.75">
      <c r="A19" s="60"/>
      <c r="B19" s="60"/>
      <c r="C19" s="60"/>
      <c r="D19" s="60"/>
      <c r="E19" s="60"/>
      <c r="F19" s="60"/>
      <c r="G19" s="60"/>
      <c r="H19" s="60"/>
      <c r="I19" s="60"/>
    </row>
    <row r="20" spans="1:10" ht="12.75">
      <c r="A20" s="171" t="s">
        <v>432</v>
      </c>
      <c r="B20" s="172"/>
      <c r="C20" s="172"/>
      <c r="D20" s="172"/>
      <c r="E20" s="173"/>
      <c r="F20" s="62" t="s">
        <v>442</v>
      </c>
      <c r="G20" s="62" t="s">
        <v>443</v>
      </c>
      <c r="H20" s="62" t="s">
        <v>444</v>
      </c>
      <c r="I20" s="62" t="s">
        <v>442</v>
      </c>
      <c r="J20" s="32"/>
    </row>
    <row r="21" spans="1:10" ht="12.75">
      <c r="A21" s="174" t="s">
        <v>416</v>
      </c>
      <c r="B21" s="175"/>
      <c r="C21" s="175"/>
      <c r="D21" s="175"/>
      <c r="E21" s="176"/>
      <c r="F21" s="66"/>
      <c r="G21" s="63">
        <v>2.5</v>
      </c>
      <c r="H21" s="63">
        <f>'Krycí list rozpočtu'!C22</f>
        <v>0</v>
      </c>
      <c r="I21" s="63">
        <f>ROUND((G21/100)*H21,2)</f>
        <v>0</v>
      </c>
      <c r="J21" s="31"/>
    </row>
    <row r="22" spans="1:10" ht="12.75">
      <c r="A22" s="174" t="s">
        <v>417</v>
      </c>
      <c r="B22" s="175"/>
      <c r="C22" s="175"/>
      <c r="D22" s="175"/>
      <c r="E22" s="176"/>
      <c r="F22" s="63">
        <v>0</v>
      </c>
      <c r="G22" s="66"/>
      <c r="H22" s="66"/>
      <c r="I22" s="63">
        <f>F22</f>
        <v>0</v>
      </c>
      <c r="J22" s="31"/>
    </row>
    <row r="23" spans="1:10" ht="12.75">
      <c r="A23" s="174" t="s">
        <v>418</v>
      </c>
      <c r="B23" s="175"/>
      <c r="C23" s="175"/>
      <c r="D23" s="175"/>
      <c r="E23" s="176"/>
      <c r="F23" s="63">
        <v>0</v>
      </c>
      <c r="G23" s="66"/>
      <c r="H23" s="66"/>
      <c r="I23" s="63">
        <f>F23</f>
        <v>0</v>
      </c>
      <c r="J23" s="31"/>
    </row>
    <row r="24" spans="1:10" ht="12.75">
      <c r="A24" s="174" t="s">
        <v>419</v>
      </c>
      <c r="B24" s="175"/>
      <c r="C24" s="175"/>
      <c r="D24" s="175"/>
      <c r="E24" s="176"/>
      <c r="F24" s="63">
        <v>0</v>
      </c>
      <c r="G24" s="66"/>
      <c r="H24" s="66"/>
      <c r="I24" s="63">
        <f>F24</f>
        <v>0</v>
      </c>
      <c r="J24" s="31"/>
    </row>
    <row r="25" spans="1:10" ht="12.75">
      <c r="A25" s="174" t="s">
        <v>420</v>
      </c>
      <c r="B25" s="175"/>
      <c r="C25" s="175"/>
      <c r="D25" s="175"/>
      <c r="E25" s="176"/>
      <c r="F25" s="63">
        <v>0</v>
      </c>
      <c r="G25" s="66"/>
      <c r="H25" s="66"/>
      <c r="I25" s="63">
        <f>F25</f>
        <v>0</v>
      </c>
      <c r="J25" s="31"/>
    </row>
    <row r="26" spans="1:10" ht="12.75">
      <c r="A26" s="157" t="s">
        <v>421</v>
      </c>
      <c r="B26" s="158"/>
      <c r="C26" s="158"/>
      <c r="D26" s="158"/>
      <c r="E26" s="159"/>
      <c r="F26" s="64">
        <v>0</v>
      </c>
      <c r="G26" s="67"/>
      <c r="H26" s="67"/>
      <c r="I26" s="64">
        <f>F26</f>
        <v>0</v>
      </c>
      <c r="J26" s="31"/>
    </row>
    <row r="27" spans="1:10" ht="12.75">
      <c r="A27" s="160" t="s">
        <v>436</v>
      </c>
      <c r="B27" s="161"/>
      <c r="C27" s="161"/>
      <c r="D27" s="161"/>
      <c r="E27" s="162"/>
      <c r="F27" s="65"/>
      <c r="G27" s="68"/>
      <c r="H27" s="68"/>
      <c r="I27" s="69">
        <f>SUM(I21:I26)</f>
        <v>0</v>
      </c>
      <c r="J27" s="32"/>
    </row>
    <row r="28" spans="1:9" ht="12.75">
      <c r="A28" s="60"/>
      <c r="B28" s="60"/>
      <c r="C28" s="60"/>
      <c r="D28" s="60"/>
      <c r="E28" s="60"/>
      <c r="F28" s="60"/>
      <c r="G28" s="60"/>
      <c r="H28" s="60"/>
      <c r="I28" s="60"/>
    </row>
    <row r="29" spans="1:10" ht="15" customHeight="1">
      <c r="A29" s="163" t="s">
        <v>437</v>
      </c>
      <c r="B29" s="164"/>
      <c r="C29" s="164"/>
      <c r="D29" s="164"/>
      <c r="E29" s="165"/>
      <c r="F29" s="166">
        <f>I18+I27</f>
        <v>0</v>
      </c>
      <c r="G29" s="167"/>
      <c r="H29" s="167"/>
      <c r="I29" s="168"/>
      <c r="J29" s="32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3" spans="1:9" ht="15" customHeight="1">
      <c r="A33" s="169" t="s">
        <v>438</v>
      </c>
      <c r="B33" s="170"/>
      <c r="C33" s="170"/>
      <c r="D33" s="170"/>
      <c r="E33" s="170"/>
      <c r="F33" s="61"/>
      <c r="G33" s="61"/>
      <c r="H33" s="61"/>
      <c r="I33" s="61"/>
    </row>
    <row r="34" spans="1:10" ht="12.75">
      <c r="A34" s="171" t="s">
        <v>439</v>
      </c>
      <c r="B34" s="172"/>
      <c r="C34" s="172"/>
      <c r="D34" s="172"/>
      <c r="E34" s="173"/>
      <c r="F34" s="62" t="s">
        <v>442</v>
      </c>
      <c r="G34" s="62" t="s">
        <v>443</v>
      </c>
      <c r="H34" s="62" t="s">
        <v>444</v>
      </c>
      <c r="I34" s="62" t="s">
        <v>442</v>
      </c>
      <c r="J34" s="32"/>
    </row>
    <row r="35" spans="1:10" ht="12.75">
      <c r="A35" s="157"/>
      <c r="B35" s="158"/>
      <c r="C35" s="158"/>
      <c r="D35" s="158"/>
      <c r="E35" s="159"/>
      <c r="F35" s="64">
        <v>0</v>
      </c>
      <c r="G35" s="67"/>
      <c r="H35" s="67"/>
      <c r="I35" s="64">
        <f>F35</f>
        <v>0</v>
      </c>
      <c r="J35" s="31"/>
    </row>
    <row r="36" spans="1:10" ht="12.75">
      <c r="A36" s="160" t="s">
        <v>440</v>
      </c>
      <c r="B36" s="161"/>
      <c r="C36" s="161"/>
      <c r="D36" s="161"/>
      <c r="E36" s="162"/>
      <c r="F36" s="65"/>
      <c r="G36" s="68"/>
      <c r="H36" s="68"/>
      <c r="I36" s="69">
        <f>SUM(I35:I35)</f>
        <v>0</v>
      </c>
      <c r="J36" s="32"/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Vošvrdová</dc:creator>
  <cp:keywords/>
  <dc:description/>
  <cp:lastModifiedBy>Jana Chaloupková</cp:lastModifiedBy>
  <dcterms:created xsi:type="dcterms:W3CDTF">2021-01-12T13:11:59Z</dcterms:created>
  <dcterms:modified xsi:type="dcterms:W3CDTF">2021-01-12T13:33:11Z</dcterms:modified>
  <cp:category/>
  <cp:version/>
  <cp:contentType/>
  <cp:contentStatus/>
</cp:coreProperties>
</file>