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521" windowWidth="13680" windowHeight="13410" activeTab="2"/>
  </bookViews>
  <sheets>
    <sheet name="Stavební rozpočet" sheetId="1" r:id="rId1"/>
    <sheet name="Stavební rozpočet - součet" sheetId="2" r:id="rId2"/>
    <sheet name="Krycí list rozpočtu" sheetId="3" r:id="rId3"/>
    <sheet name="VORN" sheetId="4" r:id="rId4"/>
  </sheets>
  <externalReferences>
    <externalReference r:id="rId7"/>
  </externalReferences>
  <definedNames>
    <definedName name="vorn_sum">'VORN'!$I$36:$I$36</definedName>
  </definedNames>
  <calcPr fullCalcOnLoad="1"/>
</workbook>
</file>

<file path=xl/sharedStrings.xml><?xml version="1.0" encoding="utf-8"?>
<sst xmlns="http://schemas.openxmlformats.org/spreadsheetml/2006/main" count="1296" uniqueCount="532">
  <si>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</si>
  <si>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</si>
  <si>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</si>
  <si>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</si>
  <si>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</si>
  <si>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</si>
  <si>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</si>
  <si>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</si>
  <si>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</si>
  <si>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</si>
  <si>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</si>
  <si>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</si>
  <si>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</si>
  <si>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</si>
  <si>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</si>
  <si>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</si>
  <si>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</si>
  <si>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</si>
  <si>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</si>
  <si>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</si>
  <si>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</si>
  <si>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</si>
  <si>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</si>
  <si>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</si>
  <si>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</si>
  <si>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</si>
  <si>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</si>
  <si>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</si>
  <si>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</si>
  <si>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</si>
  <si>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</si>
  <si>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</si>
  <si>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</si>
  <si>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</si>
  <si>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</si>
  <si>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</si>
  <si>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</si>
  <si>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</si>
  <si>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</si>
  <si>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</si>
  <si>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</si>
  <si>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</si>
  <si>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</si>
  <si>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</si>
  <si>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</si>
  <si>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</si>
  <si>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</si>
  <si>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</si>
  <si>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</si>
  <si>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</si>
  <si>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</si>
  <si>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</si>
  <si>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</si>
  <si>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</si>
  <si>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</si>
  <si>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</si>
  <si>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</si>
  <si>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</si>
  <si>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</si>
  <si>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</si>
  <si>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</si>
  <si>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</si>
  <si>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</si>
  <si>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</si>
  <si>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</si>
  <si>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</si>
  <si>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</si>
  <si>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</si>
  <si>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</si>
  <si>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</si>
  <si>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</si>
  <si>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</si>
  <si>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</si>
  <si>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</si>
  <si>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</si>
  <si>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</si>
  <si>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</si>
  <si>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</si>
  <si>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</si>
  <si>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</si>
  <si>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</si>
  <si>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</si>
  <si>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</si>
  <si>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</si>
  <si>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</si>
  <si>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</si>
  <si>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</si>
  <si>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</si>
  <si>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</si>
  <si>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</si>
  <si>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</si>
  <si>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</si>
  <si>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</si>
  <si>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</si>
  <si>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</si>
  <si>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</si>
  <si>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</si>
  <si>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</si>
  <si>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</si>
  <si>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</si>
  <si>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</si>
  <si>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Poznámka:</t>
  </si>
  <si>
    <t>Kód</t>
  </si>
  <si>
    <t>310239211R00</t>
  </si>
  <si>
    <t>317121251RT2</t>
  </si>
  <si>
    <t>Varianta:</t>
  </si>
  <si>
    <t>317121351RT2</t>
  </si>
  <si>
    <t>317941125RT2</t>
  </si>
  <si>
    <t>602016195R00</t>
  </si>
  <si>
    <t>602011184RT2</t>
  </si>
  <si>
    <t>602011189R00</t>
  </si>
  <si>
    <t>602011191R00</t>
  </si>
  <si>
    <t>601016195R00</t>
  </si>
  <si>
    <t>601011183RT2</t>
  </si>
  <si>
    <t>601011191R00</t>
  </si>
  <si>
    <t>620991121R00</t>
  </si>
  <si>
    <t>622311524RV1</t>
  </si>
  <si>
    <t>622311834RV1</t>
  </si>
  <si>
    <t>622311334RT7</t>
  </si>
  <si>
    <t>622318642RV1</t>
  </si>
  <si>
    <t>622391002R00</t>
  </si>
  <si>
    <t>622311014R00</t>
  </si>
  <si>
    <t>622311113R00</t>
  </si>
  <si>
    <t>622421491R00</t>
  </si>
  <si>
    <t>622421492R00</t>
  </si>
  <si>
    <t>622421493R00</t>
  </si>
  <si>
    <t>622421494R00</t>
  </si>
  <si>
    <t>622422121R00</t>
  </si>
  <si>
    <t>622904112R00</t>
  </si>
  <si>
    <t>620991001R00</t>
  </si>
  <si>
    <t>631571005R00</t>
  </si>
  <si>
    <t>648991113RT5</t>
  </si>
  <si>
    <t>648991113RT6</t>
  </si>
  <si>
    <t>712</t>
  </si>
  <si>
    <t>712331101R00</t>
  </si>
  <si>
    <t>28322137</t>
  </si>
  <si>
    <t>712341559R00</t>
  </si>
  <si>
    <t>62822006</t>
  </si>
  <si>
    <t>62836114</t>
  </si>
  <si>
    <t>998712103R00</t>
  </si>
  <si>
    <t>713</t>
  </si>
  <si>
    <t>713141111R00</t>
  </si>
  <si>
    <t>28375766.A</t>
  </si>
  <si>
    <t>998713103R00</t>
  </si>
  <si>
    <t>762</t>
  </si>
  <si>
    <t>762331811R00</t>
  </si>
  <si>
    <t>762331814R00</t>
  </si>
  <si>
    <t>762342811R00</t>
  </si>
  <si>
    <t>762342814R00</t>
  </si>
  <si>
    <t>764</t>
  </si>
  <si>
    <t>764352810R00</t>
  </si>
  <si>
    <t>764410850R00</t>
  </si>
  <si>
    <t>764454802R00</t>
  </si>
  <si>
    <t>764510440R00</t>
  </si>
  <si>
    <t>764530460R00</t>
  </si>
  <si>
    <t>764-016VD</t>
  </si>
  <si>
    <t>998764103R00</t>
  </si>
  <si>
    <t>765</t>
  </si>
  <si>
    <t>765312810R00</t>
  </si>
  <si>
    <t>765318851R00</t>
  </si>
  <si>
    <t>765799301R00</t>
  </si>
  <si>
    <t>766</t>
  </si>
  <si>
    <t>766-001VD</t>
  </si>
  <si>
    <t>766-002VD</t>
  </si>
  <si>
    <t>766-003VD</t>
  </si>
  <si>
    <t>766-004VD</t>
  </si>
  <si>
    <t>766-005VD</t>
  </si>
  <si>
    <t>766-006VD</t>
  </si>
  <si>
    <t>766-007VD</t>
  </si>
  <si>
    <t>766-008VD</t>
  </si>
  <si>
    <t>766-009VD</t>
  </si>
  <si>
    <t>766-010VD</t>
  </si>
  <si>
    <t>766-011VD</t>
  </si>
  <si>
    <t>766-012VD</t>
  </si>
  <si>
    <t>766-014VD</t>
  </si>
  <si>
    <t>766-015VD</t>
  </si>
  <si>
    <t>766-016VD</t>
  </si>
  <si>
    <t>766-017VD</t>
  </si>
  <si>
    <t>766-018VD</t>
  </si>
  <si>
    <t>766-019VD</t>
  </si>
  <si>
    <t>766-020VD</t>
  </si>
  <si>
    <t>766-021VD</t>
  </si>
  <si>
    <t>766-022VD</t>
  </si>
  <si>
    <t>766-023VD</t>
  </si>
  <si>
    <t>941941052R00</t>
  </si>
  <si>
    <t>941941392R00</t>
  </si>
  <si>
    <t>941941852R00</t>
  </si>
  <si>
    <t>96</t>
  </si>
  <si>
    <t>966032911R00</t>
  </si>
  <si>
    <t>966031314R00</t>
  </si>
  <si>
    <t>966</t>
  </si>
  <si>
    <t>966-01VD</t>
  </si>
  <si>
    <t>97</t>
  </si>
  <si>
    <t>971033651R00</t>
  </si>
  <si>
    <t>974031167R00</t>
  </si>
  <si>
    <t>H01</t>
  </si>
  <si>
    <t>998011003R00</t>
  </si>
  <si>
    <t>S</t>
  </si>
  <si>
    <t>979081111R00</t>
  </si>
  <si>
    <t>979081121R00</t>
  </si>
  <si>
    <t>979011211R00</t>
  </si>
  <si>
    <t>979011219R00</t>
  </si>
  <si>
    <t>979082111R00</t>
  </si>
  <si>
    <t>979082121R00</t>
  </si>
  <si>
    <t>979951162R00</t>
  </si>
  <si>
    <t>979990001R00</t>
  </si>
  <si>
    <t>979990122R00</t>
  </si>
  <si>
    <t>979990161R00</t>
  </si>
  <si>
    <t>Přestavba objektu</t>
  </si>
  <si>
    <t>zateplení objektu</t>
  </si>
  <si>
    <t>Na Brně, Hradec Králové parc.č. st. 204/2 kat. úz. Nový Hradec Králové</t>
  </si>
  <si>
    <t>Zkrácený popis / Varianta</t>
  </si>
  <si>
    <t>Rozměry</t>
  </si>
  <si>
    <t>Zdi podpěrné a volné</t>
  </si>
  <si>
    <t>Zazdívka otvorů plochy do 4 m2 cihlami na MVC</t>
  </si>
  <si>
    <t>Montáž ŽB překladů do 180 cm dodatečně do rýh</t>
  </si>
  <si>
    <t>včetně dodávky RZP 2/10 149 x 14 x 14 cm</t>
  </si>
  <si>
    <t>Montáž ŽB překladů do 240 cm dodatečně do rýh</t>
  </si>
  <si>
    <t>včetně dodávky RZP 4/10  239 x 14 x 14 cm</t>
  </si>
  <si>
    <t>Osazení ocelových válcovaných nosníků č.22 a vyšší</t>
  </si>
  <si>
    <t>včetně dodávky profilu I č.24</t>
  </si>
  <si>
    <t>Omítky ze suchých směsí</t>
  </si>
  <si>
    <t>111,8+499,1242+1276,314   </t>
  </si>
  <si>
    <t>TRC, rýhovaná, zrnitost 2,0 mm</t>
  </si>
  <si>
    <t>499,1242+1276,314   výpočet zatepl. syst. minerál. desky + EPS</t>
  </si>
  <si>
    <t>1026,08*0,14   ostění + nadpraží</t>
  </si>
  <si>
    <t>rýhovaná, zrnitost 2,0 mm</t>
  </si>
  <si>
    <t>Úprava povrchů vnější</t>
  </si>
  <si>
    <t>Zakrývání výplní vnějších otvorů z lešení</t>
  </si>
  <si>
    <t>zakončený stěrkou s výztužnou tkaninou</t>
  </si>
  <si>
    <t>62,56*1,0-3,67*1,0*8-3,57*1,0-0,88*1,0   pohled SZ</t>
  </si>
  <si>
    <t>62,56*1,0-4,8*1,0-0,98*1,0-1,65*1,0-1,2*1,0   pohled JV</t>
  </si>
  <si>
    <t>15,9*1,0   pohled SV</t>
  </si>
  <si>
    <t>14,12*1,0-0,9*1,0   pohled JZ</t>
  </si>
  <si>
    <t>62,56*0,9*4   pohled SZ</t>
  </si>
  <si>
    <t>19,97*0,9*3+19,97*1,16+7,5*0,9*4   pohled JV</t>
  </si>
  <si>
    <t>9,69*0,9*2+14,12*0,9*4   pohled JZ</t>
  </si>
  <si>
    <t>(9,75+1,95)*0,9*4+4,2*14,15   pohled SV</t>
  </si>
  <si>
    <t>62,56*14,42-1,2*1,5*23-1,2*2,04*46-1,2*1,6-3,67*1,32*8-1,2*0,55*3-0,88*1,35-3,57*1,35   pohled SZ</t>
  </si>
  <si>
    <t>(19,97+35,09)*14,42-1,2*2,075*24-0,95*1,6-1,2*1,6*5-1,2*2,05-1,65*2,05-1,2*2,23*12-1,2*2,8*24   pohled JV</t>
  </si>
  <si>
    <t>-1,2*1,6*8   pohled JV</t>
  </si>
  <si>
    <t>9,69*7,2-1,2*2,0*2-1,2*1,5*2+14,12*14,15-1,2*1,8*5-1,2*2,0-0,65*0,8*7-0,9*1,01+0,7*14,42   pohled JZ</t>
  </si>
  <si>
    <t>15,9*14,15-1,2*1,48*3-1,2*1,8*9-1,2*2,05*3-0,9*1,8*3   pohled SV</t>
  </si>
  <si>
    <t>8,25*2,75*2   zatepl. stěn průjezdu</t>
  </si>
  <si>
    <t>-499,1242   odečet ploch z vaty</t>
  </si>
  <si>
    <t>8,25*5,0   </t>
  </si>
  <si>
    <t>strop průjezdu</t>
  </si>
  <si>
    <t>Příplatek-mtž KZS podhledu,izolant,stěrka+výzt.tk.</t>
  </si>
  <si>
    <t>Doplňky zatepl. systémů, rohová lišta s okapničkou</t>
  </si>
  <si>
    <t>Doplňky zatepl. systémů, okenní lišta s tkaninou</t>
  </si>
  <si>
    <t>Doplňky zatepl. systémů, dilatační lišta s tkan.</t>
  </si>
  <si>
    <t>Doplňky zatepl. systémů, podparapetní lišta s tkan</t>
  </si>
  <si>
    <t>Oprava vnějších omítek vápen. štuk. II, do 10 %</t>
  </si>
  <si>
    <t>Očištění fasád tlakovou vodou složitost 1 - 2</t>
  </si>
  <si>
    <t>Začišťovací okenní lišta pro vnějš.omítku tl. 6 mm</t>
  </si>
  <si>
    <t>Podlahy a podlahové konstrukce</t>
  </si>
  <si>
    <t>Násyp z kameniva těž. praného fr. 22-32 (kačírku)</t>
  </si>
  <si>
    <t>642,5*0,05   </t>
  </si>
  <si>
    <t>Výplně otvorů</t>
  </si>
  <si>
    <t>Osazení parapet.desek plast. a lamin. š.nad 20cm</t>
  </si>
  <si>
    <t>včetně dodávky plastové parapetní desky š. 400 mm</t>
  </si>
  <si>
    <t>včetně dodávky plastové parapetní desky š. 500 mm</t>
  </si>
  <si>
    <t>Izolace střech (živičné krytiny)</t>
  </si>
  <si>
    <t>Povlaková krytina střech do 10°, pásy na sucho</t>
  </si>
  <si>
    <t>642,5   </t>
  </si>
  <si>
    <t>;ztratné 15%; 96,375   </t>
  </si>
  <si>
    <t>Povlaková krytina střech do 10°, NAIP přitavením</t>
  </si>
  <si>
    <t>Pás asfaltovaný V 13 oboustranný posyp</t>
  </si>
  <si>
    <t>Přesun hmot pro povlakové krytiny, výšky do 24 m</t>
  </si>
  <si>
    <t>Izolace tepelné</t>
  </si>
  <si>
    <t>Izolace tepelná střech plně lep.asfaltem, 1vrstvá</t>
  </si>
  <si>
    <t>Deska izolační polystyrén samozhášivý EPS 100</t>
  </si>
  <si>
    <t>Přesun hmot pro izolace tepelné, výšky do 24 m</t>
  </si>
  <si>
    <t>Konstrukce tesařské</t>
  </si>
  <si>
    <t>Demontáž konstrukcí krovů z hranolů do 120 cm2</t>
  </si>
  <si>
    <t>Demontáž konstrukcí krovů z hranolů do 450 cm2</t>
  </si>
  <si>
    <t>Demontáž laťování střech, rozteč latí do 22 cm</t>
  </si>
  <si>
    <t>Demontáž dřevěných kontralatí</t>
  </si>
  <si>
    <t>Konstrukce klempířské</t>
  </si>
  <si>
    <t>Demontáž žlabů půlkruh. rovných, rš 330 mm, do 30°</t>
  </si>
  <si>
    <t>Demontáž oplechování parapetů,rš od 100 do 330 mm</t>
  </si>
  <si>
    <t>Demontáž odpadních trub kruhových,D 120 mm</t>
  </si>
  <si>
    <t>Oplechování parapetů včetně rohů Ti Zn, rš 250 mm</t>
  </si>
  <si>
    <t>Oplechování zdí z Ti Zn plechu, rš 750 mm</t>
  </si>
  <si>
    <t>Oplechování plech pozink. poplast., rš 330 mm</t>
  </si>
  <si>
    <t>Přesun hmot pro klempířské konstr., výšky do 24 m</t>
  </si>
  <si>
    <t>Krytina tvrdá</t>
  </si>
  <si>
    <t>Demontáž krytiny dvoudrážkové, na sucho, do suti</t>
  </si>
  <si>
    <t>Demontáž hřebenáčů s větracím pásem, do suti</t>
  </si>
  <si>
    <t>Demontáž podstřešní fólie</t>
  </si>
  <si>
    <t>Konstrukce truhlářské</t>
  </si>
  <si>
    <t>vč. žaluzie</t>
  </si>
  <si>
    <t>vč. kování, vložky a samozavíračů</t>
  </si>
  <si>
    <t>Pomocný materiál</t>
  </si>
  <si>
    <t>Komprimační páska do 15 mm</t>
  </si>
  <si>
    <t>Lešení a stavební výtahy</t>
  </si>
  <si>
    <t>Montáž lešení leh.řad.s podlahami,š.1,5 m, H 24 m</t>
  </si>
  <si>
    <t>Příplatek za každý měsíc použití lešení k pol.1052</t>
  </si>
  <si>
    <t>Demontáž lešení leh.řad.s podlahami,š.1,5 m,H 24 m</t>
  </si>
  <si>
    <t>Bourání konstrukcí</t>
  </si>
  <si>
    <t>Odsekání říms okenních předsazených 8 cm</t>
  </si>
  <si>
    <t>Bourání říms cihel, tl. nad 30 cm, vyložení 25 cm</t>
  </si>
  <si>
    <t>ostatních stavebních konstrukcí</t>
  </si>
  <si>
    <t>Demontáž a likvidace  stávajících oken a dveří, vč. odvozu a likvidace</t>
  </si>
  <si>
    <t>Prorážení otvorů a ostatní bourací práce</t>
  </si>
  <si>
    <t>Vybourání otv. zeď cihel. pl.4 m2, tl.60 cm, MVC</t>
  </si>
  <si>
    <t>Vysekání rýh ve zdi cihelné 15 x 30 cm</t>
  </si>
  <si>
    <t>Budovy občanské výstavby</t>
  </si>
  <si>
    <t>Přesun hmot pro budovy zděné výšky do 24 m</t>
  </si>
  <si>
    <t>Přesuny sutí</t>
  </si>
  <si>
    <t>Odvoz suti a vybour. hmot na skládku do 1 km</t>
  </si>
  <si>
    <t>Příplatek k odvozu za každý další 1 km</t>
  </si>
  <si>
    <t>Svislá doprava suti a vybour. hmot za 2.NP nošením</t>
  </si>
  <si>
    <t>Přípl.k svislé dopr.suti za každé další NP nošením</t>
  </si>
  <si>
    <t>Vnitrostaveništní doprava suti do 10 m</t>
  </si>
  <si>
    <t>Příplatek k vnitrost. dopravě suti za dalších 5 m</t>
  </si>
  <si>
    <t>Výkup kovů - zinek, kusy</t>
  </si>
  <si>
    <t>Poplatek za skládku stavební suti</t>
  </si>
  <si>
    <t>Poplatek za skládku suti - PVC střešní krytina</t>
  </si>
  <si>
    <t>Poplatek za skládku suti - dřevo</t>
  </si>
  <si>
    <t>Doba výstavby:</t>
  </si>
  <si>
    <t>Začátek výstavby:</t>
  </si>
  <si>
    <t>Konec výstavby:</t>
  </si>
  <si>
    <t>Zpracováno dne:</t>
  </si>
  <si>
    <t>MJ</t>
  </si>
  <si>
    <t>m3</t>
  </si>
  <si>
    <t>kus</t>
  </si>
  <si>
    <t>t</t>
  </si>
  <si>
    <t>m2</t>
  </si>
  <si>
    <t>m</t>
  </si>
  <si>
    <t>km</t>
  </si>
  <si>
    <t>ks</t>
  </si>
  <si>
    <t>Množství</t>
  </si>
  <si>
    <t>Objednatel:</t>
  </si>
  <si>
    <t>Projektant:</t>
  </si>
  <si>
    <t>Zhotovitel:</t>
  </si>
  <si>
    <t>Zpracoval:</t>
  </si>
  <si>
    <t>Cena/MJ</t>
  </si>
  <si>
    <t>(Kč)</t>
  </si>
  <si>
    <t>K2 invest</t>
  </si>
  <si>
    <t> </t>
  </si>
  <si>
    <t>Náklady (Kč)</t>
  </si>
  <si>
    <t>Dodávka</t>
  </si>
  <si>
    <t>Celkem:</t>
  </si>
  <si>
    <t>Montáž</t>
  </si>
  <si>
    <t>Celkem</t>
  </si>
  <si>
    <t>Cenová</t>
  </si>
  <si>
    <t>soustava</t>
  </si>
  <si>
    <t>RTS I / 2020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</si>
  <si>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</si>
  <si>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</si>
  <si>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</si>
  <si>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</si>
  <si>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</si>
  <si>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</si>
  <si>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</si>
  <si>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</si>
  <si>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</si>
  <si>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31_</t>
  </si>
  <si>
    <t>60_</t>
  </si>
  <si>
    <t>62_</t>
  </si>
  <si>
    <t>63_</t>
  </si>
  <si>
    <t>64_</t>
  </si>
  <si>
    <t>712_</t>
  </si>
  <si>
    <t>713_</t>
  </si>
  <si>
    <t>762_</t>
  </si>
  <si>
    <t>764_</t>
  </si>
  <si>
    <t>765_</t>
  </si>
  <si>
    <t>766_</t>
  </si>
  <si>
    <t>94_</t>
  </si>
  <si>
    <t>96_</t>
  </si>
  <si>
    <t>966_</t>
  </si>
  <si>
    <t>97_</t>
  </si>
  <si>
    <t>H01_</t>
  </si>
  <si>
    <t>S_</t>
  </si>
  <si>
    <t>3_</t>
  </si>
  <si>
    <t>6_</t>
  </si>
  <si>
    <t>71_</t>
  </si>
  <si>
    <t>76_</t>
  </si>
  <si>
    <t>9_</t>
  </si>
  <si>
    <t>_</t>
  </si>
  <si>
    <t>MAT</t>
  </si>
  <si>
    <t>WORK</t>
  </si>
  <si>
    <t>CELK</t>
  </si>
  <si>
    <t>Slepý stavební rozpočet - rekapitulace</t>
  </si>
  <si>
    <t>Zkrácený popis</t>
  </si>
  <si>
    <t>Náklady (Kč) - dodávka</t>
  </si>
  <si>
    <t>Náklady (Kč) - Montáž</t>
  </si>
  <si>
    <t>Náklady (Kč) - celkem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</si>
  <si>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</si>
  <si>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</si>
  <si>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</si>
  <si>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</si>
  <si>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</si>
  <si>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</si>
  <si>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</si>
  <si>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</si>
  <si>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</si>
  <si>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</si>
  <si>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</si>
  <si>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</si>
  <si>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</si>
  <si>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</si>
  <si>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</si>
  <si>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</si>
  <si>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</si>
  <si>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</si>
  <si>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</si>
  <si>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</si>
  <si>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</si>
  <si>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</si>
  <si>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</si>
  <si>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</si>
  <si>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</si>
  <si>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</si>
  <si>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</si>
  <si>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</si>
  <si>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</si>
  <si>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</si>
  <si>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</si>
  <si>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</si>
  <si>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</si>
  <si>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</si>
  <si>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</si>
  <si>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</si>
  <si>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</si>
  <si>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</si>
  <si>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</si>
  <si>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</si>
  <si>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</si>
  <si>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</si>
  <si>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</si>
  <si>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</si>
  <si>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</si>
  <si>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</si>
  <si>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</si>
  <si>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</si>
  <si>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</si>
  <si>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</si>
  <si>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</si>
  <si>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</si>
  <si>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</si>
  <si>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</si>
  <si>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</si>
  <si>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%</t>
  </si>
  <si>
    <t>Základna</t>
  </si>
  <si>
    <t xml:space="preserve">Penetrace hloubková stěn </t>
  </si>
  <si>
    <t xml:space="preserve">Stěrka na stěnách silikátová barevná </t>
  </si>
  <si>
    <t xml:space="preserve">Stěrka na stěnách mozaiková </t>
  </si>
  <si>
    <t xml:space="preserve">Podklad.nátěr stěn pod tenkovr.omítky </t>
  </si>
  <si>
    <t>Penetrace hloubk. stropů</t>
  </si>
  <si>
    <t>Stěrka na podhledech silikátová, bílá</t>
  </si>
  <si>
    <t xml:space="preserve">Podklad.nátěr stropů pod tenkovr.omítky </t>
  </si>
  <si>
    <t>Zateplovací systém, sokl, XPS tl. 140 mm</t>
  </si>
  <si>
    <t>Zatepl.syst., fasáda, miner.desky PV 140 mm</t>
  </si>
  <si>
    <t>Zatepl.systém, fasáda, EPS F plus tl.140 mm</t>
  </si>
  <si>
    <t>Zatepl.systém,fasáda, EPS F 260 mm</t>
  </si>
  <si>
    <t>Soklová lišta hliník KZS tl. 140 mm</t>
  </si>
  <si>
    <t>Dilatační profil KZS  rohový V</t>
  </si>
  <si>
    <t>Fólie hydroizolační střešní PVC 1,5</t>
  </si>
  <si>
    <t>Pás asfaltovaný těžký  S 35</t>
  </si>
  <si>
    <t>95</t>
  </si>
  <si>
    <t>1-01</t>
  </si>
  <si>
    <t>V 1  -   spínač jednopólový vestavný 250V,10A,50Hz, bílá</t>
  </si>
  <si>
    <t>1-02</t>
  </si>
  <si>
    <t>V 2  -   spínač sériový vestavný 250V,10A,50Hz, bílá</t>
  </si>
  <si>
    <t>2-01</t>
  </si>
  <si>
    <t>Elektroinstalační krabice pod omítku KU 68-103</t>
  </si>
  <si>
    <t>98</t>
  </si>
  <si>
    <t>3-01</t>
  </si>
  <si>
    <t>Kabel CYKY J 3x1,5 pevně uložený včetně dodávky kabelu</t>
  </si>
  <si>
    <t>99</t>
  </si>
  <si>
    <t>4-E1</t>
  </si>
  <si>
    <t>Svítidlo LED - 3*32W, 230V, 50Hz</t>
  </si>
  <si>
    <t>100</t>
  </si>
  <si>
    <t>4-E2</t>
  </si>
  <si>
    <t>Svítidlo LED chodby - 2*32W, 230V, 50Hz</t>
  </si>
  <si>
    <t>101</t>
  </si>
  <si>
    <t>4-E3</t>
  </si>
  <si>
    <t>Svítidlo LED sklad - 1*18W, 230V, 50Hz</t>
  </si>
  <si>
    <t>102</t>
  </si>
  <si>
    <t>4-E4</t>
  </si>
  <si>
    <t>Svítidlo LED kuchyňská linka - 230V, 50Hz</t>
  </si>
  <si>
    <t>103</t>
  </si>
  <si>
    <t>4-E5</t>
  </si>
  <si>
    <t>Svítidlo LED - 230V, 50Hz</t>
  </si>
  <si>
    <t>104</t>
  </si>
  <si>
    <t>4-E6</t>
  </si>
  <si>
    <t>Svítidlo LED - 39,7W, 230V, 50Hz</t>
  </si>
  <si>
    <t>105</t>
  </si>
  <si>
    <t>4-E7</t>
  </si>
  <si>
    <t>Svítidlo LED - 4 x 24W, 230V, 50Hz</t>
  </si>
  <si>
    <t>106</t>
  </si>
  <si>
    <t>4-E8</t>
  </si>
  <si>
    <t>Svítidlo LED - 53W, 230V, 50Hz</t>
  </si>
  <si>
    <t>107</t>
  </si>
  <si>
    <t>4-E9</t>
  </si>
  <si>
    <t>Svítidlo LED - 35W, 230V, 50Hz</t>
  </si>
  <si>
    <t>108</t>
  </si>
  <si>
    <t>4-03</t>
  </si>
  <si>
    <t>Montáž svítidel přisazených</t>
  </si>
  <si>
    <t>109</t>
  </si>
  <si>
    <t>5-01</t>
  </si>
  <si>
    <t>plastová rozvodnice pod omítku, včetně přístrojového  vybavení a vnitřního propojení</t>
  </si>
  <si>
    <t>110</t>
  </si>
  <si>
    <t>7-01</t>
  </si>
  <si>
    <t>Revize vnitřní elektroinstalace</t>
  </si>
  <si>
    <t>111</t>
  </si>
  <si>
    <t>9-01</t>
  </si>
  <si>
    <t>Vysekání drážek, krabic</t>
  </si>
  <si>
    <t>soubor</t>
  </si>
  <si>
    <t>E</t>
  </si>
  <si>
    <t>Elektroinstalace</t>
  </si>
  <si>
    <t>Okno balkón. plastové 1200x2230 mm, otevíraví, sklápěcí, barva dle výběru investora</t>
  </si>
  <si>
    <t>Okno balkón. plastové 1200x2800 mm, otevíraví, sklápěcí, barva dle výběru investora</t>
  </si>
  <si>
    <t>Okno plastové, alt. dřevěné 1200x1600 mm, otevíravé, sklápěcí, barva dle výběru investora</t>
  </si>
  <si>
    <t>Okno plastové, alt. dřevěné 1200x2050 mm, otevíravé, sklápěcí, barva dle výběru investora</t>
  </si>
  <si>
    <t>Okno plastové, alt. dřevěné 950x1600 mm, otevíravé, sklápěcí, barva dle výběru investora</t>
  </si>
  <si>
    <t>Okno plastové, alt. dřevěné 1200x1500 mm, otevíravé, sklápěcí, barva dle výběru investora</t>
  </si>
  <si>
    <t>Okno plastové, alt. dřevěné 1200x2000 mm, otevíravé, sklápěcí, barva dle výběru investora</t>
  </si>
  <si>
    <t>Okno plastové, alt. dřevěné 1200x550 mm, otevíravé, sklápěcí, barva dle výběru investora</t>
  </si>
  <si>
    <t>Okno plastové, alt. dřevěné 1200x1800 mm, otevíravé, sklápěcí, barva dle výběru investora</t>
  </si>
  <si>
    <t>Okno plastové, alt. dřevěné 650x800 mm, otevíravé, sklápěcí, barva dle výběru investora</t>
  </si>
  <si>
    <t>Okno balkón. plastové, alt. dřevěné 1200x2000 mm, otevíraví, sklápěcí, barva dle výběru investora</t>
  </si>
  <si>
    <t>Okno plastové, alt. dřevěné 900x1800 mm, otevíravé, sklápěcí, barva dle výběru investora</t>
  </si>
  <si>
    <t>plastové, alt. dřevěné dveře sestava 3670x2320 mm, otevíravé, barva dle výběru investora</t>
  </si>
  <si>
    <t>plastové, alt. dřevěné dveře sestava, 2x dveře 3670x2320 mm, otevíravé, barva dle výběru investora</t>
  </si>
  <si>
    <t>Dveře plastové, alt. dřevěné 1000x1970 mm, barva dle výběru investora</t>
  </si>
  <si>
    <t>Dveře plastové, alt. dřevěné 1450x2250 mm, barva dle výběru investora</t>
  </si>
  <si>
    <t>Dveře plastové, alt. dřevěné 900x1970 mm, barva dle výběru investora</t>
  </si>
  <si>
    <t>Montáž plastových, alt. dřevěných oken, dveří</t>
  </si>
  <si>
    <t>Doprava plastových, alt. dřevěných oken, dveří včetně nakládkky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</si>
</sst>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50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10"/>
      <color indexed="58"/>
      <name val="Arial"/>
      <family val="0"/>
    </font>
    <font>
      <i/>
      <sz val="10"/>
      <color indexed="60"/>
      <name val="Arial"/>
      <family val="0"/>
    </font>
    <font>
      <i/>
      <sz val="10"/>
      <color indexed="59"/>
      <name val="Arial"/>
      <family val="0"/>
    </font>
    <font>
      <i/>
      <sz val="10"/>
      <color indexed="63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6" fillId="20" borderId="0" applyNumberFormat="0" applyBorder="0" applyAlignment="0" applyProtection="0"/>
    <xf numFmtId="0" fontId="37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72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top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right" vertical="top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12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4" fillId="34" borderId="28" xfId="0" applyNumberFormat="1" applyFont="1" applyFill="1" applyBorder="1" applyAlignment="1" applyProtection="1">
      <alignment horizontal="center" vertical="center"/>
      <protection/>
    </xf>
    <xf numFmtId="49" fontId="15" fillId="0" borderId="29" xfId="0" applyNumberFormat="1" applyFont="1" applyFill="1" applyBorder="1" applyAlignment="1" applyProtection="1">
      <alignment horizontal="left" vertical="center"/>
      <protection/>
    </xf>
    <xf numFmtId="49" fontId="15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16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4" fontId="16" fillId="0" borderId="28" xfId="0" applyNumberFormat="1" applyFont="1" applyFill="1" applyBorder="1" applyAlignment="1" applyProtection="1">
      <alignment horizontal="right" vertical="center"/>
      <protection/>
    </xf>
    <xf numFmtId="49" fontId="16" fillId="0" borderId="28" xfId="0" applyNumberFormat="1" applyFont="1" applyFill="1" applyBorder="1" applyAlignment="1" applyProtection="1">
      <alignment horizontal="right" vertical="center"/>
      <protection/>
    </xf>
    <xf numFmtId="4" fontId="16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4" fontId="15" fillId="34" borderId="36" xfId="0" applyNumberFormat="1" applyFont="1" applyFill="1" applyBorder="1" applyAlignment="1" applyProtection="1">
      <alignment horizontal="right"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0" fontId="1" fillId="0" borderId="38" xfId="0" applyNumberFormat="1" applyFont="1" applyFill="1" applyBorder="1" applyAlignment="1" applyProtection="1">
      <alignment vertical="center"/>
      <protection/>
    </xf>
    <xf numFmtId="49" fontId="3" fillId="0" borderId="39" xfId="0" applyNumberFormat="1" applyFont="1" applyFill="1" applyBorder="1" applyAlignment="1" applyProtection="1">
      <alignment horizontal="right" vertical="center"/>
      <protection/>
    </xf>
    <xf numFmtId="4" fontId="1" fillId="0" borderId="28" xfId="0" applyNumberFormat="1" applyFont="1" applyFill="1" applyBorder="1" applyAlignment="1" applyProtection="1">
      <alignment horizontal="right" vertical="center"/>
      <protection/>
    </xf>
    <xf numFmtId="4" fontId="1" fillId="0" borderId="20" xfId="0" applyNumberFormat="1" applyFont="1" applyFill="1" applyBorder="1" applyAlignment="1" applyProtection="1">
      <alignment horizontal="right" vertical="center"/>
      <protection/>
    </xf>
    <xf numFmtId="49" fontId="3" fillId="0" borderId="40" xfId="0" applyNumberFormat="1" applyFont="1" applyFill="1" applyBorder="1" applyAlignment="1" applyProtection="1">
      <alignment horizontal="left" vertical="center"/>
      <protection/>
    </xf>
    <xf numFmtId="49" fontId="1" fillId="0" borderId="28" xfId="0" applyNumberFormat="1" applyFont="1" applyFill="1" applyBorder="1" applyAlignment="1" applyProtection="1">
      <alignment horizontal="left" vertical="center"/>
      <protection/>
    </xf>
    <xf numFmtId="49" fontId="1" fillId="0" borderId="20" xfId="0" applyNumberFormat="1" applyFont="1" applyFill="1" applyBorder="1" applyAlignment="1" applyProtection="1">
      <alignment horizontal="left" vertical="center"/>
      <protection/>
    </xf>
    <xf numFmtId="49" fontId="3" fillId="0" borderId="40" xfId="0" applyNumberFormat="1" applyFont="1" applyFill="1" applyBorder="1" applyAlignment="1" applyProtection="1">
      <alignment horizontal="right" vertical="center"/>
      <protection/>
    </xf>
    <xf numFmtId="4" fontId="3" fillId="0" borderId="40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4" fontId="5" fillId="0" borderId="13" xfId="0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49" fontId="3" fillId="0" borderId="44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49" fontId="3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47" xfId="0" applyNumberFormat="1" applyFont="1" applyFill="1" applyBorder="1" applyAlignment="1" applyProtection="1">
      <alignment horizontal="center" vertical="center"/>
      <protection/>
    </xf>
    <xf numFmtId="49" fontId="3" fillId="0" borderId="42" xfId="0" applyNumberFormat="1" applyFont="1" applyFill="1" applyBorder="1" applyAlignment="1" applyProtection="1">
      <alignment horizontal="left" vertical="center"/>
      <protection/>
    </xf>
    <xf numFmtId="0" fontId="3" fillId="0" borderId="38" xfId="0" applyNumberFormat="1" applyFont="1" applyFill="1" applyBorder="1" applyAlignment="1" applyProtection="1">
      <alignment horizontal="left" vertical="center"/>
      <protection/>
    </xf>
    <xf numFmtId="0" fontId="3" fillId="0" borderId="43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0" fontId="8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48" xfId="0" applyNumberFormat="1" applyFont="1" applyFill="1" applyBorder="1" applyAlignment="1" applyProtection="1">
      <alignment horizontal="left" vertical="center"/>
      <protection/>
    </xf>
    <xf numFmtId="0" fontId="3" fillId="0" borderId="49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32" xfId="0" applyNumberFormat="1" applyFont="1" applyFill="1" applyBorder="1" applyAlignment="1" applyProtection="1">
      <alignment horizontal="left" vertical="center"/>
      <protection/>
    </xf>
    <xf numFmtId="49" fontId="1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 wrapText="1"/>
      <protection/>
    </xf>
    <xf numFmtId="0" fontId="1" fillId="0" borderId="50" xfId="0" applyNumberFormat="1" applyFont="1" applyFill="1" applyBorder="1" applyAlignment="1" applyProtection="1">
      <alignment horizontal="left" vertical="center"/>
      <protection/>
    </xf>
    <xf numFmtId="49" fontId="13" fillId="0" borderId="51" xfId="0" applyNumberFormat="1" applyFont="1" applyFill="1" applyBorder="1" applyAlignment="1" applyProtection="1">
      <alignment horizontal="center" vertical="center"/>
      <protection/>
    </xf>
    <xf numFmtId="0" fontId="13" fillId="0" borderId="51" xfId="0" applyNumberFormat="1" applyFont="1" applyFill="1" applyBorder="1" applyAlignment="1" applyProtection="1">
      <alignment horizontal="center" vertical="center"/>
      <protection/>
    </xf>
    <xf numFmtId="49" fontId="17" fillId="0" borderId="52" xfId="0" applyNumberFormat="1" applyFont="1" applyFill="1" applyBorder="1" applyAlignment="1" applyProtection="1">
      <alignment horizontal="left" vertical="center"/>
      <protection/>
    </xf>
    <xf numFmtId="0" fontId="17" fillId="0" borderId="36" xfId="0" applyNumberFormat="1" applyFont="1" applyFill="1" applyBorder="1" applyAlignment="1" applyProtection="1">
      <alignment horizontal="left" vertical="center"/>
      <protection/>
    </xf>
    <xf numFmtId="49" fontId="16" fillId="0" borderId="52" xfId="0" applyNumberFormat="1" applyFont="1" applyFill="1" applyBorder="1" applyAlignment="1" applyProtection="1">
      <alignment horizontal="left" vertical="center"/>
      <protection/>
    </xf>
    <xf numFmtId="0" fontId="16" fillId="0" borderId="36" xfId="0" applyNumberFormat="1" applyFont="1" applyFill="1" applyBorder="1" applyAlignment="1" applyProtection="1">
      <alignment horizontal="left" vertical="center"/>
      <protection/>
    </xf>
    <xf numFmtId="49" fontId="15" fillId="0" borderId="52" xfId="0" applyNumberFormat="1" applyFont="1" applyFill="1" applyBorder="1" applyAlignment="1" applyProtection="1">
      <alignment horizontal="left" vertical="center"/>
      <protection/>
    </xf>
    <xf numFmtId="0" fontId="15" fillId="0" borderId="36" xfId="0" applyNumberFormat="1" applyFont="1" applyFill="1" applyBorder="1" applyAlignment="1" applyProtection="1">
      <alignment horizontal="left" vertical="center"/>
      <protection/>
    </xf>
    <xf numFmtId="49" fontId="15" fillId="34" borderId="52" xfId="0" applyNumberFormat="1" applyFont="1" applyFill="1" applyBorder="1" applyAlignment="1" applyProtection="1">
      <alignment horizontal="left" vertical="center"/>
      <protection/>
    </xf>
    <xf numFmtId="0" fontId="15" fillId="34" borderId="51" xfId="0" applyNumberFormat="1" applyFont="1" applyFill="1" applyBorder="1" applyAlignment="1" applyProtection="1">
      <alignment horizontal="left" vertical="center"/>
      <protection/>
    </xf>
    <xf numFmtId="49" fontId="16" fillId="0" borderId="53" xfId="0" applyNumberFormat="1" applyFont="1" applyFill="1" applyBorder="1" applyAlignment="1" applyProtection="1">
      <alignment horizontal="left" vertical="center"/>
      <protection/>
    </xf>
    <xf numFmtId="0" fontId="16" fillId="0" borderId="12" xfId="0" applyNumberFormat="1" applyFont="1" applyFill="1" applyBorder="1" applyAlignment="1" applyProtection="1">
      <alignment horizontal="left" vertical="center"/>
      <protection/>
    </xf>
    <xf numFmtId="0" fontId="16" fillId="0" borderId="54" xfId="0" applyNumberFormat="1" applyFont="1" applyFill="1" applyBorder="1" applyAlignment="1" applyProtection="1">
      <alignment horizontal="left" vertical="center"/>
      <protection/>
    </xf>
    <xf numFmtId="49" fontId="16" fillId="0" borderId="25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55" xfId="0" applyNumberFormat="1" applyFont="1" applyFill="1" applyBorder="1" applyAlignment="1" applyProtection="1">
      <alignment horizontal="left" vertical="center"/>
      <protection/>
    </xf>
    <xf numFmtId="49" fontId="16" fillId="0" borderId="56" xfId="0" applyNumberFormat="1" applyFont="1" applyFill="1" applyBorder="1" applyAlignment="1" applyProtection="1">
      <alignment horizontal="left" vertical="center"/>
      <protection/>
    </xf>
    <xf numFmtId="0" fontId="16" fillId="0" borderId="38" xfId="0" applyNumberFormat="1" applyFont="1" applyFill="1" applyBorder="1" applyAlignment="1" applyProtection="1">
      <alignment horizontal="left" vertical="center"/>
      <protection/>
    </xf>
    <xf numFmtId="0" fontId="16" fillId="0" borderId="57" xfId="0" applyNumberFormat="1" applyFont="1" applyFill="1" applyBorder="1" applyAlignment="1" applyProtection="1">
      <alignment horizontal="left" vertical="center"/>
      <protection/>
    </xf>
    <xf numFmtId="49" fontId="15" fillId="0" borderId="38" xfId="0" applyNumberFormat="1" applyFont="1" applyFill="1" applyBorder="1" applyAlignment="1" applyProtection="1">
      <alignment horizontal="left" vertical="center"/>
      <protection/>
    </xf>
    <xf numFmtId="0" fontId="15" fillId="0" borderId="38" xfId="0" applyNumberFormat="1" applyFont="1" applyFill="1" applyBorder="1" applyAlignment="1" applyProtection="1">
      <alignment horizontal="left" vertical="center"/>
      <protection/>
    </xf>
    <xf numFmtId="49" fontId="3" fillId="0" borderId="45" xfId="0" applyNumberFormat="1" applyFont="1" applyFill="1" applyBorder="1" applyAlignment="1" applyProtection="1">
      <alignment horizontal="left" vertical="center"/>
      <protection/>
    </xf>
    <xf numFmtId="0" fontId="3" fillId="0" borderId="46" xfId="0" applyNumberFormat="1" applyFont="1" applyFill="1" applyBorder="1" applyAlignment="1" applyProtection="1">
      <alignment horizontal="left" vertical="center"/>
      <protection/>
    </xf>
    <xf numFmtId="0" fontId="3" fillId="0" borderId="47" xfId="0" applyNumberFormat="1" applyFont="1" applyFill="1" applyBorder="1" applyAlignment="1" applyProtection="1">
      <alignment horizontal="left" vertical="center"/>
      <protection/>
    </xf>
    <xf numFmtId="49" fontId="1" fillId="0" borderId="52" xfId="0" applyNumberFormat="1" applyFont="1" applyFill="1" applyBorder="1" applyAlignment="1" applyProtection="1">
      <alignment horizontal="left" vertical="center"/>
      <protection/>
    </xf>
    <xf numFmtId="0" fontId="1" fillId="0" borderId="51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49" fontId="1" fillId="0" borderId="58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59" xfId="0" applyNumberFormat="1" applyFont="1" applyFill="1" applyBorder="1" applyAlignment="1" applyProtection="1">
      <alignment horizontal="left" vertical="center"/>
      <protection/>
    </xf>
    <xf numFmtId="49" fontId="3" fillId="0" borderId="60" xfId="0" applyNumberFormat="1" applyFont="1" applyFill="1" applyBorder="1" applyAlignment="1" applyProtection="1">
      <alignment horizontal="left" vertical="center"/>
      <protection/>
    </xf>
    <xf numFmtId="0" fontId="3" fillId="0" borderId="37" xfId="0" applyNumberFormat="1" applyFont="1" applyFill="1" applyBorder="1" applyAlignment="1" applyProtection="1">
      <alignment horizontal="left" vertical="center"/>
      <protection/>
    </xf>
    <xf numFmtId="0" fontId="3" fillId="0" borderId="61" xfId="0" applyNumberFormat="1" applyFont="1" applyFill="1" applyBorder="1" applyAlignment="1" applyProtection="1">
      <alignment horizontal="left" vertical="center"/>
      <protection/>
    </xf>
    <xf numFmtId="49" fontId="15" fillId="0" borderId="60" xfId="0" applyNumberFormat="1" applyFont="1" applyFill="1" applyBorder="1" applyAlignment="1" applyProtection="1">
      <alignment horizontal="left" vertical="center"/>
      <protection/>
    </xf>
    <xf numFmtId="0" fontId="15" fillId="0" borderId="37" xfId="0" applyNumberFormat="1" applyFont="1" applyFill="1" applyBorder="1" applyAlignment="1" applyProtection="1">
      <alignment horizontal="left" vertical="center"/>
      <protection/>
    </xf>
    <xf numFmtId="0" fontId="15" fillId="0" borderId="61" xfId="0" applyNumberFormat="1" applyFont="1" applyFill="1" applyBorder="1" applyAlignment="1" applyProtection="1">
      <alignment horizontal="left" vertical="center"/>
      <protection/>
    </xf>
    <xf numFmtId="4" fontId="15" fillId="0" borderId="60" xfId="0" applyNumberFormat="1" applyFont="1" applyFill="1" applyBorder="1" applyAlignment="1" applyProtection="1">
      <alignment horizontal="right" vertical="center"/>
      <protection/>
    </xf>
    <xf numFmtId="0" fontId="15" fillId="0" borderId="37" xfId="0" applyNumberFormat="1" applyFont="1" applyFill="1" applyBorder="1" applyAlignment="1" applyProtection="1">
      <alignment horizontal="right" vertical="center"/>
      <protection/>
    </xf>
    <xf numFmtId="0" fontId="15" fillId="0" borderId="61" xfId="0" applyNumberFormat="1" applyFont="1" applyFill="1" applyBorder="1" applyAlignment="1" applyProtection="1">
      <alignment horizontal="righ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8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VESTICNI%20ZAMERY\RED%20POINT\SOUT&#282;&#381;\PROJEKTANTSK&#221;%20ROZPO&#268;ET\RED%20POINT%20-%20zateplen&#237;%20-%20kop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vební rozpočet"/>
      <sheetName val="Stavební rozpočet - součet"/>
      <sheetName val="Krycí list rozpočtu"/>
      <sheetName val="VORN"/>
    </sheetNames>
    <sheetDataSet>
      <sheetData sheetId="0">
        <row r="168">
          <cell r="G168">
            <v>0</v>
          </cell>
          <cell r="H16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97"/>
  <sheetViews>
    <sheetView zoomScale="85" zoomScaleNormal="85" zoomScalePageLayoutView="0" workbookViewId="0" topLeftCell="A1">
      <pane ySplit="11" topLeftCell="A168" activePane="bottomLeft" state="frozen"/>
      <selection pane="topLeft" activeCell="A1" sqref="A1"/>
      <selection pane="bottomLeft" activeCell="H28" sqref="H28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57.421875" style="0" customWidth="1"/>
    <col min="4" max="5" width="11.57421875" style="0" customWidth="1"/>
    <col min="6" max="6" width="4.28125" style="0" customWidth="1"/>
    <col min="7" max="7" width="12.8515625" style="0" customWidth="1"/>
    <col min="8" max="8" width="12.00390625" style="0" customWidth="1"/>
    <col min="9" max="11" width="14.28125" style="0" customWidth="1"/>
    <col min="12" max="12" width="11.7109375" style="0" hidden="1" customWidth="1"/>
    <col min="13" max="24" width="11.57421875" style="0" customWidth="1"/>
    <col min="25" max="62" width="12.140625" style="0" hidden="1" customWidth="1"/>
  </cols>
  <sheetData>
    <row r="1" spans="1:12" ht="72.75" customHeight="1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3" ht="12.75">
      <c r="A2" s="79" t="s">
        <v>1</v>
      </c>
      <c r="B2" s="80"/>
      <c r="C2" s="83" t="s">
        <v>208</v>
      </c>
      <c r="D2" s="85" t="s">
        <v>320</v>
      </c>
      <c r="E2" s="80"/>
      <c r="F2" s="85" t="s">
        <v>6</v>
      </c>
      <c r="G2" s="80"/>
      <c r="H2" s="86" t="s">
        <v>333</v>
      </c>
      <c r="I2" s="86" t="s">
        <v>339</v>
      </c>
      <c r="J2" s="80"/>
      <c r="K2" s="80"/>
      <c r="L2" s="87"/>
      <c r="M2" s="34"/>
    </row>
    <row r="3" spans="1:13" ht="12.75">
      <c r="A3" s="81"/>
      <c r="B3" s="82"/>
      <c r="C3" s="84"/>
      <c r="D3" s="82"/>
      <c r="E3" s="82"/>
      <c r="F3" s="82"/>
      <c r="G3" s="82"/>
      <c r="H3" s="82"/>
      <c r="I3" s="82"/>
      <c r="J3" s="82"/>
      <c r="K3" s="82"/>
      <c r="L3" s="88"/>
      <c r="M3" s="34"/>
    </row>
    <row r="4" spans="1:13" ht="12.75">
      <c r="A4" s="89" t="s">
        <v>2</v>
      </c>
      <c r="B4" s="82"/>
      <c r="C4" s="90" t="s">
        <v>209</v>
      </c>
      <c r="D4" s="91" t="s">
        <v>321</v>
      </c>
      <c r="E4" s="82"/>
      <c r="F4" s="91"/>
      <c r="G4" s="82"/>
      <c r="H4" s="90" t="s">
        <v>334</v>
      </c>
      <c r="I4" s="91" t="s">
        <v>340</v>
      </c>
      <c r="J4" s="82"/>
      <c r="K4" s="82"/>
      <c r="L4" s="88"/>
      <c r="M4" s="34"/>
    </row>
    <row r="5" spans="1:13" ht="12.75">
      <c r="A5" s="81"/>
      <c r="B5" s="82"/>
      <c r="C5" s="82"/>
      <c r="D5" s="82"/>
      <c r="E5" s="82"/>
      <c r="F5" s="82"/>
      <c r="G5" s="82"/>
      <c r="H5" s="82"/>
      <c r="I5" s="82"/>
      <c r="J5" s="82"/>
      <c r="K5" s="82"/>
      <c r="L5" s="88"/>
      <c r="M5" s="34"/>
    </row>
    <row r="6" spans="1:13" ht="12.75">
      <c r="A6" s="89" t="s">
        <v>3</v>
      </c>
      <c r="B6" s="82"/>
      <c r="C6" s="90" t="s">
        <v>210</v>
      </c>
      <c r="D6" s="91" t="s">
        <v>322</v>
      </c>
      <c r="E6" s="82"/>
      <c r="F6" s="91" t="s">
        <v>6</v>
      </c>
      <c r="G6" s="82"/>
      <c r="H6" s="90" t="s">
        <v>335</v>
      </c>
      <c r="I6" s="90"/>
      <c r="J6" s="82"/>
      <c r="K6" s="82"/>
      <c r="L6" s="88"/>
      <c r="M6" s="34"/>
    </row>
    <row r="7" spans="1:13" ht="12.75">
      <c r="A7" s="81"/>
      <c r="B7" s="82"/>
      <c r="C7" s="82"/>
      <c r="D7" s="82"/>
      <c r="E7" s="82"/>
      <c r="F7" s="82"/>
      <c r="G7" s="82"/>
      <c r="H7" s="82"/>
      <c r="I7" s="82"/>
      <c r="J7" s="82"/>
      <c r="K7" s="82"/>
      <c r="L7" s="88"/>
      <c r="M7" s="34"/>
    </row>
    <row r="8" spans="1:13" ht="12.75">
      <c r="A8" s="89" t="s">
        <v>4</v>
      </c>
      <c r="B8" s="82"/>
      <c r="C8" s="90" t="s">
        <v>6</v>
      </c>
      <c r="D8" s="91" t="s">
        <v>323</v>
      </c>
      <c r="E8" s="82"/>
      <c r="F8" s="91"/>
      <c r="G8" s="82"/>
      <c r="H8" s="90" t="s">
        <v>336</v>
      </c>
      <c r="I8" s="91" t="s">
        <v>340</v>
      </c>
      <c r="J8" s="82"/>
      <c r="K8" s="82"/>
      <c r="L8" s="88"/>
      <c r="M8" s="34"/>
    </row>
    <row r="9" spans="1:13" ht="12.75">
      <c r="A9" s="92"/>
      <c r="B9" s="93"/>
      <c r="C9" s="93"/>
      <c r="D9" s="93"/>
      <c r="E9" s="93"/>
      <c r="F9" s="93"/>
      <c r="G9" s="93"/>
      <c r="H9" s="93"/>
      <c r="I9" s="93"/>
      <c r="J9" s="93"/>
      <c r="K9" s="93"/>
      <c r="L9" s="94"/>
      <c r="M9" s="34"/>
    </row>
    <row r="10" spans="1:13" ht="12.75">
      <c r="A10" s="1" t="s">
        <v>5</v>
      </c>
      <c r="B10" s="10" t="s">
        <v>102</v>
      </c>
      <c r="C10" s="95" t="s">
        <v>211</v>
      </c>
      <c r="D10" s="96"/>
      <c r="E10" s="97"/>
      <c r="F10" s="10" t="s">
        <v>324</v>
      </c>
      <c r="G10" s="17" t="s">
        <v>332</v>
      </c>
      <c r="H10" s="22" t="s">
        <v>337</v>
      </c>
      <c r="I10" s="98" t="s">
        <v>341</v>
      </c>
      <c r="J10" s="99"/>
      <c r="K10" s="100"/>
      <c r="L10" s="27" t="s">
        <v>346</v>
      </c>
      <c r="M10" s="35"/>
    </row>
    <row r="11" spans="1:62" ht="12.75">
      <c r="A11" s="2" t="s">
        <v>6</v>
      </c>
      <c r="B11" s="11" t="s">
        <v>6</v>
      </c>
      <c r="C11" s="101" t="s">
        <v>212</v>
      </c>
      <c r="D11" s="102"/>
      <c r="E11" s="103"/>
      <c r="F11" s="11" t="s">
        <v>6</v>
      </c>
      <c r="G11" s="11" t="s">
        <v>6</v>
      </c>
      <c r="H11" s="23" t="s">
        <v>338</v>
      </c>
      <c r="I11" s="24" t="s">
        <v>342</v>
      </c>
      <c r="J11" s="25" t="s">
        <v>344</v>
      </c>
      <c r="K11" s="26" t="s">
        <v>345</v>
      </c>
      <c r="L11" s="28" t="s">
        <v>347</v>
      </c>
      <c r="M11" s="35"/>
      <c r="Z11" s="31" t="s">
        <v>349</v>
      </c>
      <c r="AA11" s="31" t="s">
        <v>350</v>
      </c>
      <c r="AB11" s="31" t="s">
        <v>351</v>
      </c>
      <c r="AC11" s="31" t="s">
        <v>352</v>
      </c>
      <c r="AD11" s="31" t="s">
        <v>353</v>
      </c>
      <c r="AE11" s="31" t="s">
        <v>354</v>
      </c>
      <c r="AF11" s="31" t="s">
        <v>355</v>
      </c>
      <c r="AG11" s="31" t="s">
        <v>356</v>
      </c>
      <c r="AH11" s="31" t="s">
        <v>357</v>
      </c>
      <c r="BH11" s="31" t="s">
        <v>381</v>
      </c>
      <c r="BI11" s="31" t="s">
        <v>382</v>
      </c>
      <c r="BJ11" s="31" t="s">
        <v>383</v>
      </c>
    </row>
    <row r="12" spans="1:47" ht="12.75">
      <c r="A12" s="3"/>
      <c r="B12" s="12" t="s">
        <v>37</v>
      </c>
      <c r="C12" s="104" t="s">
        <v>213</v>
      </c>
      <c r="D12" s="105"/>
      <c r="E12" s="105"/>
      <c r="F12" s="3" t="s">
        <v>6</v>
      </c>
      <c r="G12" s="3" t="s">
        <v>6</v>
      </c>
      <c r="H12" s="3" t="s">
        <v>6</v>
      </c>
      <c r="I12" s="38">
        <f>SUM(I13:I18)</f>
        <v>0</v>
      </c>
      <c r="J12" s="38">
        <f>SUM(J13:J18)</f>
        <v>0</v>
      </c>
      <c r="K12" s="38">
        <f>SUM(K13:K18)</f>
        <v>0</v>
      </c>
      <c r="L12" s="29"/>
      <c r="AI12" s="31"/>
      <c r="AS12" s="39">
        <f>SUM(AJ13:AJ18)</f>
        <v>0</v>
      </c>
      <c r="AT12" s="39">
        <f>SUM(AK13:AK18)</f>
        <v>0</v>
      </c>
      <c r="AU12" s="39">
        <f>SUM(AL13:AL18)</f>
        <v>0</v>
      </c>
    </row>
    <row r="13" spans="1:62" ht="12.75">
      <c r="A13" s="4" t="s">
        <v>7</v>
      </c>
      <c r="B13" s="4" t="s">
        <v>103</v>
      </c>
      <c r="C13" s="106" t="s">
        <v>214</v>
      </c>
      <c r="D13" s="107"/>
      <c r="E13" s="107"/>
      <c r="F13" s="4" t="s">
        <v>325</v>
      </c>
      <c r="G13" s="18">
        <v>13.664</v>
      </c>
      <c r="H13" s="74">
        <v>0</v>
      </c>
      <c r="I13" s="18">
        <f>G13*AO13</f>
        <v>0</v>
      </c>
      <c r="J13" s="18">
        <f>G13*AP13</f>
        <v>0</v>
      </c>
      <c r="K13" s="18">
        <f>G13*H13</f>
        <v>0</v>
      </c>
      <c r="L13" s="30" t="s">
        <v>348</v>
      </c>
      <c r="Z13" s="36">
        <f>IF(AQ13="5",BJ13,0)</f>
        <v>0</v>
      </c>
      <c r="AB13" s="36">
        <f>IF(AQ13="1",BH13,0)</f>
        <v>0</v>
      </c>
      <c r="AC13" s="36">
        <f>IF(AQ13="1",BI13,0)</f>
        <v>0</v>
      </c>
      <c r="AD13" s="36">
        <f>IF(AQ13="7",BH13,0)</f>
        <v>0</v>
      </c>
      <c r="AE13" s="36">
        <f>IF(AQ13="7",BI13,0)</f>
        <v>0</v>
      </c>
      <c r="AF13" s="36">
        <f>IF(AQ13="2",BH13,0)</f>
        <v>0</v>
      </c>
      <c r="AG13" s="36">
        <f>IF(AQ13="2",BI13,0)</f>
        <v>0</v>
      </c>
      <c r="AH13" s="36">
        <f>IF(AQ13="0",BJ13,0)</f>
        <v>0</v>
      </c>
      <c r="AI13" s="31"/>
      <c r="AJ13" s="18">
        <f>IF(AN13=0,K13,0)</f>
        <v>0</v>
      </c>
      <c r="AK13" s="18">
        <f>IF(AN13=15,K13,0)</f>
        <v>0</v>
      </c>
      <c r="AL13" s="18">
        <f>IF(AN13=21,K13,0)</f>
        <v>0</v>
      </c>
      <c r="AN13" s="36">
        <v>21</v>
      </c>
      <c r="AO13" s="36">
        <f>H13*0.597136100045148</f>
        <v>0</v>
      </c>
      <c r="AP13" s="36">
        <f>H13*(1-0.597136100045148)</f>
        <v>0</v>
      </c>
      <c r="AQ13" s="30" t="s">
        <v>7</v>
      </c>
      <c r="AV13" s="36">
        <f>AW13+AX13</f>
        <v>0</v>
      </c>
      <c r="AW13" s="36">
        <f>G13*AO13</f>
        <v>0</v>
      </c>
      <c r="AX13" s="36">
        <f>G13*AP13</f>
        <v>0</v>
      </c>
      <c r="AY13" s="37" t="s">
        <v>358</v>
      </c>
      <c r="AZ13" s="37" t="s">
        <v>375</v>
      </c>
      <c r="BA13" s="31" t="s">
        <v>380</v>
      </c>
      <c r="BC13" s="36">
        <f>AW13+AX13</f>
        <v>0</v>
      </c>
      <c r="BD13" s="36">
        <f>H13/(100-BE13)*100</f>
        <v>0</v>
      </c>
      <c r="BE13" s="36">
        <v>0</v>
      </c>
      <c r="BF13" s="36">
        <f>13</f>
        <v>13</v>
      </c>
      <c r="BH13" s="18">
        <f>G13*AO13</f>
        <v>0</v>
      </c>
      <c r="BI13" s="18">
        <f>G13*AP13</f>
        <v>0</v>
      </c>
      <c r="BJ13" s="18">
        <f>G13*H13</f>
        <v>0</v>
      </c>
    </row>
    <row r="14" spans="1:62" ht="12.75">
      <c r="A14" s="4" t="s">
        <v>8</v>
      </c>
      <c r="B14" s="4" t="s">
        <v>104</v>
      </c>
      <c r="C14" s="106" t="s">
        <v>215</v>
      </c>
      <c r="D14" s="107"/>
      <c r="E14" s="107"/>
      <c r="F14" s="4" t="s">
        <v>326</v>
      </c>
      <c r="G14" s="18">
        <v>132</v>
      </c>
      <c r="H14" s="74">
        <v>0</v>
      </c>
      <c r="I14" s="18">
        <f>G14*AO14</f>
        <v>0</v>
      </c>
      <c r="J14" s="18">
        <f>G14*AP14</f>
        <v>0</v>
      </c>
      <c r="K14" s="18">
        <f>G14*H14</f>
        <v>0</v>
      </c>
      <c r="L14" s="30" t="s">
        <v>348</v>
      </c>
      <c r="Z14" s="36">
        <f>IF(AQ14="5",BJ14,0)</f>
        <v>0</v>
      </c>
      <c r="AB14" s="36">
        <f>IF(AQ14="1",BH14,0)</f>
        <v>0</v>
      </c>
      <c r="AC14" s="36">
        <f>IF(AQ14="1",BI14,0)</f>
        <v>0</v>
      </c>
      <c r="AD14" s="36">
        <f>IF(AQ14="7",BH14,0)</f>
        <v>0</v>
      </c>
      <c r="AE14" s="36">
        <f>IF(AQ14="7",BI14,0)</f>
        <v>0</v>
      </c>
      <c r="AF14" s="36">
        <f>IF(AQ14="2",BH14,0)</f>
        <v>0</v>
      </c>
      <c r="AG14" s="36">
        <f>IF(AQ14="2",BI14,0)</f>
        <v>0</v>
      </c>
      <c r="AH14" s="36">
        <f>IF(AQ14="0",BJ14,0)</f>
        <v>0</v>
      </c>
      <c r="AI14" s="31"/>
      <c r="AJ14" s="18">
        <f>IF(AN14=0,K14,0)</f>
        <v>0</v>
      </c>
      <c r="AK14" s="18">
        <f>IF(AN14=15,K14,0)</f>
        <v>0</v>
      </c>
      <c r="AL14" s="18">
        <f>IF(AN14=21,K14,0)</f>
        <v>0</v>
      </c>
      <c r="AN14" s="36">
        <v>21</v>
      </c>
      <c r="AO14" s="36">
        <f>H14*0.49391447368421</f>
        <v>0</v>
      </c>
      <c r="AP14" s="36">
        <f>H14*(1-0.49391447368421)</f>
        <v>0</v>
      </c>
      <c r="AQ14" s="30" t="s">
        <v>7</v>
      </c>
      <c r="AV14" s="36">
        <f>AW14+AX14</f>
        <v>0</v>
      </c>
      <c r="AW14" s="36">
        <f>G14*AO14</f>
        <v>0</v>
      </c>
      <c r="AX14" s="36">
        <f>G14*AP14</f>
        <v>0</v>
      </c>
      <c r="AY14" s="37" t="s">
        <v>358</v>
      </c>
      <c r="AZ14" s="37" t="s">
        <v>375</v>
      </c>
      <c r="BA14" s="31" t="s">
        <v>380</v>
      </c>
      <c r="BC14" s="36">
        <f>AW14+AX14</f>
        <v>0</v>
      </c>
      <c r="BD14" s="36">
        <f>H14/(100-BE14)*100</f>
        <v>0</v>
      </c>
      <c r="BE14" s="36">
        <v>0</v>
      </c>
      <c r="BF14" s="36">
        <f>14</f>
        <v>14</v>
      </c>
      <c r="BH14" s="18">
        <f>G14*AO14</f>
        <v>0</v>
      </c>
      <c r="BI14" s="18">
        <f>G14*AP14</f>
        <v>0</v>
      </c>
      <c r="BJ14" s="18">
        <f>G14*H14</f>
        <v>0</v>
      </c>
    </row>
    <row r="15" spans="2:12" ht="12.75">
      <c r="B15" s="13" t="s">
        <v>105</v>
      </c>
      <c r="C15" s="108" t="s">
        <v>216</v>
      </c>
      <c r="D15" s="109"/>
      <c r="E15" s="109"/>
      <c r="F15" s="109"/>
      <c r="G15" s="109"/>
      <c r="H15" s="109"/>
      <c r="I15" s="109"/>
      <c r="J15" s="109"/>
      <c r="K15" s="109"/>
      <c r="L15" s="109"/>
    </row>
    <row r="16" spans="1:62" ht="12.75">
      <c r="A16" s="4" t="s">
        <v>9</v>
      </c>
      <c r="B16" s="4" t="s">
        <v>106</v>
      </c>
      <c r="C16" s="106" t="s">
        <v>217</v>
      </c>
      <c r="D16" s="107"/>
      <c r="E16" s="107"/>
      <c r="F16" s="4" t="s">
        <v>326</v>
      </c>
      <c r="G16" s="18">
        <v>4</v>
      </c>
      <c r="H16" s="74">
        <v>0</v>
      </c>
      <c r="I16" s="18">
        <f>G16*AO16</f>
        <v>0</v>
      </c>
      <c r="J16" s="18">
        <f>G16*AP16</f>
        <v>0</v>
      </c>
      <c r="K16" s="18">
        <f>G16*H16</f>
        <v>0</v>
      </c>
      <c r="L16" s="30" t="s">
        <v>348</v>
      </c>
      <c r="Z16" s="36">
        <f>IF(AQ16="5",BJ16,0)</f>
        <v>0</v>
      </c>
      <c r="AB16" s="36">
        <f>IF(AQ16="1",BH16,0)</f>
        <v>0</v>
      </c>
      <c r="AC16" s="36">
        <f>IF(AQ16="1",BI16,0)</f>
        <v>0</v>
      </c>
      <c r="AD16" s="36">
        <f>IF(AQ16="7",BH16,0)</f>
        <v>0</v>
      </c>
      <c r="AE16" s="36">
        <f>IF(AQ16="7",BI16,0)</f>
        <v>0</v>
      </c>
      <c r="AF16" s="36">
        <f>IF(AQ16="2",BH16,0)</f>
        <v>0</v>
      </c>
      <c r="AG16" s="36">
        <f>IF(AQ16="2",BI16,0)</f>
        <v>0</v>
      </c>
      <c r="AH16" s="36">
        <f>IF(AQ16="0",BJ16,0)</f>
        <v>0</v>
      </c>
      <c r="AI16" s="31"/>
      <c r="AJ16" s="18">
        <f>IF(AN16=0,K16,0)</f>
        <v>0</v>
      </c>
      <c r="AK16" s="18">
        <f>IF(AN16=15,K16,0)</f>
        <v>0</v>
      </c>
      <c r="AL16" s="18">
        <f>IF(AN16=21,K16,0)</f>
        <v>0</v>
      </c>
      <c r="AN16" s="36">
        <v>21</v>
      </c>
      <c r="AO16" s="36">
        <f>H16*0.594072304852893</f>
        <v>0</v>
      </c>
      <c r="AP16" s="36">
        <f>H16*(1-0.594072304852893)</f>
        <v>0</v>
      </c>
      <c r="AQ16" s="30" t="s">
        <v>7</v>
      </c>
      <c r="AV16" s="36">
        <f>AW16+AX16</f>
        <v>0</v>
      </c>
      <c r="AW16" s="36">
        <f>G16*AO16</f>
        <v>0</v>
      </c>
      <c r="AX16" s="36">
        <f>G16*AP16</f>
        <v>0</v>
      </c>
      <c r="AY16" s="37" t="s">
        <v>358</v>
      </c>
      <c r="AZ16" s="37" t="s">
        <v>375</v>
      </c>
      <c r="BA16" s="31" t="s">
        <v>380</v>
      </c>
      <c r="BC16" s="36">
        <f>AW16+AX16</f>
        <v>0</v>
      </c>
      <c r="BD16" s="36">
        <f>H16/(100-BE16)*100</f>
        <v>0</v>
      </c>
      <c r="BE16" s="36">
        <v>0</v>
      </c>
      <c r="BF16" s="36">
        <f>16</f>
        <v>16</v>
      </c>
      <c r="BH16" s="18">
        <f>G16*AO16</f>
        <v>0</v>
      </c>
      <c r="BI16" s="18">
        <f>G16*AP16</f>
        <v>0</v>
      </c>
      <c r="BJ16" s="18">
        <f>G16*H16</f>
        <v>0</v>
      </c>
    </row>
    <row r="17" spans="2:12" ht="12.75">
      <c r="B17" s="13" t="s">
        <v>105</v>
      </c>
      <c r="C17" s="108" t="s">
        <v>218</v>
      </c>
      <c r="D17" s="109"/>
      <c r="E17" s="109"/>
      <c r="F17" s="109"/>
      <c r="G17" s="109"/>
      <c r="H17" s="109"/>
      <c r="I17" s="109"/>
      <c r="J17" s="109"/>
      <c r="K17" s="109"/>
      <c r="L17" s="109"/>
    </row>
    <row r="18" spans="1:62" ht="12.75">
      <c r="A18" s="4" t="s">
        <v>10</v>
      </c>
      <c r="B18" s="4" t="s">
        <v>107</v>
      </c>
      <c r="C18" s="106" t="s">
        <v>219</v>
      </c>
      <c r="D18" s="107"/>
      <c r="E18" s="107"/>
      <c r="F18" s="4" t="s">
        <v>327</v>
      </c>
      <c r="G18" s="18">
        <v>4.865</v>
      </c>
      <c r="H18" s="74">
        <v>0</v>
      </c>
      <c r="I18" s="18">
        <f>G18*AO18</f>
        <v>0</v>
      </c>
      <c r="J18" s="18">
        <f>G18*AP18</f>
        <v>0</v>
      </c>
      <c r="K18" s="18">
        <f>G18*H18</f>
        <v>0</v>
      </c>
      <c r="L18" s="30" t="s">
        <v>348</v>
      </c>
      <c r="Z18" s="36">
        <f>IF(AQ18="5",BJ18,0)</f>
        <v>0</v>
      </c>
      <c r="AB18" s="36">
        <f>IF(AQ18="1",BH18,0)</f>
        <v>0</v>
      </c>
      <c r="AC18" s="36">
        <f>IF(AQ18="1",BI18,0)</f>
        <v>0</v>
      </c>
      <c r="AD18" s="36">
        <f>IF(AQ18="7",BH18,0)</f>
        <v>0</v>
      </c>
      <c r="AE18" s="36">
        <f>IF(AQ18="7",BI18,0)</f>
        <v>0</v>
      </c>
      <c r="AF18" s="36">
        <f>IF(AQ18="2",BH18,0)</f>
        <v>0</v>
      </c>
      <c r="AG18" s="36">
        <f>IF(AQ18="2",BI18,0)</f>
        <v>0</v>
      </c>
      <c r="AH18" s="36">
        <f>IF(AQ18="0",BJ18,0)</f>
        <v>0</v>
      </c>
      <c r="AI18" s="31"/>
      <c r="AJ18" s="18">
        <f>IF(AN18=0,K18,0)</f>
        <v>0</v>
      </c>
      <c r="AK18" s="18">
        <f>IF(AN18=15,K18,0)</f>
        <v>0</v>
      </c>
      <c r="AL18" s="18">
        <f>IF(AN18=21,K18,0)</f>
        <v>0</v>
      </c>
      <c r="AN18" s="36">
        <v>21</v>
      </c>
      <c r="AO18" s="36">
        <f>H18*0.764690476239137</f>
        <v>0</v>
      </c>
      <c r="AP18" s="36">
        <f>H18*(1-0.764690476239137)</f>
        <v>0</v>
      </c>
      <c r="AQ18" s="30" t="s">
        <v>7</v>
      </c>
      <c r="AV18" s="36">
        <f>AW18+AX18</f>
        <v>0</v>
      </c>
      <c r="AW18" s="36">
        <f>G18*AO18</f>
        <v>0</v>
      </c>
      <c r="AX18" s="36">
        <f>G18*AP18</f>
        <v>0</v>
      </c>
      <c r="AY18" s="37" t="s">
        <v>358</v>
      </c>
      <c r="AZ18" s="37" t="s">
        <v>375</v>
      </c>
      <c r="BA18" s="31" t="s">
        <v>380</v>
      </c>
      <c r="BC18" s="36">
        <f>AW18+AX18</f>
        <v>0</v>
      </c>
      <c r="BD18" s="36">
        <f>H18/(100-BE18)*100</f>
        <v>0</v>
      </c>
      <c r="BE18" s="36">
        <v>0</v>
      </c>
      <c r="BF18" s="36">
        <f>18</f>
        <v>18</v>
      </c>
      <c r="BH18" s="18">
        <f>G18*AO18</f>
        <v>0</v>
      </c>
      <c r="BI18" s="18">
        <f>G18*AP18</f>
        <v>0</v>
      </c>
      <c r="BJ18" s="18">
        <f>G18*H18</f>
        <v>0</v>
      </c>
    </row>
    <row r="19" spans="2:12" ht="12.75">
      <c r="B19" s="13" t="s">
        <v>105</v>
      </c>
      <c r="C19" s="108" t="s">
        <v>220</v>
      </c>
      <c r="D19" s="109"/>
      <c r="E19" s="109"/>
      <c r="F19" s="109"/>
      <c r="G19" s="109"/>
      <c r="H19" s="109"/>
      <c r="I19" s="109"/>
      <c r="J19" s="109"/>
      <c r="K19" s="109"/>
      <c r="L19" s="109"/>
    </row>
    <row r="20" spans="1:47" ht="12.75">
      <c r="A20" s="5"/>
      <c r="B20" s="14" t="s">
        <v>66</v>
      </c>
      <c r="C20" s="110" t="s">
        <v>221</v>
      </c>
      <c r="D20" s="111"/>
      <c r="E20" s="111"/>
      <c r="F20" s="5" t="s">
        <v>6</v>
      </c>
      <c r="G20" s="5" t="s">
        <v>6</v>
      </c>
      <c r="H20" s="5" t="s">
        <v>6</v>
      </c>
      <c r="I20" s="39">
        <f>SUM(I21:I32)</f>
        <v>0</v>
      </c>
      <c r="J20" s="39">
        <f>SUM(J21:J32)</f>
        <v>0</v>
      </c>
      <c r="K20" s="39">
        <f>SUM(K21:K32)</f>
        <v>0</v>
      </c>
      <c r="L20" s="31"/>
      <c r="AI20" s="31"/>
      <c r="AS20" s="39">
        <f>SUM(AJ21:AJ32)</f>
        <v>0</v>
      </c>
      <c r="AT20" s="39">
        <f>SUM(AK21:AK32)</f>
        <v>0</v>
      </c>
      <c r="AU20" s="39">
        <f>SUM(AL21:AL32)</f>
        <v>0</v>
      </c>
    </row>
    <row r="21" spans="1:62" ht="12.75">
      <c r="A21" s="4" t="s">
        <v>11</v>
      </c>
      <c r="B21" s="4" t="s">
        <v>108</v>
      </c>
      <c r="C21" s="106" t="s">
        <v>446</v>
      </c>
      <c r="D21" s="107"/>
      <c r="E21" s="107"/>
      <c r="F21" s="4" t="s">
        <v>328</v>
      </c>
      <c r="G21" s="18">
        <v>1887.2382</v>
      </c>
      <c r="H21" s="74">
        <v>0</v>
      </c>
      <c r="I21" s="18">
        <f>G21*AO21</f>
        <v>0</v>
      </c>
      <c r="J21" s="18">
        <f>G21*AP21</f>
        <v>0</v>
      </c>
      <c r="K21" s="18">
        <f>G21*H21</f>
        <v>0</v>
      </c>
      <c r="L21" s="30" t="s">
        <v>348</v>
      </c>
      <c r="Z21" s="36">
        <f>IF(AQ21="5",BJ21,0)</f>
        <v>0</v>
      </c>
      <c r="AB21" s="36">
        <f>IF(AQ21="1",BH21,0)</f>
        <v>0</v>
      </c>
      <c r="AC21" s="36">
        <f>IF(AQ21="1",BI21,0)</f>
        <v>0</v>
      </c>
      <c r="AD21" s="36">
        <f>IF(AQ21="7",BH21,0)</f>
        <v>0</v>
      </c>
      <c r="AE21" s="36">
        <f>IF(AQ21="7",BI21,0)</f>
        <v>0</v>
      </c>
      <c r="AF21" s="36">
        <f>IF(AQ21="2",BH21,0)</f>
        <v>0</v>
      </c>
      <c r="AG21" s="36">
        <f>IF(AQ21="2",BI21,0)</f>
        <v>0</v>
      </c>
      <c r="AH21" s="36">
        <f>IF(AQ21="0",BJ21,0)</f>
        <v>0</v>
      </c>
      <c r="AI21" s="31"/>
      <c r="AJ21" s="18">
        <f>IF(AN21=0,K21,0)</f>
        <v>0</v>
      </c>
      <c r="AK21" s="18">
        <f>IF(AN21=15,K21,0)</f>
        <v>0</v>
      </c>
      <c r="AL21" s="18">
        <f>IF(AN21=21,K21,0)</f>
        <v>0</v>
      </c>
      <c r="AN21" s="36">
        <v>21</v>
      </c>
      <c r="AO21" s="36">
        <f>H21*0.548817788671041</f>
        <v>0</v>
      </c>
      <c r="AP21" s="36">
        <f>H21*(1-0.548817788671041)</f>
        <v>0</v>
      </c>
      <c r="AQ21" s="30" t="s">
        <v>7</v>
      </c>
      <c r="AV21" s="36">
        <f>AW21+AX21</f>
        <v>0</v>
      </c>
      <c r="AW21" s="36">
        <f>G21*AO21</f>
        <v>0</v>
      </c>
      <c r="AX21" s="36">
        <f>G21*AP21</f>
        <v>0</v>
      </c>
      <c r="AY21" s="37" t="s">
        <v>359</v>
      </c>
      <c r="AZ21" s="37" t="s">
        <v>376</v>
      </c>
      <c r="BA21" s="31" t="s">
        <v>380</v>
      </c>
      <c r="BC21" s="36">
        <f>AW21+AX21</f>
        <v>0</v>
      </c>
      <c r="BD21" s="36">
        <f>H21/(100-BE21)*100</f>
        <v>0</v>
      </c>
      <c r="BE21" s="36">
        <v>0</v>
      </c>
      <c r="BF21" s="36">
        <f>21</f>
        <v>21</v>
      </c>
      <c r="BH21" s="18">
        <f>G21*AO21</f>
        <v>0</v>
      </c>
      <c r="BI21" s="18">
        <f>G21*AP21</f>
        <v>0</v>
      </c>
      <c r="BJ21" s="18">
        <f>G21*H21</f>
        <v>0</v>
      </c>
    </row>
    <row r="22" spans="3:7" ht="12.75">
      <c r="C22" s="112" t="s">
        <v>222</v>
      </c>
      <c r="D22" s="113"/>
      <c r="E22" s="113"/>
      <c r="G22" s="19">
        <v>1887.2382</v>
      </c>
    </row>
    <row r="23" spans="1:62" ht="12.75">
      <c r="A23" s="4" t="s">
        <v>12</v>
      </c>
      <c r="B23" s="4" t="s">
        <v>109</v>
      </c>
      <c r="C23" s="106" t="s">
        <v>447</v>
      </c>
      <c r="D23" s="107"/>
      <c r="E23" s="107"/>
      <c r="F23" s="4" t="s">
        <v>328</v>
      </c>
      <c r="G23" s="18">
        <v>1919.0894</v>
      </c>
      <c r="H23" s="74">
        <v>0</v>
      </c>
      <c r="I23" s="18">
        <f>G23*AO23</f>
        <v>0</v>
      </c>
      <c r="J23" s="18">
        <f>G23*AP23</f>
        <v>0</v>
      </c>
      <c r="K23" s="18">
        <f>G23*H23</f>
        <v>0</v>
      </c>
      <c r="L23" s="30" t="s">
        <v>348</v>
      </c>
      <c r="Z23" s="36">
        <f>IF(AQ23="5",BJ23,0)</f>
        <v>0</v>
      </c>
      <c r="AB23" s="36">
        <f>IF(AQ23="1",BH23,0)</f>
        <v>0</v>
      </c>
      <c r="AC23" s="36">
        <f>IF(AQ23="1",BI23,0)</f>
        <v>0</v>
      </c>
      <c r="AD23" s="36">
        <f>IF(AQ23="7",BH23,0)</f>
        <v>0</v>
      </c>
      <c r="AE23" s="36">
        <f>IF(AQ23="7",BI23,0)</f>
        <v>0</v>
      </c>
      <c r="AF23" s="36">
        <f>IF(AQ23="2",BH23,0)</f>
        <v>0</v>
      </c>
      <c r="AG23" s="36">
        <f>IF(AQ23="2",BI23,0)</f>
        <v>0</v>
      </c>
      <c r="AH23" s="36">
        <f>IF(AQ23="0",BJ23,0)</f>
        <v>0</v>
      </c>
      <c r="AI23" s="31"/>
      <c r="AJ23" s="18">
        <f>IF(AN23=0,K23,0)</f>
        <v>0</v>
      </c>
      <c r="AK23" s="18">
        <f>IF(AN23=15,K23,0)</f>
        <v>0</v>
      </c>
      <c r="AL23" s="18">
        <f>IF(AN23=21,K23,0)</f>
        <v>0</v>
      </c>
      <c r="AN23" s="36">
        <v>21</v>
      </c>
      <c r="AO23" s="36">
        <f>H23*0.614529417163574</f>
        <v>0</v>
      </c>
      <c r="AP23" s="36">
        <f>H23*(1-0.614529417163574)</f>
        <v>0</v>
      </c>
      <c r="AQ23" s="30" t="s">
        <v>7</v>
      </c>
      <c r="AV23" s="36">
        <f>AW23+AX23</f>
        <v>0</v>
      </c>
      <c r="AW23" s="36">
        <f>G23*AO23</f>
        <v>0</v>
      </c>
      <c r="AX23" s="36">
        <f>G23*AP23</f>
        <v>0</v>
      </c>
      <c r="AY23" s="37" t="s">
        <v>359</v>
      </c>
      <c r="AZ23" s="37" t="s">
        <v>376</v>
      </c>
      <c r="BA23" s="31" t="s">
        <v>380</v>
      </c>
      <c r="BC23" s="36">
        <f>AW23+AX23</f>
        <v>0</v>
      </c>
      <c r="BD23" s="36">
        <f>H23/(100-BE23)*100</f>
        <v>0</v>
      </c>
      <c r="BE23" s="36">
        <v>0</v>
      </c>
      <c r="BF23" s="36">
        <f>23</f>
        <v>23</v>
      </c>
      <c r="BH23" s="18">
        <f>G23*AO23</f>
        <v>0</v>
      </c>
      <c r="BI23" s="18">
        <f>G23*AP23</f>
        <v>0</v>
      </c>
      <c r="BJ23" s="18">
        <f>G23*H23</f>
        <v>0</v>
      </c>
    </row>
    <row r="24" spans="2:12" ht="12.75">
      <c r="B24" s="13" t="s">
        <v>105</v>
      </c>
      <c r="C24" s="108" t="s">
        <v>223</v>
      </c>
      <c r="D24" s="109"/>
      <c r="E24" s="109"/>
      <c r="F24" s="109"/>
      <c r="G24" s="109"/>
      <c r="H24" s="109"/>
      <c r="I24" s="109"/>
      <c r="J24" s="109"/>
      <c r="K24" s="109"/>
      <c r="L24" s="109"/>
    </row>
    <row r="25" spans="3:7" ht="12.75">
      <c r="C25" s="112" t="s">
        <v>224</v>
      </c>
      <c r="D25" s="113"/>
      <c r="E25" s="113"/>
      <c r="G25" s="19">
        <v>1775.4382</v>
      </c>
    </row>
    <row r="26" spans="3:7" ht="12.75">
      <c r="C26" s="112" t="s">
        <v>225</v>
      </c>
      <c r="D26" s="113"/>
      <c r="E26" s="113"/>
      <c r="G26" s="19">
        <v>143.6512</v>
      </c>
    </row>
    <row r="27" spans="1:62" ht="12.75">
      <c r="A27" s="4" t="s">
        <v>13</v>
      </c>
      <c r="B27" s="4" t="s">
        <v>110</v>
      </c>
      <c r="C27" s="106" t="s">
        <v>448</v>
      </c>
      <c r="D27" s="107"/>
      <c r="E27" s="107"/>
      <c r="F27" s="4" t="s">
        <v>328</v>
      </c>
      <c r="G27" s="18">
        <v>111.8</v>
      </c>
      <c r="H27" s="74">
        <v>0</v>
      </c>
      <c r="I27" s="18">
        <f>G27*AO27</f>
        <v>0</v>
      </c>
      <c r="J27" s="18">
        <f>G27*AP27</f>
        <v>0</v>
      </c>
      <c r="K27" s="18">
        <f>G27*H27</f>
        <v>0</v>
      </c>
      <c r="L27" s="30" t="s">
        <v>348</v>
      </c>
      <c r="Z27" s="36">
        <f>IF(AQ27="5",BJ27,0)</f>
        <v>0</v>
      </c>
      <c r="AB27" s="36">
        <f>IF(AQ27="1",BH27,0)</f>
        <v>0</v>
      </c>
      <c r="AC27" s="36">
        <f>IF(AQ27="1",BI27,0)</f>
        <v>0</v>
      </c>
      <c r="AD27" s="36">
        <f>IF(AQ27="7",BH27,0)</f>
        <v>0</v>
      </c>
      <c r="AE27" s="36">
        <f>IF(AQ27="7",BI27,0)</f>
        <v>0</v>
      </c>
      <c r="AF27" s="36">
        <f>IF(AQ27="2",BH27,0)</f>
        <v>0</v>
      </c>
      <c r="AG27" s="36">
        <f>IF(AQ27="2",BI27,0)</f>
        <v>0</v>
      </c>
      <c r="AH27" s="36">
        <f>IF(AQ27="0",BJ27,0)</f>
        <v>0</v>
      </c>
      <c r="AI27" s="31"/>
      <c r="AJ27" s="18">
        <f>IF(AN27=0,K27,0)</f>
        <v>0</v>
      </c>
      <c r="AK27" s="18">
        <f>IF(AN27=15,K27,0)</f>
        <v>0</v>
      </c>
      <c r="AL27" s="18">
        <f>IF(AN27=21,K27,0)</f>
        <v>0</v>
      </c>
      <c r="AN27" s="36">
        <v>21</v>
      </c>
      <c r="AO27" s="36">
        <f>H27*0.662623853211009</f>
        <v>0</v>
      </c>
      <c r="AP27" s="36">
        <f>H27*(1-0.662623853211009)</f>
        <v>0</v>
      </c>
      <c r="AQ27" s="30" t="s">
        <v>7</v>
      </c>
      <c r="AV27" s="36">
        <f>AW27+AX27</f>
        <v>0</v>
      </c>
      <c r="AW27" s="36">
        <f>G27*AO27</f>
        <v>0</v>
      </c>
      <c r="AX27" s="36">
        <f>G27*AP27</f>
        <v>0</v>
      </c>
      <c r="AY27" s="37" t="s">
        <v>359</v>
      </c>
      <c r="AZ27" s="37" t="s">
        <v>376</v>
      </c>
      <c r="BA27" s="31" t="s">
        <v>380</v>
      </c>
      <c r="BC27" s="36">
        <f>AW27+AX27</f>
        <v>0</v>
      </c>
      <c r="BD27" s="36">
        <f>H27/(100-BE27)*100</f>
        <v>0</v>
      </c>
      <c r="BE27" s="36">
        <v>0</v>
      </c>
      <c r="BF27" s="36">
        <f>27</f>
        <v>27</v>
      </c>
      <c r="BH27" s="18">
        <f>G27*AO27</f>
        <v>0</v>
      </c>
      <c r="BI27" s="18">
        <f>G27*AP27</f>
        <v>0</v>
      </c>
      <c r="BJ27" s="18">
        <f>G27*H27</f>
        <v>0</v>
      </c>
    </row>
    <row r="28" spans="1:62" ht="12.75">
      <c r="A28" s="4" t="s">
        <v>14</v>
      </c>
      <c r="B28" s="4" t="s">
        <v>111</v>
      </c>
      <c r="C28" s="106" t="s">
        <v>449</v>
      </c>
      <c r="D28" s="107"/>
      <c r="E28" s="107"/>
      <c r="F28" s="4" t="s">
        <v>328</v>
      </c>
      <c r="G28" s="18">
        <v>1887.2382</v>
      </c>
      <c r="H28" s="74">
        <v>0</v>
      </c>
      <c r="I28" s="18">
        <f>G28*AO28</f>
        <v>0</v>
      </c>
      <c r="J28" s="18">
        <f>G28*AP28</f>
        <v>0</v>
      </c>
      <c r="K28" s="18">
        <f>G28*H28</f>
        <v>0</v>
      </c>
      <c r="L28" s="30" t="s">
        <v>348</v>
      </c>
      <c r="Z28" s="36">
        <f>IF(AQ28="5",BJ28,0)</f>
        <v>0</v>
      </c>
      <c r="AB28" s="36">
        <f>IF(AQ28="1",BH28,0)</f>
        <v>0</v>
      </c>
      <c r="AC28" s="36">
        <f>IF(AQ28="1",BI28,0)</f>
        <v>0</v>
      </c>
      <c r="AD28" s="36">
        <f>IF(AQ28="7",BH28,0)</f>
        <v>0</v>
      </c>
      <c r="AE28" s="36">
        <f>IF(AQ28="7",BI28,0)</f>
        <v>0</v>
      </c>
      <c r="AF28" s="36">
        <f>IF(AQ28="2",BH28,0)</f>
        <v>0</v>
      </c>
      <c r="AG28" s="36">
        <f>IF(AQ28="2",BI28,0)</f>
        <v>0</v>
      </c>
      <c r="AH28" s="36">
        <f>IF(AQ28="0",BJ28,0)</f>
        <v>0</v>
      </c>
      <c r="AI28" s="31"/>
      <c r="AJ28" s="18">
        <f>IF(AN28=0,K28,0)</f>
        <v>0</v>
      </c>
      <c r="AK28" s="18">
        <f>IF(AN28=15,K28,0)</f>
        <v>0</v>
      </c>
      <c r="AL28" s="18">
        <f>IF(AN28=21,K28,0)</f>
        <v>0</v>
      </c>
      <c r="AN28" s="36">
        <v>21</v>
      </c>
      <c r="AO28" s="36">
        <f>H28*0.45570468469782</f>
        <v>0</v>
      </c>
      <c r="AP28" s="36">
        <f>H28*(1-0.45570468469782)</f>
        <v>0</v>
      </c>
      <c r="AQ28" s="30" t="s">
        <v>7</v>
      </c>
      <c r="AV28" s="36">
        <f>AW28+AX28</f>
        <v>0</v>
      </c>
      <c r="AW28" s="36">
        <f>G28*AO28</f>
        <v>0</v>
      </c>
      <c r="AX28" s="36">
        <f>G28*AP28</f>
        <v>0</v>
      </c>
      <c r="AY28" s="37" t="s">
        <v>359</v>
      </c>
      <c r="AZ28" s="37" t="s">
        <v>376</v>
      </c>
      <c r="BA28" s="31" t="s">
        <v>380</v>
      </c>
      <c r="BC28" s="36">
        <f>AW28+AX28</f>
        <v>0</v>
      </c>
      <c r="BD28" s="36">
        <f>H28/(100-BE28)*100</f>
        <v>0</v>
      </c>
      <c r="BE28" s="36">
        <v>0</v>
      </c>
      <c r="BF28" s="36">
        <f>28</f>
        <v>28</v>
      </c>
      <c r="BH28" s="18">
        <f>G28*AO28</f>
        <v>0</v>
      </c>
      <c r="BI28" s="18">
        <f>G28*AP28</f>
        <v>0</v>
      </c>
      <c r="BJ28" s="18">
        <f>G28*H28</f>
        <v>0</v>
      </c>
    </row>
    <row r="29" spans="1:62" ht="12.75">
      <c r="A29" s="4" t="s">
        <v>15</v>
      </c>
      <c r="B29" s="4" t="s">
        <v>112</v>
      </c>
      <c r="C29" s="106" t="s">
        <v>450</v>
      </c>
      <c r="D29" s="107"/>
      <c r="E29" s="107"/>
      <c r="F29" s="4" t="s">
        <v>328</v>
      </c>
      <c r="G29" s="18">
        <v>41.25</v>
      </c>
      <c r="H29" s="74">
        <v>0</v>
      </c>
      <c r="I29" s="18">
        <f>G29*AO29</f>
        <v>0</v>
      </c>
      <c r="J29" s="18">
        <f>G29*AP29</f>
        <v>0</v>
      </c>
      <c r="K29" s="18">
        <f>G29*H29</f>
        <v>0</v>
      </c>
      <c r="L29" s="30" t="s">
        <v>348</v>
      </c>
      <c r="Z29" s="36">
        <f>IF(AQ29="5",BJ29,0)</f>
        <v>0</v>
      </c>
      <c r="AB29" s="36">
        <f>IF(AQ29="1",BH29,0)</f>
        <v>0</v>
      </c>
      <c r="AC29" s="36">
        <f>IF(AQ29="1",BI29,0)</f>
        <v>0</v>
      </c>
      <c r="AD29" s="36">
        <f>IF(AQ29="7",BH29,0)</f>
        <v>0</v>
      </c>
      <c r="AE29" s="36">
        <f>IF(AQ29="7",BI29,0)</f>
        <v>0</v>
      </c>
      <c r="AF29" s="36">
        <f>IF(AQ29="2",BH29,0)</f>
        <v>0</v>
      </c>
      <c r="AG29" s="36">
        <f>IF(AQ29="2",BI29,0)</f>
        <v>0</v>
      </c>
      <c r="AH29" s="36">
        <f>IF(AQ29="0",BJ29,0)</f>
        <v>0</v>
      </c>
      <c r="AI29" s="31"/>
      <c r="AJ29" s="18">
        <f>IF(AN29=0,K29,0)</f>
        <v>0</v>
      </c>
      <c r="AK29" s="18">
        <f>IF(AN29=15,K29,0)</f>
        <v>0</v>
      </c>
      <c r="AL29" s="18">
        <f>IF(AN29=21,K29,0)</f>
        <v>0</v>
      </c>
      <c r="AN29" s="36">
        <v>21</v>
      </c>
      <c r="AO29" s="36">
        <f>H29*0.50084365852446</f>
        <v>0</v>
      </c>
      <c r="AP29" s="36">
        <f>H29*(1-0.50084365852446)</f>
        <v>0</v>
      </c>
      <c r="AQ29" s="30" t="s">
        <v>7</v>
      </c>
      <c r="AV29" s="36">
        <f>AW29+AX29</f>
        <v>0</v>
      </c>
      <c r="AW29" s="36">
        <f>G29*AO29</f>
        <v>0</v>
      </c>
      <c r="AX29" s="36">
        <f>G29*AP29</f>
        <v>0</v>
      </c>
      <c r="AY29" s="37" t="s">
        <v>359</v>
      </c>
      <c r="AZ29" s="37" t="s">
        <v>376</v>
      </c>
      <c r="BA29" s="31" t="s">
        <v>380</v>
      </c>
      <c r="BC29" s="36">
        <f>AW29+AX29</f>
        <v>0</v>
      </c>
      <c r="BD29" s="36">
        <f>H29/(100-BE29)*100</f>
        <v>0</v>
      </c>
      <c r="BE29" s="36">
        <v>0</v>
      </c>
      <c r="BF29" s="36">
        <f>29</f>
        <v>29</v>
      </c>
      <c r="BH29" s="18">
        <f>G29*AO29</f>
        <v>0</v>
      </c>
      <c r="BI29" s="18">
        <f>G29*AP29</f>
        <v>0</v>
      </c>
      <c r="BJ29" s="18">
        <f>G29*H29</f>
        <v>0</v>
      </c>
    </row>
    <row r="30" spans="1:62" ht="12.75">
      <c r="A30" s="4" t="s">
        <v>16</v>
      </c>
      <c r="B30" s="4" t="s">
        <v>113</v>
      </c>
      <c r="C30" s="106" t="s">
        <v>451</v>
      </c>
      <c r="D30" s="107"/>
      <c r="E30" s="107"/>
      <c r="F30" s="4" t="s">
        <v>328</v>
      </c>
      <c r="G30" s="18">
        <v>41.25</v>
      </c>
      <c r="H30" s="74">
        <v>0</v>
      </c>
      <c r="I30" s="18">
        <f>G30*AO30</f>
        <v>0</v>
      </c>
      <c r="J30" s="18">
        <f>G30*AP30</f>
        <v>0</v>
      </c>
      <c r="K30" s="18">
        <f>G30*H30</f>
        <v>0</v>
      </c>
      <c r="L30" s="30" t="s">
        <v>348</v>
      </c>
      <c r="Z30" s="36">
        <f>IF(AQ30="5",BJ30,0)</f>
        <v>0</v>
      </c>
      <c r="AB30" s="36">
        <f>IF(AQ30="1",BH30,0)</f>
        <v>0</v>
      </c>
      <c r="AC30" s="36">
        <f>IF(AQ30="1",BI30,0)</f>
        <v>0</v>
      </c>
      <c r="AD30" s="36">
        <f>IF(AQ30="7",BH30,0)</f>
        <v>0</v>
      </c>
      <c r="AE30" s="36">
        <f>IF(AQ30="7",BI30,0)</f>
        <v>0</v>
      </c>
      <c r="AF30" s="36">
        <f>IF(AQ30="2",BH30,0)</f>
        <v>0</v>
      </c>
      <c r="AG30" s="36">
        <f>IF(AQ30="2",BI30,0)</f>
        <v>0</v>
      </c>
      <c r="AH30" s="36">
        <f>IF(AQ30="0",BJ30,0)</f>
        <v>0</v>
      </c>
      <c r="AI30" s="31"/>
      <c r="AJ30" s="18">
        <f>IF(AN30=0,K30,0)</f>
        <v>0</v>
      </c>
      <c r="AK30" s="18">
        <f>IF(AN30=15,K30,0)</f>
        <v>0</v>
      </c>
      <c r="AL30" s="18">
        <f>IF(AN30=21,K30,0)</f>
        <v>0</v>
      </c>
      <c r="AN30" s="36">
        <v>21</v>
      </c>
      <c r="AO30" s="36">
        <f>H30*0.525875358198357</f>
        <v>0</v>
      </c>
      <c r="AP30" s="36">
        <f>H30*(1-0.525875358198357)</f>
        <v>0</v>
      </c>
      <c r="AQ30" s="30" t="s">
        <v>7</v>
      </c>
      <c r="AV30" s="36">
        <f>AW30+AX30</f>
        <v>0</v>
      </c>
      <c r="AW30" s="36">
        <f>G30*AO30</f>
        <v>0</v>
      </c>
      <c r="AX30" s="36">
        <f>G30*AP30</f>
        <v>0</v>
      </c>
      <c r="AY30" s="37" t="s">
        <v>359</v>
      </c>
      <c r="AZ30" s="37" t="s">
        <v>376</v>
      </c>
      <c r="BA30" s="31" t="s">
        <v>380</v>
      </c>
      <c r="BC30" s="36">
        <f>AW30+AX30</f>
        <v>0</v>
      </c>
      <c r="BD30" s="36">
        <f>H30/(100-BE30)*100</f>
        <v>0</v>
      </c>
      <c r="BE30" s="36">
        <v>0</v>
      </c>
      <c r="BF30" s="36">
        <f>30</f>
        <v>30</v>
      </c>
      <c r="BH30" s="18">
        <f>G30*AO30</f>
        <v>0</v>
      </c>
      <c r="BI30" s="18">
        <f>G30*AP30</f>
        <v>0</v>
      </c>
      <c r="BJ30" s="18">
        <f>G30*H30</f>
        <v>0</v>
      </c>
    </row>
    <row r="31" spans="2:12" ht="12.75">
      <c r="B31" s="13" t="s">
        <v>105</v>
      </c>
      <c r="C31" s="108" t="s">
        <v>226</v>
      </c>
      <c r="D31" s="109"/>
      <c r="E31" s="109"/>
      <c r="F31" s="109"/>
      <c r="G31" s="109"/>
      <c r="H31" s="109"/>
      <c r="I31" s="109"/>
      <c r="J31" s="109"/>
      <c r="K31" s="109"/>
      <c r="L31" s="109"/>
    </row>
    <row r="32" spans="1:62" ht="12.75">
      <c r="A32" s="4" t="s">
        <v>17</v>
      </c>
      <c r="B32" s="4" t="s">
        <v>114</v>
      </c>
      <c r="C32" s="106" t="s">
        <v>452</v>
      </c>
      <c r="D32" s="107"/>
      <c r="E32" s="107"/>
      <c r="F32" s="4" t="s">
        <v>328</v>
      </c>
      <c r="G32" s="18">
        <v>41.25</v>
      </c>
      <c r="H32" s="74">
        <v>0</v>
      </c>
      <c r="I32" s="18">
        <f>G32*AO32</f>
        <v>0</v>
      </c>
      <c r="J32" s="18">
        <f>G32*AP32</f>
        <v>0</v>
      </c>
      <c r="K32" s="18">
        <f>G32*H32</f>
        <v>0</v>
      </c>
      <c r="L32" s="30" t="s">
        <v>348</v>
      </c>
      <c r="Z32" s="36">
        <f>IF(AQ32="5",BJ32,0)</f>
        <v>0</v>
      </c>
      <c r="AB32" s="36">
        <f>IF(AQ32="1",BH32,0)</f>
        <v>0</v>
      </c>
      <c r="AC32" s="36">
        <f>IF(AQ32="1",BI32,0)</f>
        <v>0</v>
      </c>
      <c r="AD32" s="36">
        <f>IF(AQ32="7",BH32,0)</f>
        <v>0</v>
      </c>
      <c r="AE32" s="36">
        <f>IF(AQ32="7",BI32,0)</f>
        <v>0</v>
      </c>
      <c r="AF32" s="36">
        <f>IF(AQ32="2",BH32,0)</f>
        <v>0</v>
      </c>
      <c r="AG32" s="36">
        <f>IF(AQ32="2",BI32,0)</f>
        <v>0</v>
      </c>
      <c r="AH32" s="36">
        <f>IF(AQ32="0",BJ32,0)</f>
        <v>0</v>
      </c>
      <c r="AI32" s="31"/>
      <c r="AJ32" s="18">
        <f>IF(AN32=0,K32,0)</f>
        <v>0</v>
      </c>
      <c r="AK32" s="18">
        <f>IF(AN32=15,K32,0)</f>
        <v>0</v>
      </c>
      <c r="AL32" s="18">
        <f>IF(AN32=21,K32,0)</f>
        <v>0</v>
      </c>
      <c r="AN32" s="36">
        <v>21</v>
      </c>
      <c r="AO32" s="36">
        <f>H32*0.47982197946478</f>
        <v>0</v>
      </c>
      <c r="AP32" s="36">
        <f>H32*(1-0.47982197946478)</f>
        <v>0</v>
      </c>
      <c r="AQ32" s="30" t="s">
        <v>7</v>
      </c>
      <c r="AV32" s="36">
        <f>AW32+AX32</f>
        <v>0</v>
      </c>
      <c r="AW32" s="36">
        <f>G32*AO32</f>
        <v>0</v>
      </c>
      <c r="AX32" s="36">
        <f>G32*AP32</f>
        <v>0</v>
      </c>
      <c r="AY32" s="37" t="s">
        <v>359</v>
      </c>
      <c r="AZ32" s="37" t="s">
        <v>376</v>
      </c>
      <c r="BA32" s="31" t="s">
        <v>380</v>
      </c>
      <c r="BC32" s="36">
        <f>AW32+AX32</f>
        <v>0</v>
      </c>
      <c r="BD32" s="36">
        <f>H32/(100-BE32)*100</f>
        <v>0</v>
      </c>
      <c r="BE32" s="36">
        <v>0</v>
      </c>
      <c r="BF32" s="36">
        <f>32</f>
        <v>32</v>
      </c>
      <c r="BH32" s="18">
        <f>G32*AO32</f>
        <v>0</v>
      </c>
      <c r="BI32" s="18">
        <f>G32*AP32</f>
        <v>0</v>
      </c>
      <c r="BJ32" s="18">
        <f>G32*H32</f>
        <v>0</v>
      </c>
    </row>
    <row r="33" spans="1:47" ht="12.75">
      <c r="A33" s="5"/>
      <c r="B33" s="14" t="s">
        <v>68</v>
      </c>
      <c r="C33" s="110" t="s">
        <v>227</v>
      </c>
      <c r="D33" s="111"/>
      <c r="E33" s="111"/>
      <c r="F33" s="5" t="s">
        <v>6</v>
      </c>
      <c r="G33" s="5" t="s">
        <v>6</v>
      </c>
      <c r="H33" s="5" t="s">
        <v>6</v>
      </c>
      <c r="I33" s="39">
        <f>SUM(I34:I69)</f>
        <v>0</v>
      </c>
      <c r="J33" s="39">
        <f>SUM(J34:J69)</f>
        <v>0</v>
      </c>
      <c r="K33" s="39">
        <f>SUM(K34:K69)</f>
        <v>0</v>
      </c>
      <c r="L33" s="31"/>
      <c r="AI33" s="31"/>
      <c r="AS33" s="39">
        <f>SUM(AJ34:AJ69)</f>
        <v>0</v>
      </c>
      <c r="AT33" s="39">
        <f>SUM(AK34:AK69)</f>
        <v>0</v>
      </c>
      <c r="AU33" s="39">
        <f>SUM(AL34:AL69)</f>
        <v>0</v>
      </c>
    </row>
    <row r="34" spans="1:62" ht="12.75">
      <c r="A34" s="4" t="s">
        <v>18</v>
      </c>
      <c r="B34" s="4" t="s">
        <v>115</v>
      </c>
      <c r="C34" s="106" t="s">
        <v>228</v>
      </c>
      <c r="D34" s="107"/>
      <c r="E34" s="107"/>
      <c r="F34" s="4" t="s">
        <v>328</v>
      </c>
      <c r="G34" s="18">
        <v>466.93</v>
      </c>
      <c r="H34" s="74">
        <v>0</v>
      </c>
      <c r="I34" s="18">
        <f>G34*AO34</f>
        <v>0</v>
      </c>
      <c r="J34" s="18">
        <f>G34*AP34</f>
        <v>0</v>
      </c>
      <c r="K34" s="18">
        <f>G34*H34</f>
        <v>0</v>
      </c>
      <c r="L34" s="30" t="s">
        <v>348</v>
      </c>
      <c r="Z34" s="36">
        <f>IF(AQ34="5",BJ34,0)</f>
        <v>0</v>
      </c>
      <c r="AB34" s="36">
        <f>IF(AQ34="1",BH34,0)</f>
        <v>0</v>
      </c>
      <c r="AC34" s="36">
        <f>IF(AQ34="1",BI34,0)</f>
        <v>0</v>
      </c>
      <c r="AD34" s="36">
        <f>IF(AQ34="7",BH34,0)</f>
        <v>0</v>
      </c>
      <c r="AE34" s="36">
        <f>IF(AQ34="7",BI34,0)</f>
        <v>0</v>
      </c>
      <c r="AF34" s="36">
        <f>IF(AQ34="2",BH34,0)</f>
        <v>0</v>
      </c>
      <c r="AG34" s="36">
        <f>IF(AQ34="2",BI34,0)</f>
        <v>0</v>
      </c>
      <c r="AH34" s="36">
        <f>IF(AQ34="0",BJ34,0)</f>
        <v>0</v>
      </c>
      <c r="AI34" s="31"/>
      <c r="AJ34" s="18">
        <f>IF(AN34=0,K34,0)</f>
        <v>0</v>
      </c>
      <c r="AK34" s="18">
        <f>IF(AN34=15,K34,0)</f>
        <v>0</v>
      </c>
      <c r="AL34" s="18">
        <f>IF(AN34=21,K34,0)</f>
        <v>0</v>
      </c>
      <c r="AN34" s="36">
        <v>21</v>
      </c>
      <c r="AO34" s="36">
        <f>H34*0.285592688404925</f>
        <v>0</v>
      </c>
      <c r="AP34" s="36">
        <f>H34*(1-0.285592688404925)</f>
        <v>0</v>
      </c>
      <c r="AQ34" s="30" t="s">
        <v>7</v>
      </c>
      <c r="AV34" s="36">
        <f>AW34+AX34</f>
        <v>0</v>
      </c>
      <c r="AW34" s="36">
        <f>G34*AO34</f>
        <v>0</v>
      </c>
      <c r="AX34" s="36">
        <f>G34*AP34</f>
        <v>0</v>
      </c>
      <c r="AY34" s="37" t="s">
        <v>360</v>
      </c>
      <c r="AZ34" s="37" t="s">
        <v>376</v>
      </c>
      <c r="BA34" s="31" t="s">
        <v>380</v>
      </c>
      <c r="BC34" s="36">
        <f>AW34+AX34</f>
        <v>0</v>
      </c>
      <c r="BD34" s="36">
        <f>H34/(100-BE34)*100</f>
        <v>0</v>
      </c>
      <c r="BE34" s="36">
        <v>0</v>
      </c>
      <c r="BF34" s="36">
        <f>34</f>
        <v>34</v>
      </c>
      <c r="BH34" s="18">
        <f>G34*AO34</f>
        <v>0</v>
      </c>
      <c r="BI34" s="18">
        <f>G34*AP34</f>
        <v>0</v>
      </c>
      <c r="BJ34" s="18">
        <f>G34*H34</f>
        <v>0</v>
      </c>
    </row>
    <row r="35" spans="1:62" ht="12.75">
      <c r="A35" s="4" t="s">
        <v>19</v>
      </c>
      <c r="B35" s="4" t="s">
        <v>116</v>
      </c>
      <c r="C35" s="106" t="s">
        <v>453</v>
      </c>
      <c r="D35" s="107"/>
      <c r="E35" s="107"/>
      <c r="F35" s="4" t="s">
        <v>328</v>
      </c>
      <c r="G35" s="18">
        <v>111.8</v>
      </c>
      <c r="H35" s="74">
        <v>0</v>
      </c>
      <c r="I35" s="18">
        <f>G35*AO35</f>
        <v>0</v>
      </c>
      <c r="J35" s="18">
        <f>G35*AP35</f>
        <v>0</v>
      </c>
      <c r="K35" s="18">
        <f>G35*H35</f>
        <v>0</v>
      </c>
      <c r="L35" s="30" t="s">
        <v>348</v>
      </c>
      <c r="Z35" s="36">
        <f>IF(AQ35="5",BJ35,0)</f>
        <v>0</v>
      </c>
      <c r="AB35" s="36">
        <f>IF(AQ35="1",BH35,0)</f>
        <v>0</v>
      </c>
      <c r="AC35" s="36">
        <f>IF(AQ35="1",BI35,0)</f>
        <v>0</v>
      </c>
      <c r="AD35" s="36">
        <f>IF(AQ35="7",BH35,0)</f>
        <v>0</v>
      </c>
      <c r="AE35" s="36">
        <f>IF(AQ35="7",BI35,0)</f>
        <v>0</v>
      </c>
      <c r="AF35" s="36">
        <f>IF(AQ35="2",BH35,0)</f>
        <v>0</v>
      </c>
      <c r="AG35" s="36">
        <f>IF(AQ35="2",BI35,0)</f>
        <v>0</v>
      </c>
      <c r="AH35" s="36">
        <f>IF(AQ35="0",BJ35,0)</f>
        <v>0</v>
      </c>
      <c r="AI35" s="31"/>
      <c r="AJ35" s="18">
        <f>IF(AN35=0,K35,0)</f>
        <v>0</v>
      </c>
      <c r="AK35" s="18">
        <f>IF(AN35=15,K35,0)</f>
        <v>0</v>
      </c>
      <c r="AL35" s="18">
        <f>IF(AN35=21,K35,0)</f>
        <v>0</v>
      </c>
      <c r="AN35" s="36">
        <v>21</v>
      </c>
      <c r="AO35" s="36">
        <f>H35*0.602746630239153</f>
        <v>0</v>
      </c>
      <c r="AP35" s="36">
        <f>H35*(1-0.602746630239153)</f>
        <v>0</v>
      </c>
      <c r="AQ35" s="30" t="s">
        <v>7</v>
      </c>
      <c r="AV35" s="36">
        <f>AW35+AX35</f>
        <v>0</v>
      </c>
      <c r="AW35" s="36">
        <f>G35*AO35</f>
        <v>0</v>
      </c>
      <c r="AX35" s="36">
        <f>G35*AP35</f>
        <v>0</v>
      </c>
      <c r="AY35" s="37" t="s">
        <v>360</v>
      </c>
      <c r="AZ35" s="37" t="s">
        <v>376</v>
      </c>
      <c r="BA35" s="31" t="s">
        <v>380</v>
      </c>
      <c r="BC35" s="36">
        <f>AW35+AX35</f>
        <v>0</v>
      </c>
      <c r="BD35" s="36">
        <f>H35/(100-BE35)*100</f>
        <v>0</v>
      </c>
      <c r="BE35" s="36">
        <v>0</v>
      </c>
      <c r="BF35" s="36">
        <f>35</f>
        <v>35</v>
      </c>
      <c r="BH35" s="18">
        <f>G35*AO35</f>
        <v>0</v>
      </c>
      <c r="BI35" s="18">
        <f>G35*AP35</f>
        <v>0</v>
      </c>
      <c r="BJ35" s="18">
        <f>G35*H35</f>
        <v>0</v>
      </c>
    </row>
    <row r="36" spans="2:12" ht="12.75">
      <c r="B36" s="13" t="s">
        <v>105</v>
      </c>
      <c r="C36" s="108" t="s">
        <v>229</v>
      </c>
      <c r="D36" s="109"/>
      <c r="E36" s="109"/>
      <c r="F36" s="109"/>
      <c r="G36" s="109"/>
      <c r="H36" s="109"/>
      <c r="I36" s="109"/>
      <c r="J36" s="109"/>
      <c r="K36" s="109"/>
      <c r="L36" s="109"/>
    </row>
    <row r="37" spans="3:7" ht="12.75">
      <c r="C37" s="112" t="s">
        <v>230</v>
      </c>
      <c r="D37" s="113"/>
      <c r="E37" s="113"/>
      <c r="G37" s="19">
        <v>28.75</v>
      </c>
    </row>
    <row r="38" spans="3:7" ht="12.75">
      <c r="C38" s="112" t="s">
        <v>231</v>
      </c>
      <c r="D38" s="113"/>
      <c r="E38" s="113"/>
      <c r="G38" s="19">
        <v>53.93</v>
      </c>
    </row>
    <row r="39" spans="3:7" ht="12.75">
      <c r="C39" s="112" t="s">
        <v>232</v>
      </c>
      <c r="D39" s="113"/>
      <c r="E39" s="113"/>
      <c r="G39" s="19">
        <v>15.9</v>
      </c>
    </row>
    <row r="40" spans="3:7" ht="12.75">
      <c r="C40" s="112" t="s">
        <v>233</v>
      </c>
      <c r="D40" s="113"/>
      <c r="E40" s="113"/>
      <c r="G40" s="19">
        <v>13.22</v>
      </c>
    </row>
    <row r="41" spans="1:62" ht="12.75">
      <c r="A41" s="4" t="s">
        <v>20</v>
      </c>
      <c r="B41" s="4" t="s">
        <v>117</v>
      </c>
      <c r="C41" s="106" t="s">
        <v>454</v>
      </c>
      <c r="D41" s="107"/>
      <c r="E41" s="107"/>
      <c r="F41" s="4" t="s">
        <v>328</v>
      </c>
      <c r="G41" s="18">
        <v>499.1242</v>
      </c>
      <c r="H41" s="74">
        <v>0</v>
      </c>
      <c r="I41" s="18">
        <f>G41*AO41</f>
        <v>0</v>
      </c>
      <c r="J41" s="18">
        <f>G41*AP41</f>
        <v>0</v>
      </c>
      <c r="K41" s="18">
        <f>G41*H41</f>
        <v>0</v>
      </c>
      <c r="L41" s="30" t="s">
        <v>348</v>
      </c>
      <c r="Z41" s="36">
        <f>IF(AQ41="5",BJ41,0)</f>
        <v>0</v>
      </c>
      <c r="AB41" s="36">
        <f>IF(AQ41="1",BH41,0)</f>
        <v>0</v>
      </c>
      <c r="AC41" s="36">
        <f>IF(AQ41="1",BI41,0)</f>
        <v>0</v>
      </c>
      <c r="AD41" s="36">
        <f>IF(AQ41="7",BH41,0)</f>
        <v>0</v>
      </c>
      <c r="AE41" s="36">
        <f>IF(AQ41="7",BI41,0)</f>
        <v>0</v>
      </c>
      <c r="AF41" s="36">
        <f>IF(AQ41="2",BH41,0)</f>
        <v>0</v>
      </c>
      <c r="AG41" s="36">
        <f>IF(AQ41="2",BI41,0)</f>
        <v>0</v>
      </c>
      <c r="AH41" s="36">
        <f>IF(AQ41="0",BJ41,0)</f>
        <v>0</v>
      </c>
      <c r="AI41" s="31"/>
      <c r="AJ41" s="18">
        <f>IF(AN41=0,K41,0)</f>
        <v>0</v>
      </c>
      <c r="AK41" s="18">
        <f>IF(AN41=15,K41,0)</f>
        <v>0</v>
      </c>
      <c r="AL41" s="18">
        <f>IF(AN41=21,K41,0)</f>
        <v>0</v>
      </c>
      <c r="AN41" s="36">
        <v>21</v>
      </c>
      <c r="AO41" s="36">
        <f>H41*0.677356406506579</f>
        <v>0</v>
      </c>
      <c r="AP41" s="36">
        <f>H41*(1-0.677356406506579)</f>
        <v>0</v>
      </c>
      <c r="AQ41" s="30" t="s">
        <v>7</v>
      </c>
      <c r="AV41" s="36">
        <f>AW41+AX41</f>
        <v>0</v>
      </c>
      <c r="AW41" s="36">
        <f>G41*AO41</f>
        <v>0</v>
      </c>
      <c r="AX41" s="36">
        <f>G41*AP41</f>
        <v>0</v>
      </c>
      <c r="AY41" s="37" t="s">
        <v>360</v>
      </c>
      <c r="AZ41" s="37" t="s">
        <v>376</v>
      </c>
      <c r="BA41" s="31" t="s">
        <v>380</v>
      </c>
      <c r="BC41" s="36">
        <f>AW41+AX41</f>
        <v>0</v>
      </c>
      <c r="BD41" s="36">
        <f>H41/(100-BE41)*100</f>
        <v>0</v>
      </c>
      <c r="BE41" s="36">
        <v>0</v>
      </c>
      <c r="BF41" s="36">
        <f>41</f>
        <v>41</v>
      </c>
      <c r="BH41" s="18">
        <f>G41*AO41</f>
        <v>0</v>
      </c>
      <c r="BI41" s="18">
        <f>G41*AP41</f>
        <v>0</v>
      </c>
      <c r="BJ41" s="18">
        <f>G41*H41</f>
        <v>0</v>
      </c>
    </row>
    <row r="42" spans="2:12" ht="12.75">
      <c r="B42" s="13" t="s">
        <v>105</v>
      </c>
      <c r="C42" s="108" t="s">
        <v>229</v>
      </c>
      <c r="D42" s="109"/>
      <c r="E42" s="109"/>
      <c r="F42" s="109"/>
      <c r="G42" s="109"/>
      <c r="H42" s="109"/>
      <c r="I42" s="109"/>
      <c r="J42" s="109"/>
      <c r="K42" s="109"/>
      <c r="L42" s="109"/>
    </row>
    <row r="43" spans="3:7" ht="12.75">
      <c r="C43" s="112" t="s">
        <v>234</v>
      </c>
      <c r="D43" s="113"/>
      <c r="E43" s="113"/>
      <c r="G43" s="19">
        <v>225.216</v>
      </c>
    </row>
    <row r="44" spans="3:7" ht="12.75">
      <c r="C44" s="112" t="s">
        <v>235</v>
      </c>
      <c r="D44" s="113"/>
      <c r="E44" s="113"/>
      <c r="G44" s="19">
        <v>104.0842</v>
      </c>
    </row>
    <row r="45" spans="3:7" ht="12.75">
      <c r="C45" s="112" t="s">
        <v>236</v>
      </c>
      <c r="D45" s="113"/>
      <c r="E45" s="113"/>
      <c r="G45" s="19">
        <v>68.274</v>
      </c>
    </row>
    <row r="46" spans="3:7" ht="12.75">
      <c r="C46" s="112" t="s">
        <v>237</v>
      </c>
      <c r="D46" s="113"/>
      <c r="E46" s="113"/>
      <c r="G46" s="19">
        <v>101.55</v>
      </c>
    </row>
    <row r="47" spans="1:62" ht="12.75">
      <c r="A47" s="4" t="s">
        <v>21</v>
      </c>
      <c r="B47" s="4" t="s">
        <v>118</v>
      </c>
      <c r="C47" s="106" t="s">
        <v>455</v>
      </c>
      <c r="D47" s="107"/>
      <c r="E47" s="107"/>
      <c r="F47" s="4" t="s">
        <v>328</v>
      </c>
      <c r="G47" s="18">
        <v>1276.314</v>
      </c>
      <c r="H47" s="74">
        <v>0</v>
      </c>
      <c r="I47" s="18">
        <f>G47*AO47</f>
        <v>0</v>
      </c>
      <c r="J47" s="18">
        <f>G47*AP47</f>
        <v>0</v>
      </c>
      <c r="K47" s="18">
        <f>G47*H47</f>
        <v>0</v>
      </c>
      <c r="L47" s="30" t="s">
        <v>348</v>
      </c>
      <c r="Z47" s="36">
        <f>IF(AQ47="5",BJ47,0)</f>
        <v>0</v>
      </c>
      <c r="AB47" s="36">
        <f>IF(AQ47="1",BH47,0)</f>
        <v>0</v>
      </c>
      <c r="AC47" s="36">
        <f>IF(AQ47="1",BI47,0)</f>
        <v>0</v>
      </c>
      <c r="AD47" s="36">
        <f>IF(AQ47="7",BH47,0)</f>
        <v>0</v>
      </c>
      <c r="AE47" s="36">
        <f>IF(AQ47="7",BI47,0)</f>
        <v>0</v>
      </c>
      <c r="AF47" s="36">
        <f>IF(AQ47="2",BH47,0)</f>
        <v>0</v>
      </c>
      <c r="AG47" s="36">
        <f>IF(AQ47="2",BI47,0)</f>
        <v>0</v>
      </c>
      <c r="AH47" s="36">
        <f>IF(AQ47="0",BJ47,0)</f>
        <v>0</v>
      </c>
      <c r="AI47" s="31"/>
      <c r="AJ47" s="18">
        <f>IF(AN47=0,K47,0)</f>
        <v>0</v>
      </c>
      <c r="AK47" s="18">
        <f>IF(AN47=15,K47,0)</f>
        <v>0</v>
      </c>
      <c r="AL47" s="18">
        <f>IF(AN47=21,K47,0)</f>
        <v>0</v>
      </c>
      <c r="AN47" s="36">
        <v>21</v>
      </c>
      <c r="AO47" s="36">
        <f>H47*0.591463353615178</f>
        <v>0</v>
      </c>
      <c r="AP47" s="36">
        <f>H47*(1-0.591463353615178)</f>
        <v>0</v>
      </c>
      <c r="AQ47" s="30" t="s">
        <v>7</v>
      </c>
      <c r="AV47" s="36">
        <f>AW47+AX47</f>
        <v>0</v>
      </c>
      <c r="AW47" s="36">
        <f>G47*AO47</f>
        <v>0</v>
      </c>
      <c r="AX47" s="36">
        <f>G47*AP47</f>
        <v>0</v>
      </c>
      <c r="AY47" s="37" t="s">
        <v>360</v>
      </c>
      <c r="AZ47" s="37" t="s">
        <v>376</v>
      </c>
      <c r="BA47" s="31" t="s">
        <v>380</v>
      </c>
      <c r="BC47" s="36">
        <f>AW47+AX47</f>
        <v>0</v>
      </c>
      <c r="BD47" s="36">
        <f>H47/(100-BE47)*100</f>
        <v>0</v>
      </c>
      <c r="BE47" s="36">
        <v>0</v>
      </c>
      <c r="BF47" s="36">
        <f>47</f>
        <v>47</v>
      </c>
      <c r="BH47" s="18">
        <f>G47*AO47</f>
        <v>0</v>
      </c>
      <c r="BI47" s="18">
        <f>G47*AP47</f>
        <v>0</v>
      </c>
      <c r="BJ47" s="18">
        <f>G47*H47</f>
        <v>0</v>
      </c>
    </row>
    <row r="48" spans="2:12" ht="12.75">
      <c r="B48" s="13" t="s">
        <v>105</v>
      </c>
      <c r="C48" s="108" t="s">
        <v>229</v>
      </c>
      <c r="D48" s="109"/>
      <c r="E48" s="109"/>
      <c r="F48" s="109"/>
      <c r="G48" s="109"/>
      <c r="H48" s="109"/>
      <c r="I48" s="109"/>
      <c r="J48" s="109"/>
      <c r="K48" s="109"/>
      <c r="L48" s="109"/>
    </row>
    <row r="49" spans="3:7" ht="12.75">
      <c r="C49" s="112" t="s">
        <v>238</v>
      </c>
      <c r="D49" s="113"/>
      <c r="E49" s="113"/>
      <c r="G49" s="19">
        <v>699.4445</v>
      </c>
    </row>
    <row r="50" spans="3:7" ht="12.75">
      <c r="C50" s="112" t="s">
        <v>239</v>
      </c>
      <c r="D50" s="113"/>
      <c r="E50" s="113"/>
      <c r="G50" s="19">
        <v>604.4907</v>
      </c>
    </row>
    <row r="51" spans="3:7" ht="12.75">
      <c r="C51" s="112" t="s">
        <v>240</v>
      </c>
      <c r="D51" s="113"/>
      <c r="E51" s="113"/>
      <c r="G51" s="19">
        <v>-15.36</v>
      </c>
    </row>
    <row r="52" spans="3:7" ht="12.75">
      <c r="C52" s="112" t="s">
        <v>241</v>
      </c>
      <c r="D52" s="113"/>
      <c r="E52" s="113"/>
      <c r="G52" s="19">
        <v>253.511</v>
      </c>
    </row>
    <row r="53" spans="3:7" ht="12.75">
      <c r="C53" s="112" t="s">
        <v>242</v>
      </c>
      <c r="D53" s="113"/>
      <c r="E53" s="113"/>
      <c r="G53" s="19">
        <v>187.977</v>
      </c>
    </row>
    <row r="54" spans="3:7" ht="12.75">
      <c r="C54" s="112" t="s">
        <v>243</v>
      </c>
      <c r="D54" s="113"/>
      <c r="E54" s="113"/>
      <c r="G54" s="19">
        <v>45.375</v>
      </c>
    </row>
    <row r="55" spans="3:7" ht="12.75">
      <c r="C55" s="112" t="s">
        <v>244</v>
      </c>
      <c r="D55" s="113"/>
      <c r="E55" s="113"/>
      <c r="G55" s="19">
        <v>-499.1242</v>
      </c>
    </row>
    <row r="56" spans="1:62" ht="12.75">
      <c r="A56" s="4" t="s">
        <v>22</v>
      </c>
      <c r="B56" s="4" t="s">
        <v>119</v>
      </c>
      <c r="C56" s="106" t="s">
        <v>456</v>
      </c>
      <c r="D56" s="107"/>
      <c r="E56" s="107"/>
      <c r="F56" s="4" t="s">
        <v>328</v>
      </c>
      <c r="G56" s="18">
        <v>41.25</v>
      </c>
      <c r="H56" s="74">
        <v>0</v>
      </c>
      <c r="I56" s="18">
        <f>G56*AO56</f>
        <v>0</v>
      </c>
      <c r="J56" s="18">
        <f>G56*AP56</f>
        <v>0</v>
      </c>
      <c r="K56" s="18">
        <f>G56*H56</f>
        <v>0</v>
      </c>
      <c r="L56" s="30" t="s">
        <v>348</v>
      </c>
      <c r="Z56" s="36">
        <f>IF(AQ56="5",BJ56,0)</f>
        <v>0</v>
      </c>
      <c r="AB56" s="36">
        <f>IF(AQ56="1",BH56,0)</f>
        <v>0</v>
      </c>
      <c r="AC56" s="36">
        <f>IF(AQ56="1",BI56,0)</f>
        <v>0</v>
      </c>
      <c r="AD56" s="36">
        <f>IF(AQ56="7",BH56,0)</f>
        <v>0</v>
      </c>
      <c r="AE56" s="36">
        <f>IF(AQ56="7",BI56,0)</f>
        <v>0</v>
      </c>
      <c r="AF56" s="36">
        <f>IF(AQ56="2",BH56,0)</f>
        <v>0</v>
      </c>
      <c r="AG56" s="36">
        <f>IF(AQ56="2",BI56,0)</f>
        <v>0</v>
      </c>
      <c r="AH56" s="36">
        <f>IF(AQ56="0",BJ56,0)</f>
        <v>0</v>
      </c>
      <c r="AI56" s="31"/>
      <c r="AJ56" s="18">
        <f>IF(AN56=0,K56,0)</f>
        <v>0</v>
      </c>
      <c r="AK56" s="18">
        <f>IF(AN56=15,K56,0)</f>
        <v>0</v>
      </c>
      <c r="AL56" s="18">
        <f>IF(AN56=21,K56,0)</f>
        <v>0</v>
      </c>
      <c r="AN56" s="36">
        <v>21</v>
      </c>
      <c r="AO56" s="36">
        <f>H56*0.701326923076923</f>
        <v>0</v>
      </c>
      <c r="AP56" s="36">
        <f>H56*(1-0.701326923076923)</f>
        <v>0</v>
      </c>
      <c r="AQ56" s="30" t="s">
        <v>7</v>
      </c>
      <c r="AV56" s="36">
        <f>AW56+AX56</f>
        <v>0</v>
      </c>
      <c r="AW56" s="36">
        <f>G56*AO56</f>
        <v>0</v>
      </c>
      <c r="AX56" s="36">
        <f>G56*AP56</f>
        <v>0</v>
      </c>
      <c r="AY56" s="37" t="s">
        <v>360</v>
      </c>
      <c r="AZ56" s="37" t="s">
        <v>376</v>
      </c>
      <c r="BA56" s="31" t="s">
        <v>380</v>
      </c>
      <c r="BC56" s="36">
        <f>AW56+AX56</f>
        <v>0</v>
      </c>
      <c r="BD56" s="36">
        <f>H56/(100-BE56)*100</f>
        <v>0</v>
      </c>
      <c r="BE56" s="36">
        <v>0</v>
      </c>
      <c r="BF56" s="36">
        <f>56</f>
        <v>56</v>
      </c>
      <c r="BH56" s="18">
        <f>G56*AO56</f>
        <v>0</v>
      </c>
      <c r="BI56" s="18">
        <f>G56*AP56</f>
        <v>0</v>
      </c>
      <c r="BJ56" s="18">
        <f>G56*H56</f>
        <v>0</v>
      </c>
    </row>
    <row r="57" spans="2:12" ht="12.75">
      <c r="B57" s="13" t="s">
        <v>105</v>
      </c>
      <c r="C57" s="108" t="s">
        <v>229</v>
      </c>
      <c r="D57" s="109"/>
      <c r="E57" s="109"/>
      <c r="F57" s="109"/>
      <c r="G57" s="109"/>
      <c r="H57" s="109"/>
      <c r="I57" s="109"/>
      <c r="J57" s="109"/>
      <c r="K57" s="109"/>
      <c r="L57" s="109"/>
    </row>
    <row r="58" spans="3:7" ht="12.75">
      <c r="C58" s="112" t="s">
        <v>245</v>
      </c>
      <c r="D58" s="113"/>
      <c r="E58" s="113"/>
      <c r="G58" s="19">
        <v>41.25</v>
      </c>
    </row>
    <row r="59" spans="2:12" ht="12.75">
      <c r="B59" s="15" t="s">
        <v>101</v>
      </c>
      <c r="C59" s="114" t="s">
        <v>246</v>
      </c>
      <c r="D59" s="115"/>
      <c r="E59" s="115"/>
      <c r="F59" s="115"/>
      <c r="G59" s="115"/>
      <c r="H59" s="115"/>
      <c r="I59" s="115"/>
      <c r="J59" s="115"/>
      <c r="K59" s="115"/>
      <c r="L59" s="115"/>
    </row>
    <row r="60" spans="1:62" ht="12.75">
      <c r="A60" s="4" t="s">
        <v>23</v>
      </c>
      <c r="B60" s="4" t="s">
        <v>120</v>
      </c>
      <c r="C60" s="106" t="s">
        <v>247</v>
      </c>
      <c r="D60" s="107"/>
      <c r="E60" s="107"/>
      <c r="F60" s="4" t="s">
        <v>328</v>
      </c>
      <c r="G60" s="18">
        <v>41.25</v>
      </c>
      <c r="H60" s="74">
        <v>0</v>
      </c>
      <c r="I60" s="18">
        <f aca="true" t="shared" si="0" ref="I60:I69">G60*AO60</f>
        <v>0</v>
      </c>
      <c r="J60" s="18">
        <f aca="true" t="shared" si="1" ref="J60:J69">G60*AP60</f>
        <v>0</v>
      </c>
      <c r="K60" s="18">
        <f aca="true" t="shared" si="2" ref="K60:K69">G60*H60</f>
        <v>0</v>
      </c>
      <c r="L60" s="30" t="s">
        <v>348</v>
      </c>
      <c r="Z60" s="36">
        <f aca="true" t="shared" si="3" ref="Z60:Z69">IF(AQ60="5",BJ60,0)</f>
        <v>0</v>
      </c>
      <c r="AB60" s="36">
        <f aca="true" t="shared" si="4" ref="AB60:AB69">IF(AQ60="1",BH60,0)</f>
        <v>0</v>
      </c>
      <c r="AC60" s="36">
        <f aca="true" t="shared" si="5" ref="AC60:AC69">IF(AQ60="1",BI60,0)</f>
        <v>0</v>
      </c>
      <c r="AD60" s="36">
        <f aca="true" t="shared" si="6" ref="AD60:AD69">IF(AQ60="7",BH60,0)</f>
        <v>0</v>
      </c>
      <c r="AE60" s="36">
        <f aca="true" t="shared" si="7" ref="AE60:AE69">IF(AQ60="7",BI60,0)</f>
        <v>0</v>
      </c>
      <c r="AF60" s="36">
        <f aca="true" t="shared" si="8" ref="AF60:AF69">IF(AQ60="2",BH60,0)</f>
        <v>0</v>
      </c>
      <c r="AG60" s="36">
        <f aca="true" t="shared" si="9" ref="AG60:AG69">IF(AQ60="2",BI60,0)</f>
        <v>0</v>
      </c>
      <c r="AH60" s="36">
        <f aca="true" t="shared" si="10" ref="AH60:AH69">IF(AQ60="0",BJ60,0)</f>
        <v>0</v>
      </c>
      <c r="AI60" s="31"/>
      <c r="AJ60" s="18">
        <f aca="true" t="shared" si="11" ref="AJ60:AJ69">IF(AN60=0,K60,0)</f>
        <v>0</v>
      </c>
      <c r="AK60" s="18">
        <f aca="true" t="shared" si="12" ref="AK60:AK69">IF(AN60=15,K60,0)</f>
        <v>0</v>
      </c>
      <c r="AL60" s="18">
        <f aca="true" t="shared" si="13" ref="AL60:AL69">IF(AN60=21,K60,0)</f>
        <v>0</v>
      </c>
      <c r="AN60" s="36">
        <v>21</v>
      </c>
      <c r="AO60" s="36">
        <f>H60*0</f>
        <v>0</v>
      </c>
      <c r="AP60" s="36">
        <f>H60*(1-0)</f>
        <v>0</v>
      </c>
      <c r="AQ60" s="30" t="s">
        <v>7</v>
      </c>
      <c r="AV60" s="36">
        <f aca="true" t="shared" si="14" ref="AV60:AV69">AW60+AX60</f>
        <v>0</v>
      </c>
      <c r="AW60" s="36">
        <f aca="true" t="shared" si="15" ref="AW60:AW69">G60*AO60</f>
        <v>0</v>
      </c>
      <c r="AX60" s="36">
        <f aca="true" t="shared" si="16" ref="AX60:AX69">G60*AP60</f>
        <v>0</v>
      </c>
      <c r="AY60" s="37" t="s">
        <v>360</v>
      </c>
      <c r="AZ60" s="37" t="s">
        <v>376</v>
      </c>
      <c r="BA60" s="31" t="s">
        <v>380</v>
      </c>
      <c r="BC60" s="36">
        <f aca="true" t="shared" si="17" ref="BC60:BC69">AW60+AX60</f>
        <v>0</v>
      </c>
      <c r="BD60" s="36">
        <f aca="true" t="shared" si="18" ref="BD60:BD69">H60/(100-BE60)*100</f>
        <v>0</v>
      </c>
      <c r="BE60" s="36">
        <v>0</v>
      </c>
      <c r="BF60" s="36">
        <f>60</f>
        <v>60</v>
      </c>
      <c r="BH60" s="18">
        <f aca="true" t="shared" si="19" ref="BH60:BH69">G60*AO60</f>
        <v>0</v>
      </c>
      <c r="BI60" s="18">
        <f aca="true" t="shared" si="20" ref="BI60:BI69">G60*AP60</f>
        <v>0</v>
      </c>
      <c r="BJ60" s="18">
        <f aca="true" t="shared" si="21" ref="BJ60:BJ69">G60*H60</f>
        <v>0</v>
      </c>
    </row>
    <row r="61" spans="1:62" ht="12.75">
      <c r="A61" s="4" t="s">
        <v>24</v>
      </c>
      <c r="B61" s="4" t="s">
        <v>121</v>
      </c>
      <c r="C61" s="106" t="s">
        <v>457</v>
      </c>
      <c r="D61" s="107"/>
      <c r="E61" s="107"/>
      <c r="F61" s="4" t="s">
        <v>329</v>
      </c>
      <c r="G61" s="18">
        <v>155.22</v>
      </c>
      <c r="H61" s="74">
        <v>0</v>
      </c>
      <c r="I61" s="18">
        <f t="shared" si="0"/>
        <v>0</v>
      </c>
      <c r="J61" s="18">
        <f t="shared" si="1"/>
        <v>0</v>
      </c>
      <c r="K61" s="18">
        <f t="shared" si="2"/>
        <v>0</v>
      </c>
      <c r="L61" s="30" t="s">
        <v>348</v>
      </c>
      <c r="Z61" s="36">
        <f t="shared" si="3"/>
        <v>0</v>
      </c>
      <c r="AB61" s="36">
        <f t="shared" si="4"/>
        <v>0</v>
      </c>
      <c r="AC61" s="36">
        <f t="shared" si="5"/>
        <v>0</v>
      </c>
      <c r="AD61" s="36">
        <f t="shared" si="6"/>
        <v>0</v>
      </c>
      <c r="AE61" s="36">
        <f t="shared" si="7"/>
        <v>0</v>
      </c>
      <c r="AF61" s="36">
        <f t="shared" si="8"/>
        <v>0</v>
      </c>
      <c r="AG61" s="36">
        <f t="shared" si="9"/>
        <v>0</v>
      </c>
      <c r="AH61" s="36">
        <f t="shared" si="10"/>
        <v>0</v>
      </c>
      <c r="AI61" s="31"/>
      <c r="AJ61" s="18">
        <f t="shared" si="11"/>
        <v>0</v>
      </c>
      <c r="AK61" s="18">
        <f t="shared" si="12"/>
        <v>0</v>
      </c>
      <c r="AL61" s="18">
        <f t="shared" si="13"/>
        <v>0</v>
      </c>
      <c r="AN61" s="36">
        <v>21</v>
      </c>
      <c r="AO61" s="36">
        <f>H61*0.543383739301431</f>
        <v>0</v>
      </c>
      <c r="AP61" s="36">
        <f>H61*(1-0.543383739301431)</f>
        <v>0</v>
      </c>
      <c r="AQ61" s="30" t="s">
        <v>7</v>
      </c>
      <c r="AV61" s="36">
        <f t="shared" si="14"/>
        <v>0</v>
      </c>
      <c r="AW61" s="36">
        <f t="shared" si="15"/>
        <v>0</v>
      </c>
      <c r="AX61" s="36">
        <f t="shared" si="16"/>
        <v>0</v>
      </c>
      <c r="AY61" s="37" t="s">
        <v>360</v>
      </c>
      <c r="AZ61" s="37" t="s">
        <v>376</v>
      </c>
      <c r="BA61" s="31" t="s">
        <v>380</v>
      </c>
      <c r="BC61" s="36">
        <f t="shared" si="17"/>
        <v>0</v>
      </c>
      <c r="BD61" s="36">
        <f t="shared" si="18"/>
        <v>0</v>
      </c>
      <c r="BE61" s="36">
        <v>0</v>
      </c>
      <c r="BF61" s="36">
        <f>61</f>
        <v>61</v>
      </c>
      <c r="BH61" s="18">
        <f t="shared" si="19"/>
        <v>0</v>
      </c>
      <c r="BI61" s="18">
        <f t="shared" si="20"/>
        <v>0</v>
      </c>
      <c r="BJ61" s="18">
        <f t="shared" si="21"/>
        <v>0</v>
      </c>
    </row>
    <row r="62" spans="1:62" ht="12.75">
      <c r="A62" s="4" t="s">
        <v>25</v>
      </c>
      <c r="B62" s="4" t="s">
        <v>122</v>
      </c>
      <c r="C62" s="106" t="s">
        <v>458</v>
      </c>
      <c r="D62" s="107"/>
      <c r="E62" s="107"/>
      <c r="F62" s="4" t="s">
        <v>329</v>
      </c>
      <c r="G62" s="18">
        <v>61.5</v>
      </c>
      <c r="H62" s="74">
        <v>0</v>
      </c>
      <c r="I62" s="18">
        <f t="shared" si="0"/>
        <v>0</v>
      </c>
      <c r="J62" s="18">
        <f t="shared" si="1"/>
        <v>0</v>
      </c>
      <c r="K62" s="18">
        <f t="shared" si="2"/>
        <v>0</v>
      </c>
      <c r="L62" s="30" t="s">
        <v>348</v>
      </c>
      <c r="Z62" s="36">
        <f t="shared" si="3"/>
        <v>0</v>
      </c>
      <c r="AB62" s="36">
        <f t="shared" si="4"/>
        <v>0</v>
      </c>
      <c r="AC62" s="36">
        <f t="shared" si="5"/>
        <v>0</v>
      </c>
      <c r="AD62" s="36">
        <f t="shared" si="6"/>
        <v>0</v>
      </c>
      <c r="AE62" s="36">
        <f t="shared" si="7"/>
        <v>0</v>
      </c>
      <c r="AF62" s="36">
        <f t="shared" si="8"/>
        <v>0</v>
      </c>
      <c r="AG62" s="36">
        <f t="shared" si="9"/>
        <v>0</v>
      </c>
      <c r="AH62" s="36">
        <f t="shared" si="10"/>
        <v>0</v>
      </c>
      <c r="AI62" s="31"/>
      <c r="AJ62" s="18">
        <f t="shared" si="11"/>
        <v>0</v>
      </c>
      <c r="AK62" s="18">
        <f t="shared" si="12"/>
        <v>0</v>
      </c>
      <c r="AL62" s="18">
        <f t="shared" si="13"/>
        <v>0</v>
      </c>
      <c r="AN62" s="36">
        <v>21</v>
      </c>
      <c r="AO62" s="36">
        <f>H62*0.723183931193722</f>
        <v>0</v>
      </c>
      <c r="AP62" s="36">
        <f>H62*(1-0.723183931193722)</f>
        <v>0</v>
      </c>
      <c r="AQ62" s="30" t="s">
        <v>7</v>
      </c>
      <c r="AV62" s="36">
        <f t="shared" si="14"/>
        <v>0</v>
      </c>
      <c r="AW62" s="36">
        <f t="shared" si="15"/>
        <v>0</v>
      </c>
      <c r="AX62" s="36">
        <f t="shared" si="16"/>
        <v>0</v>
      </c>
      <c r="AY62" s="37" t="s">
        <v>360</v>
      </c>
      <c r="AZ62" s="37" t="s">
        <v>376</v>
      </c>
      <c r="BA62" s="31" t="s">
        <v>380</v>
      </c>
      <c r="BC62" s="36">
        <f t="shared" si="17"/>
        <v>0</v>
      </c>
      <c r="BD62" s="36">
        <f t="shared" si="18"/>
        <v>0</v>
      </c>
      <c r="BE62" s="36">
        <v>0</v>
      </c>
      <c r="BF62" s="36">
        <f>62</f>
        <v>62</v>
      </c>
      <c r="BH62" s="18">
        <f t="shared" si="19"/>
        <v>0</v>
      </c>
      <c r="BI62" s="18">
        <f t="shared" si="20"/>
        <v>0</v>
      </c>
      <c r="BJ62" s="18">
        <f t="shared" si="21"/>
        <v>0</v>
      </c>
    </row>
    <row r="63" spans="1:62" ht="12.75">
      <c r="A63" s="4" t="s">
        <v>26</v>
      </c>
      <c r="B63" s="4" t="s">
        <v>123</v>
      </c>
      <c r="C63" s="106" t="s">
        <v>248</v>
      </c>
      <c r="D63" s="107"/>
      <c r="E63" s="107"/>
      <c r="F63" s="4" t="s">
        <v>329</v>
      </c>
      <c r="G63" s="18">
        <v>252.16</v>
      </c>
      <c r="H63" s="74">
        <v>0</v>
      </c>
      <c r="I63" s="18">
        <f t="shared" si="0"/>
        <v>0</v>
      </c>
      <c r="J63" s="18">
        <f t="shared" si="1"/>
        <v>0</v>
      </c>
      <c r="K63" s="18">
        <f t="shared" si="2"/>
        <v>0</v>
      </c>
      <c r="L63" s="30" t="s">
        <v>348</v>
      </c>
      <c r="Z63" s="36">
        <f t="shared" si="3"/>
        <v>0</v>
      </c>
      <c r="AB63" s="36">
        <f t="shared" si="4"/>
        <v>0</v>
      </c>
      <c r="AC63" s="36">
        <f t="shared" si="5"/>
        <v>0</v>
      </c>
      <c r="AD63" s="36">
        <f t="shared" si="6"/>
        <v>0</v>
      </c>
      <c r="AE63" s="36">
        <f t="shared" si="7"/>
        <v>0</v>
      </c>
      <c r="AF63" s="36">
        <f t="shared" si="8"/>
        <v>0</v>
      </c>
      <c r="AG63" s="36">
        <f t="shared" si="9"/>
        <v>0</v>
      </c>
      <c r="AH63" s="36">
        <f t="shared" si="10"/>
        <v>0</v>
      </c>
      <c r="AI63" s="31"/>
      <c r="AJ63" s="18">
        <f t="shared" si="11"/>
        <v>0</v>
      </c>
      <c r="AK63" s="18">
        <f t="shared" si="12"/>
        <v>0</v>
      </c>
      <c r="AL63" s="18">
        <f t="shared" si="13"/>
        <v>0</v>
      </c>
      <c r="AN63" s="36">
        <v>21</v>
      </c>
      <c r="AO63" s="36">
        <f>H63*0.270800970697961</f>
        <v>0</v>
      </c>
      <c r="AP63" s="36">
        <f>H63*(1-0.270800970697961)</f>
        <v>0</v>
      </c>
      <c r="AQ63" s="30" t="s">
        <v>7</v>
      </c>
      <c r="AV63" s="36">
        <f t="shared" si="14"/>
        <v>0</v>
      </c>
      <c r="AW63" s="36">
        <f t="shared" si="15"/>
        <v>0</v>
      </c>
      <c r="AX63" s="36">
        <f t="shared" si="16"/>
        <v>0</v>
      </c>
      <c r="AY63" s="37" t="s">
        <v>360</v>
      </c>
      <c r="AZ63" s="37" t="s">
        <v>376</v>
      </c>
      <c r="BA63" s="31" t="s">
        <v>380</v>
      </c>
      <c r="BC63" s="36">
        <f t="shared" si="17"/>
        <v>0</v>
      </c>
      <c r="BD63" s="36">
        <f t="shared" si="18"/>
        <v>0</v>
      </c>
      <c r="BE63" s="36">
        <v>0</v>
      </c>
      <c r="BF63" s="36">
        <f>63</f>
        <v>63</v>
      </c>
      <c r="BH63" s="18">
        <f t="shared" si="19"/>
        <v>0</v>
      </c>
      <c r="BI63" s="18">
        <f t="shared" si="20"/>
        <v>0</v>
      </c>
      <c r="BJ63" s="18">
        <f t="shared" si="21"/>
        <v>0</v>
      </c>
    </row>
    <row r="64" spans="1:62" ht="12.75">
      <c r="A64" s="4" t="s">
        <v>27</v>
      </c>
      <c r="B64" s="4" t="s">
        <v>124</v>
      </c>
      <c r="C64" s="106" t="s">
        <v>249</v>
      </c>
      <c r="D64" s="107"/>
      <c r="E64" s="107"/>
      <c r="F64" s="4" t="s">
        <v>329</v>
      </c>
      <c r="G64" s="18">
        <v>773.92</v>
      </c>
      <c r="H64" s="74">
        <v>0</v>
      </c>
      <c r="I64" s="18">
        <f t="shared" si="0"/>
        <v>0</v>
      </c>
      <c r="J64" s="18">
        <f t="shared" si="1"/>
        <v>0</v>
      </c>
      <c r="K64" s="18">
        <f t="shared" si="2"/>
        <v>0</v>
      </c>
      <c r="L64" s="30" t="s">
        <v>348</v>
      </c>
      <c r="Z64" s="36">
        <f t="shared" si="3"/>
        <v>0</v>
      </c>
      <c r="AB64" s="36">
        <f t="shared" si="4"/>
        <v>0</v>
      </c>
      <c r="AC64" s="36">
        <f t="shared" si="5"/>
        <v>0</v>
      </c>
      <c r="AD64" s="36">
        <f t="shared" si="6"/>
        <v>0</v>
      </c>
      <c r="AE64" s="36">
        <f t="shared" si="7"/>
        <v>0</v>
      </c>
      <c r="AF64" s="36">
        <f t="shared" si="8"/>
        <v>0</v>
      </c>
      <c r="AG64" s="36">
        <f t="shared" si="9"/>
        <v>0</v>
      </c>
      <c r="AH64" s="36">
        <f t="shared" si="10"/>
        <v>0</v>
      </c>
      <c r="AI64" s="31"/>
      <c r="AJ64" s="18">
        <f t="shared" si="11"/>
        <v>0</v>
      </c>
      <c r="AK64" s="18">
        <f t="shared" si="12"/>
        <v>0</v>
      </c>
      <c r="AL64" s="18">
        <f t="shared" si="13"/>
        <v>0</v>
      </c>
      <c r="AN64" s="36">
        <v>21</v>
      </c>
      <c r="AO64" s="36">
        <f>H64*0.240880086189136</f>
        <v>0</v>
      </c>
      <c r="AP64" s="36">
        <f>H64*(1-0.240880086189136)</f>
        <v>0</v>
      </c>
      <c r="AQ64" s="30" t="s">
        <v>7</v>
      </c>
      <c r="AV64" s="36">
        <f t="shared" si="14"/>
        <v>0</v>
      </c>
      <c r="AW64" s="36">
        <f t="shared" si="15"/>
        <v>0</v>
      </c>
      <c r="AX64" s="36">
        <f t="shared" si="16"/>
        <v>0</v>
      </c>
      <c r="AY64" s="37" t="s">
        <v>360</v>
      </c>
      <c r="AZ64" s="37" t="s">
        <v>376</v>
      </c>
      <c r="BA64" s="31" t="s">
        <v>380</v>
      </c>
      <c r="BC64" s="36">
        <f t="shared" si="17"/>
        <v>0</v>
      </c>
      <c r="BD64" s="36">
        <f t="shared" si="18"/>
        <v>0</v>
      </c>
      <c r="BE64" s="36">
        <v>0</v>
      </c>
      <c r="BF64" s="36">
        <f>64</f>
        <v>64</v>
      </c>
      <c r="BH64" s="18">
        <f t="shared" si="19"/>
        <v>0</v>
      </c>
      <c r="BI64" s="18">
        <f t="shared" si="20"/>
        <v>0</v>
      </c>
      <c r="BJ64" s="18">
        <f t="shared" si="21"/>
        <v>0</v>
      </c>
    </row>
    <row r="65" spans="1:62" ht="12.75">
      <c r="A65" s="4" t="s">
        <v>28</v>
      </c>
      <c r="B65" s="4" t="s">
        <v>125</v>
      </c>
      <c r="C65" s="106" t="s">
        <v>250</v>
      </c>
      <c r="D65" s="107"/>
      <c r="E65" s="107"/>
      <c r="F65" s="4" t="s">
        <v>329</v>
      </c>
      <c r="G65" s="18">
        <v>61.2</v>
      </c>
      <c r="H65" s="74">
        <v>0</v>
      </c>
      <c r="I65" s="18">
        <f t="shared" si="0"/>
        <v>0</v>
      </c>
      <c r="J65" s="18">
        <f t="shared" si="1"/>
        <v>0</v>
      </c>
      <c r="K65" s="18">
        <f t="shared" si="2"/>
        <v>0</v>
      </c>
      <c r="L65" s="30" t="s">
        <v>348</v>
      </c>
      <c r="Z65" s="36">
        <f t="shared" si="3"/>
        <v>0</v>
      </c>
      <c r="AB65" s="36">
        <f t="shared" si="4"/>
        <v>0</v>
      </c>
      <c r="AC65" s="36">
        <f t="shared" si="5"/>
        <v>0</v>
      </c>
      <c r="AD65" s="36">
        <f t="shared" si="6"/>
        <v>0</v>
      </c>
      <c r="AE65" s="36">
        <f t="shared" si="7"/>
        <v>0</v>
      </c>
      <c r="AF65" s="36">
        <f t="shared" si="8"/>
        <v>0</v>
      </c>
      <c r="AG65" s="36">
        <f t="shared" si="9"/>
        <v>0</v>
      </c>
      <c r="AH65" s="36">
        <f t="shared" si="10"/>
        <v>0</v>
      </c>
      <c r="AI65" s="31"/>
      <c r="AJ65" s="18">
        <f t="shared" si="11"/>
        <v>0</v>
      </c>
      <c r="AK65" s="18">
        <f t="shared" si="12"/>
        <v>0</v>
      </c>
      <c r="AL65" s="18">
        <f t="shared" si="13"/>
        <v>0</v>
      </c>
      <c r="AN65" s="36">
        <v>21</v>
      </c>
      <c r="AO65" s="36">
        <f>H65*0.698894211707309</f>
        <v>0</v>
      </c>
      <c r="AP65" s="36">
        <f>H65*(1-0.698894211707309)</f>
        <v>0</v>
      </c>
      <c r="AQ65" s="30" t="s">
        <v>7</v>
      </c>
      <c r="AV65" s="36">
        <f t="shared" si="14"/>
        <v>0</v>
      </c>
      <c r="AW65" s="36">
        <f t="shared" si="15"/>
        <v>0</v>
      </c>
      <c r="AX65" s="36">
        <f t="shared" si="16"/>
        <v>0</v>
      </c>
      <c r="AY65" s="37" t="s">
        <v>360</v>
      </c>
      <c r="AZ65" s="37" t="s">
        <v>376</v>
      </c>
      <c r="BA65" s="31" t="s">
        <v>380</v>
      </c>
      <c r="BC65" s="36">
        <f t="shared" si="17"/>
        <v>0</v>
      </c>
      <c r="BD65" s="36">
        <f t="shared" si="18"/>
        <v>0</v>
      </c>
      <c r="BE65" s="36">
        <v>0</v>
      </c>
      <c r="BF65" s="36">
        <f>65</f>
        <v>65</v>
      </c>
      <c r="BH65" s="18">
        <f t="shared" si="19"/>
        <v>0</v>
      </c>
      <c r="BI65" s="18">
        <f t="shared" si="20"/>
        <v>0</v>
      </c>
      <c r="BJ65" s="18">
        <f t="shared" si="21"/>
        <v>0</v>
      </c>
    </row>
    <row r="66" spans="1:62" ht="12.75">
      <c r="A66" s="4" t="s">
        <v>29</v>
      </c>
      <c r="B66" s="4" t="s">
        <v>126</v>
      </c>
      <c r="C66" s="106" t="s">
        <v>251</v>
      </c>
      <c r="D66" s="107"/>
      <c r="E66" s="107"/>
      <c r="F66" s="4" t="s">
        <v>329</v>
      </c>
      <c r="G66" s="18">
        <v>213.65</v>
      </c>
      <c r="H66" s="74">
        <v>0</v>
      </c>
      <c r="I66" s="18">
        <f t="shared" si="0"/>
        <v>0</v>
      </c>
      <c r="J66" s="18">
        <f t="shared" si="1"/>
        <v>0</v>
      </c>
      <c r="K66" s="18">
        <f t="shared" si="2"/>
        <v>0</v>
      </c>
      <c r="L66" s="30" t="s">
        <v>348</v>
      </c>
      <c r="Z66" s="36">
        <f t="shared" si="3"/>
        <v>0</v>
      </c>
      <c r="AB66" s="36">
        <f t="shared" si="4"/>
        <v>0</v>
      </c>
      <c r="AC66" s="36">
        <f t="shared" si="5"/>
        <v>0</v>
      </c>
      <c r="AD66" s="36">
        <f t="shared" si="6"/>
        <v>0</v>
      </c>
      <c r="AE66" s="36">
        <f t="shared" si="7"/>
        <v>0</v>
      </c>
      <c r="AF66" s="36">
        <f t="shared" si="8"/>
        <v>0</v>
      </c>
      <c r="AG66" s="36">
        <f t="shared" si="9"/>
        <v>0</v>
      </c>
      <c r="AH66" s="36">
        <f t="shared" si="10"/>
        <v>0</v>
      </c>
      <c r="AI66" s="31"/>
      <c r="AJ66" s="18">
        <f t="shared" si="11"/>
        <v>0</v>
      </c>
      <c r="AK66" s="18">
        <f t="shared" si="12"/>
        <v>0</v>
      </c>
      <c r="AL66" s="18">
        <f t="shared" si="13"/>
        <v>0</v>
      </c>
      <c r="AN66" s="36">
        <v>21</v>
      </c>
      <c r="AO66" s="36">
        <f>H66*0.259559011793476</f>
        <v>0</v>
      </c>
      <c r="AP66" s="36">
        <f>H66*(1-0.259559011793476)</f>
        <v>0</v>
      </c>
      <c r="AQ66" s="30" t="s">
        <v>7</v>
      </c>
      <c r="AV66" s="36">
        <f t="shared" si="14"/>
        <v>0</v>
      </c>
      <c r="AW66" s="36">
        <f t="shared" si="15"/>
        <v>0</v>
      </c>
      <c r="AX66" s="36">
        <f t="shared" si="16"/>
        <v>0</v>
      </c>
      <c r="AY66" s="37" t="s">
        <v>360</v>
      </c>
      <c r="AZ66" s="37" t="s">
        <v>376</v>
      </c>
      <c r="BA66" s="31" t="s">
        <v>380</v>
      </c>
      <c r="BC66" s="36">
        <f t="shared" si="17"/>
        <v>0</v>
      </c>
      <c r="BD66" s="36">
        <f t="shared" si="18"/>
        <v>0</v>
      </c>
      <c r="BE66" s="36">
        <v>0</v>
      </c>
      <c r="BF66" s="36">
        <f>66</f>
        <v>66</v>
      </c>
      <c r="BH66" s="18">
        <f t="shared" si="19"/>
        <v>0</v>
      </c>
      <c r="BI66" s="18">
        <f t="shared" si="20"/>
        <v>0</v>
      </c>
      <c r="BJ66" s="18">
        <f t="shared" si="21"/>
        <v>0</v>
      </c>
    </row>
    <row r="67" spans="1:62" ht="12.75">
      <c r="A67" s="4" t="s">
        <v>30</v>
      </c>
      <c r="B67" s="4" t="s">
        <v>127</v>
      </c>
      <c r="C67" s="106" t="s">
        <v>252</v>
      </c>
      <c r="D67" s="107"/>
      <c r="E67" s="107"/>
      <c r="F67" s="4" t="s">
        <v>328</v>
      </c>
      <c r="G67" s="18">
        <v>615.7704</v>
      </c>
      <c r="H67" s="74">
        <v>0</v>
      </c>
      <c r="I67" s="18">
        <f t="shared" si="0"/>
        <v>0</v>
      </c>
      <c r="J67" s="18">
        <f t="shared" si="1"/>
        <v>0</v>
      </c>
      <c r="K67" s="18">
        <f t="shared" si="2"/>
        <v>0</v>
      </c>
      <c r="L67" s="30" t="s">
        <v>348</v>
      </c>
      <c r="Z67" s="36">
        <f t="shared" si="3"/>
        <v>0</v>
      </c>
      <c r="AB67" s="36">
        <f t="shared" si="4"/>
        <v>0</v>
      </c>
      <c r="AC67" s="36">
        <f t="shared" si="5"/>
        <v>0</v>
      </c>
      <c r="AD67" s="36">
        <f t="shared" si="6"/>
        <v>0</v>
      </c>
      <c r="AE67" s="36">
        <f t="shared" si="7"/>
        <v>0</v>
      </c>
      <c r="AF67" s="36">
        <f t="shared" si="8"/>
        <v>0</v>
      </c>
      <c r="AG67" s="36">
        <f t="shared" si="9"/>
        <v>0</v>
      </c>
      <c r="AH67" s="36">
        <f t="shared" si="10"/>
        <v>0</v>
      </c>
      <c r="AI67" s="31"/>
      <c r="AJ67" s="18">
        <f t="shared" si="11"/>
        <v>0</v>
      </c>
      <c r="AK67" s="18">
        <f t="shared" si="12"/>
        <v>0</v>
      </c>
      <c r="AL67" s="18">
        <f t="shared" si="13"/>
        <v>0</v>
      </c>
      <c r="AN67" s="36">
        <v>21</v>
      </c>
      <c r="AO67" s="36">
        <f>H67*0.203966251434346</f>
        <v>0</v>
      </c>
      <c r="AP67" s="36">
        <f>H67*(1-0.203966251434346)</f>
        <v>0</v>
      </c>
      <c r="AQ67" s="30" t="s">
        <v>7</v>
      </c>
      <c r="AV67" s="36">
        <f t="shared" si="14"/>
        <v>0</v>
      </c>
      <c r="AW67" s="36">
        <f t="shared" si="15"/>
        <v>0</v>
      </c>
      <c r="AX67" s="36">
        <f t="shared" si="16"/>
        <v>0</v>
      </c>
      <c r="AY67" s="37" t="s">
        <v>360</v>
      </c>
      <c r="AZ67" s="37" t="s">
        <v>376</v>
      </c>
      <c r="BA67" s="31" t="s">
        <v>380</v>
      </c>
      <c r="BC67" s="36">
        <f t="shared" si="17"/>
        <v>0</v>
      </c>
      <c r="BD67" s="36">
        <f t="shared" si="18"/>
        <v>0</v>
      </c>
      <c r="BE67" s="36">
        <v>0</v>
      </c>
      <c r="BF67" s="36">
        <f>67</f>
        <v>67</v>
      </c>
      <c r="BH67" s="18">
        <f t="shared" si="19"/>
        <v>0</v>
      </c>
      <c r="BI67" s="18">
        <f t="shared" si="20"/>
        <v>0</v>
      </c>
      <c r="BJ67" s="18">
        <f t="shared" si="21"/>
        <v>0</v>
      </c>
    </row>
    <row r="68" spans="1:62" ht="12.75">
      <c r="A68" s="4" t="s">
        <v>31</v>
      </c>
      <c r="B68" s="4" t="s">
        <v>128</v>
      </c>
      <c r="C68" s="106" t="s">
        <v>253</v>
      </c>
      <c r="D68" s="107"/>
      <c r="E68" s="107"/>
      <c r="F68" s="4" t="s">
        <v>328</v>
      </c>
      <c r="G68" s="18">
        <v>1847.3112</v>
      </c>
      <c r="H68" s="74">
        <v>0</v>
      </c>
      <c r="I68" s="18">
        <f t="shared" si="0"/>
        <v>0</v>
      </c>
      <c r="J68" s="18">
        <f t="shared" si="1"/>
        <v>0</v>
      </c>
      <c r="K68" s="18">
        <f t="shared" si="2"/>
        <v>0</v>
      </c>
      <c r="L68" s="30" t="s">
        <v>348</v>
      </c>
      <c r="Z68" s="36">
        <f t="shared" si="3"/>
        <v>0</v>
      </c>
      <c r="AB68" s="36">
        <f t="shared" si="4"/>
        <v>0</v>
      </c>
      <c r="AC68" s="36">
        <f t="shared" si="5"/>
        <v>0</v>
      </c>
      <c r="AD68" s="36">
        <f t="shared" si="6"/>
        <v>0</v>
      </c>
      <c r="AE68" s="36">
        <f t="shared" si="7"/>
        <v>0</v>
      </c>
      <c r="AF68" s="36">
        <f t="shared" si="8"/>
        <v>0</v>
      </c>
      <c r="AG68" s="36">
        <f t="shared" si="9"/>
        <v>0</v>
      </c>
      <c r="AH68" s="36">
        <f t="shared" si="10"/>
        <v>0</v>
      </c>
      <c r="AI68" s="31"/>
      <c r="AJ68" s="18">
        <f t="shared" si="11"/>
        <v>0</v>
      </c>
      <c r="AK68" s="18">
        <f t="shared" si="12"/>
        <v>0</v>
      </c>
      <c r="AL68" s="18">
        <f t="shared" si="13"/>
        <v>0</v>
      </c>
      <c r="AN68" s="36">
        <v>21</v>
      </c>
      <c r="AO68" s="36">
        <f>H68*0.0655405423624292</f>
        <v>0</v>
      </c>
      <c r="AP68" s="36">
        <f>H68*(1-0.0655405423624292)</f>
        <v>0</v>
      </c>
      <c r="AQ68" s="30" t="s">
        <v>7</v>
      </c>
      <c r="AV68" s="36">
        <f t="shared" si="14"/>
        <v>0</v>
      </c>
      <c r="AW68" s="36">
        <f t="shared" si="15"/>
        <v>0</v>
      </c>
      <c r="AX68" s="36">
        <f t="shared" si="16"/>
        <v>0</v>
      </c>
      <c r="AY68" s="37" t="s">
        <v>360</v>
      </c>
      <c r="AZ68" s="37" t="s">
        <v>376</v>
      </c>
      <c r="BA68" s="31" t="s">
        <v>380</v>
      </c>
      <c r="BC68" s="36">
        <f t="shared" si="17"/>
        <v>0</v>
      </c>
      <c r="BD68" s="36">
        <f t="shared" si="18"/>
        <v>0</v>
      </c>
      <c r="BE68" s="36">
        <v>0</v>
      </c>
      <c r="BF68" s="36">
        <f>68</f>
        <v>68</v>
      </c>
      <c r="BH68" s="18">
        <f t="shared" si="19"/>
        <v>0</v>
      </c>
      <c r="BI68" s="18">
        <f t="shared" si="20"/>
        <v>0</v>
      </c>
      <c r="BJ68" s="18">
        <f t="shared" si="21"/>
        <v>0</v>
      </c>
    </row>
    <row r="69" spans="1:62" ht="12.75">
      <c r="A69" s="4" t="s">
        <v>32</v>
      </c>
      <c r="B69" s="4" t="s">
        <v>129</v>
      </c>
      <c r="C69" s="106" t="s">
        <v>254</v>
      </c>
      <c r="D69" s="107"/>
      <c r="E69" s="107"/>
      <c r="F69" s="4" t="s">
        <v>329</v>
      </c>
      <c r="G69" s="18">
        <v>1026.09</v>
      </c>
      <c r="H69" s="74">
        <v>0</v>
      </c>
      <c r="I69" s="18">
        <f t="shared" si="0"/>
        <v>0</v>
      </c>
      <c r="J69" s="18">
        <f t="shared" si="1"/>
        <v>0</v>
      </c>
      <c r="K69" s="18">
        <f t="shared" si="2"/>
        <v>0</v>
      </c>
      <c r="L69" s="30" t="s">
        <v>348</v>
      </c>
      <c r="Z69" s="36">
        <f t="shared" si="3"/>
        <v>0</v>
      </c>
      <c r="AB69" s="36">
        <f t="shared" si="4"/>
        <v>0</v>
      </c>
      <c r="AC69" s="36">
        <f t="shared" si="5"/>
        <v>0</v>
      </c>
      <c r="AD69" s="36">
        <f t="shared" si="6"/>
        <v>0</v>
      </c>
      <c r="AE69" s="36">
        <f t="shared" si="7"/>
        <v>0</v>
      </c>
      <c r="AF69" s="36">
        <f t="shared" si="8"/>
        <v>0</v>
      </c>
      <c r="AG69" s="36">
        <f t="shared" si="9"/>
        <v>0</v>
      </c>
      <c r="AH69" s="36">
        <f t="shared" si="10"/>
        <v>0</v>
      </c>
      <c r="AI69" s="31"/>
      <c r="AJ69" s="18">
        <f t="shared" si="11"/>
        <v>0</v>
      </c>
      <c r="AK69" s="18">
        <f t="shared" si="12"/>
        <v>0</v>
      </c>
      <c r="AL69" s="18">
        <f t="shared" si="13"/>
        <v>0</v>
      </c>
      <c r="AN69" s="36">
        <v>21</v>
      </c>
      <c r="AO69" s="36">
        <f>H69*0.468641918922724</f>
        <v>0</v>
      </c>
      <c r="AP69" s="36">
        <f>H69*(1-0.468641918922724)</f>
        <v>0</v>
      </c>
      <c r="AQ69" s="30" t="s">
        <v>7</v>
      </c>
      <c r="AV69" s="36">
        <f t="shared" si="14"/>
        <v>0</v>
      </c>
      <c r="AW69" s="36">
        <f t="shared" si="15"/>
        <v>0</v>
      </c>
      <c r="AX69" s="36">
        <f t="shared" si="16"/>
        <v>0</v>
      </c>
      <c r="AY69" s="37" t="s">
        <v>360</v>
      </c>
      <c r="AZ69" s="37" t="s">
        <v>376</v>
      </c>
      <c r="BA69" s="31" t="s">
        <v>380</v>
      </c>
      <c r="BC69" s="36">
        <f t="shared" si="17"/>
        <v>0</v>
      </c>
      <c r="BD69" s="36">
        <f t="shared" si="18"/>
        <v>0</v>
      </c>
      <c r="BE69" s="36">
        <v>0</v>
      </c>
      <c r="BF69" s="36">
        <f>69</f>
        <v>69</v>
      </c>
      <c r="BH69" s="18">
        <f t="shared" si="19"/>
        <v>0</v>
      </c>
      <c r="BI69" s="18">
        <f t="shared" si="20"/>
        <v>0</v>
      </c>
      <c r="BJ69" s="18">
        <f t="shared" si="21"/>
        <v>0</v>
      </c>
    </row>
    <row r="70" spans="1:47" ht="12.75">
      <c r="A70" s="5"/>
      <c r="B70" s="14" t="s">
        <v>69</v>
      </c>
      <c r="C70" s="110" t="s">
        <v>255</v>
      </c>
      <c r="D70" s="111"/>
      <c r="E70" s="111"/>
      <c r="F70" s="5" t="s">
        <v>6</v>
      </c>
      <c r="G70" s="5" t="s">
        <v>6</v>
      </c>
      <c r="H70" s="5" t="s">
        <v>6</v>
      </c>
      <c r="I70" s="39">
        <f>SUM(I71:I71)</f>
        <v>0</v>
      </c>
      <c r="J70" s="39">
        <f>SUM(J71:J71)</f>
        <v>0</v>
      </c>
      <c r="K70" s="39">
        <f>SUM(K71:K71)</f>
        <v>0</v>
      </c>
      <c r="L70" s="31"/>
      <c r="AI70" s="31"/>
      <c r="AS70" s="39">
        <f>SUM(AJ71:AJ71)</f>
        <v>0</v>
      </c>
      <c r="AT70" s="39">
        <f>SUM(AK71:AK71)</f>
        <v>0</v>
      </c>
      <c r="AU70" s="39">
        <f>SUM(AL71:AL71)</f>
        <v>0</v>
      </c>
    </row>
    <row r="71" spans="1:62" ht="12.75">
      <c r="A71" s="4" t="s">
        <v>33</v>
      </c>
      <c r="B71" s="4" t="s">
        <v>130</v>
      </c>
      <c r="C71" s="106" t="s">
        <v>256</v>
      </c>
      <c r="D71" s="107"/>
      <c r="E71" s="107"/>
      <c r="F71" s="4" t="s">
        <v>325</v>
      </c>
      <c r="G71" s="18">
        <v>32.125</v>
      </c>
      <c r="H71" s="74">
        <v>0</v>
      </c>
      <c r="I71" s="18">
        <f>G71*AO71</f>
        <v>0</v>
      </c>
      <c r="J71" s="18">
        <f>G71*AP71</f>
        <v>0</v>
      </c>
      <c r="K71" s="18">
        <f>G71*H71</f>
        <v>0</v>
      </c>
      <c r="L71" s="30" t="s">
        <v>348</v>
      </c>
      <c r="Z71" s="36">
        <f>IF(AQ71="5",BJ71,0)</f>
        <v>0</v>
      </c>
      <c r="AB71" s="36">
        <f>IF(AQ71="1",BH71,0)</f>
        <v>0</v>
      </c>
      <c r="AC71" s="36">
        <f>IF(AQ71="1",BI71,0)</f>
        <v>0</v>
      </c>
      <c r="AD71" s="36">
        <f>IF(AQ71="7",BH71,0)</f>
        <v>0</v>
      </c>
      <c r="AE71" s="36">
        <f>IF(AQ71="7",BI71,0)</f>
        <v>0</v>
      </c>
      <c r="AF71" s="36">
        <f>IF(AQ71="2",BH71,0)</f>
        <v>0</v>
      </c>
      <c r="AG71" s="36">
        <f>IF(AQ71="2",BI71,0)</f>
        <v>0</v>
      </c>
      <c r="AH71" s="36">
        <f>IF(AQ71="0",BJ71,0)</f>
        <v>0</v>
      </c>
      <c r="AI71" s="31"/>
      <c r="AJ71" s="18">
        <f>IF(AN71=0,K71,0)</f>
        <v>0</v>
      </c>
      <c r="AK71" s="18">
        <f>IF(AN71=15,K71,0)</f>
        <v>0</v>
      </c>
      <c r="AL71" s="18">
        <f>IF(AN71=21,K71,0)</f>
        <v>0</v>
      </c>
      <c r="AN71" s="36">
        <v>21</v>
      </c>
      <c r="AO71" s="36">
        <f>H71*0.755992459902198</f>
        <v>0</v>
      </c>
      <c r="AP71" s="36">
        <f>H71*(1-0.755992459902198)</f>
        <v>0</v>
      </c>
      <c r="AQ71" s="30" t="s">
        <v>7</v>
      </c>
      <c r="AV71" s="36">
        <f>AW71+AX71</f>
        <v>0</v>
      </c>
      <c r="AW71" s="36">
        <f>G71*AO71</f>
        <v>0</v>
      </c>
      <c r="AX71" s="36">
        <f>G71*AP71</f>
        <v>0</v>
      </c>
      <c r="AY71" s="37" t="s">
        <v>361</v>
      </c>
      <c r="AZ71" s="37" t="s">
        <v>376</v>
      </c>
      <c r="BA71" s="31" t="s">
        <v>380</v>
      </c>
      <c r="BC71" s="36">
        <f>AW71+AX71</f>
        <v>0</v>
      </c>
      <c r="BD71" s="36">
        <f>H71/(100-BE71)*100</f>
        <v>0</v>
      </c>
      <c r="BE71" s="36">
        <v>0</v>
      </c>
      <c r="BF71" s="36">
        <f>71</f>
        <v>71</v>
      </c>
      <c r="BH71" s="18">
        <f>G71*AO71</f>
        <v>0</v>
      </c>
      <c r="BI71" s="18">
        <f>G71*AP71</f>
        <v>0</v>
      </c>
      <c r="BJ71" s="18">
        <f>G71*H71</f>
        <v>0</v>
      </c>
    </row>
    <row r="72" spans="3:7" ht="12.75">
      <c r="C72" s="112" t="s">
        <v>257</v>
      </c>
      <c r="D72" s="113"/>
      <c r="E72" s="113"/>
      <c r="G72" s="19">
        <v>32.125</v>
      </c>
    </row>
    <row r="73" spans="1:47" ht="12.75">
      <c r="A73" s="5"/>
      <c r="B73" s="14" t="s">
        <v>70</v>
      </c>
      <c r="C73" s="110" t="s">
        <v>258</v>
      </c>
      <c r="D73" s="111"/>
      <c r="E73" s="111"/>
      <c r="F73" s="5" t="s">
        <v>6</v>
      </c>
      <c r="G73" s="5" t="s">
        <v>6</v>
      </c>
      <c r="H73" s="5" t="s">
        <v>6</v>
      </c>
      <c r="I73" s="39">
        <f>SUM(I74:I76)</f>
        <v>0</v>
      </c>
      <c r="J73" s="39">
        <f>SUM(J74:J76)</f>
        <v>0</v>
      </c>
      <c r="K73" s="39">
        <f>SUM(K74:K76)</f>
        <v>0</v>
      </c>
      <c r="L73" s="31"/>
      <c r="AI73" s="31"/>
      <c r="AS73" s="39">
        <f>SUM(AJ74:AJ76)</f>
        <v>0</v>
      </c>
      <c r="AT73" s="39">
        <f>SUM(AK74:AK76)</f>
        <v>0</v>
      </c>
      <c r="AU73" s="39">
        <f>SUM(AL74:AL76)</f>
        <v>0</v>
      </c>
    </row>
    <row r="74" spans="1:62" ht="12.75">
      <c r="A74" s="4" t="s">
        <v>34</v>
      </c>
      <c r="B74" s="4" t="s">
        <v>131</v>
      </c>
      <c r="C74" s="106" t="s">
        <v>259</v>
      </c>
      <c r="D74" s="107"/>
      <c r="E74" s="107"/>
      <c r="F74" s="4" t="s">
        <v>329</v>
      </c>
      <c r="G74" s="18">
        <v>49.03</v>
      </c>
      <c r="H74" s="74">
        <v>0</v>
      </c>
      <c r="I74" s="18">
        <f>G74*AO74</f>
        <v>0</v>
      </c>
      <c r="J74" s="18">
        <f>G74*AP74</f>
        <v>0</v>
      </c>
      <c r="K74" s="18">
        <f>G74*H74</f>
        <v>0</v>
      </c>
      <c r="L74" s="30" t="s">
        <v>348</v>
      </c>
      <c r="Z74" s="36">
        <f>IF(AQ74="5",BJ74,0)</f>
        <v>0</v>
      </c>
      <c r="AB74" s="36">
        <f>IF(AQ74="1",BH74,0)</f>
        <v>0</v>
      </c>
      <c r="AC74" s="36">
        <f>IF(AQ74="1",BI74,0)</f>
        <v>0</v>
      </c>
      <c r="AD74" s="36">
        <f>IF(AQ74="7",BH74,0)</f>
        <v>0</v>
      </c>
      <c r="AE74" s="36">
        <f>IF(AQ74="7",BI74,0)</f>
        <v>0</v>
      </c>
      <c r="AF74" s="36">
        <f>IF(AQ74="2",BH74,0)</f>
        <v>0</v>
      </c>
      <c r="AG74" s="36">
        <f>IF(AQ74="2",BI74,0)</f>
        <v>0</v>
      </c>
      <c r="AH74" s="36">
        <f>IF(AQ74="0",BJ74,0)</f>
        <v>0</v>
      </c>
      <c r="AI74" s="31"/>
      <c r="AJ74" s="18">
        <f>IF(AN74=0,K74,0)</f>
        <v>0</v>
      </c>
      <c r="AK74" s="18">
        <f>IF(AN74=15,K74,0)</f>
        <v>0</v>
      </c>
      <c r="AL74" s="18">
        <f>IF(AN74=21,K74,0)</f>
        <v>0</v>
      </c>
      <c r="AN74" s="36">
        <v>21</v>
      </c>
      <c r="AO74" s="36">
        <f>H74*0.590984578295546</f>
        <v>0</v>
      </c>
      <c r="AP74" s="36">
        <f>H74*(1-0.590984578295546)</f>
        <v>0</v>
      </c>
      <c r="AQ74" s="30" t="s">
        <v>7</v>
      </c>
      <c r="AV74" s="36">
        <f>AW74+AX74</f>
        <v>0</v>
      </c>
      <c r="AW74" s="36">
        <f>G74*AO74</f>
        <v>0</v>
      </c>
      <c r="AX74" s="36">
        <f>G74*AP74</f>
        <v>0</v>
      </c>
      <c r="AY74" s="37" t="s">
        <v>362</v>
      </c>
      <c r="AZ74" s="37" t="s">
        <v>376</v>
      </c>
      <c r="BA74" s="31" t="s">
        <v>380</v>
      </c>
      <c r="BC74" s="36">
        <f>AW74+AX74</f>
        <v>0</v>
      </c>
      <c r="BD74" s="36">
        <f>H74/(100-BE74)*100</f>
        <v>0</v>
      </c>
      <c r="BE74" s="36">
        <v>0</v>
      </c>
      <c r="BF74" s="36">
        <f>74</f>
        <v>74</v>
      </c>
      <c r="BH74" s="18">
        <f>G74*AO74</f>
        <v>0</v>
      </c>
      <c r="BI74" s="18">
        <f>G74*AP74</f>
        <v>0</v>
      </c>
      <c r="BJ74" s="18">
        <f>G74*H74</f>
        <v>0</v>
      </c>
    </row>
    <row r="75" spans="2:12" ht="12.75">
      <c r="B75" s="13" t="s">
        <v>105</v>
      </c>
      <c r="C75" s="108" t="s">
        <v>260</v>
      </c>
      <c r="D75" s="109"/>
      <c r="E75" s="109"/>
      <c r="F75" s="109"/>
      <c r="G75" s="109"/>
      <c r="H75" s="109"/>
      <c r="I75" s="109"/>
      <c r="J75" s="109"/>
      <c r="K75" s="109"/>
      <c r="L75" s="109"/>
    </row>
    <row r="76" spans="1:62" ht="12.75">
      <c r="A76" s="4" t="s">
        <v>35</v>
      </c>
      <c r="B76" s="4" t="s">
        <v>132</v>
      </c>
      <c r="C76" s="106" t="s">
        <v>259</v>
      </c>
      <c r="D76" s="107"/>
      <c r="E76" s="107"/>
      <c r="F76" s="4" t="s">
        <v>329</v>
      </c>
      <c r="G76" s="18">
        <v>123.09</v>
      </c>
      <c r="H76" s="74">
        <v>0</v>
      </c>
      <c r="I76" s="18">
        <f>G76*AO76</f>
        <v>0</v>
      </c>
      <c r="J76" s="18">
        <f>G76*AP76</f>
        <v>0</v>
      </c>
      <c r="K76" s="18">
        <f>G76*H76</f>
        <v>0</v>
      </c>
      <c r="L76" s="30" t="s">
        <v>348</v>
      </c>
      <c r="Z76" s="36">
        <f>IF(AQ76="5",BJ76,0)</f>
        <v>0</v>
      </c>
      <c r="AB76" s="36">
        <f>IF(AQ76="1",BH76,0)</f>
        <v>0</v>
      </c>
      <c r="AC76" s="36">
        <f>IF(AQ76="1",BI76,0)</f>
        <v>0</v>
      </c>
      <c r="AD76" s="36">
        <f>IF(AQ76="7",BH76,0)</f>
        <v>0</v>
      </c>
      <c r="AE76" s="36">
        <f>IF(AQ76="7",BI76,0)</f>
        <v>0</v>
      </c>
      <c r="AF76" s="36">
        <f>IF(AQ76="2",BH76,0)</f>
        <v>0</v>
      </c>
      <c r="AG76" s="36">
        <f>IF(AQ76="2",BI76,0)</f>
        <v>0</v>
      </c>
      <c r="AH76" s="36">
        <f>IF(AQ76="0",BJ76,0)</f>
        <v>0</v>
      </c>
      <c r="AI76" s="31"/>
      <c r="AJ76" s="18">
        <f>IF(AN76=0,K76,0)</f>
        <v>0</v>
      </c>
      <c r="AK76" s="18">
        <f>IF(AN76=15,K76,0)</f>
        <v>0</v>
      </c>
      <c r="AL76" s="18">
        <f>IF(AN76=21,K76,0)</f>
        <v>0</v>
      </c>
      <c r="AN76" s="36">
        <v>21</v>
      </c>
      <c r="AO76" s="36">
        <f>H76*0.619421313683999</f>
        <v>0</v>
      </c>
      <c r="AP76" s="36">
        <f>H76*(1-0.619421313683999)</f>
        <v>0</v>
      </c>
      <c r="AQ76" s="30" t="s">
        <v>7</v>
      </c>
      <c r="AV76" s="36">
        <f>AW76+AX76</f>
        <v>0</v>
      </c>
      <c r="AW76" s="36">
        <f>G76*AO76</f>
        <v>0</v>
      </c>
      <c r="AX76" s="36">
        <f>G76*AP76</f>
        <v>0</v>
      </c>
      <c r="AY76" s="37" t="s">
        <v>362</v>
      </c>
      <c r="AZ76" s="37" t="s">
        <v>376</v>
      </c>
      <c r="BA76" s="31" t="s">
        <v>380</v>
      </c>
      <c r="BC76" s="36">
        <f>AW76+AX76</f>
        <v>0</v>
      </c>
      <c r="BD76" s="36">
        <f>H76/(100-BE76)*100</f>
        <v>0</v>
      </c>
      <c r="BE76" s="36">
        <v>0</v>
      </c>
      <c r="BF76" s="36">
        <f>76</f>
        <v>76</v>
      </c>
      <c r="BH76" s="18">
        <f>G76*AO76</f>
        <v>0</v>
      </c>
      <c r="BI76" s="18">
        <f>G76*AP76</f>
        <v>0</v>
      </c>
      <c r="BJ76" s="18">
        <f>G76*H76</f>
        <v>0</v>
      </c>
    </row>
    <row r="77" spans="2:12" ht="12.75">
      <c r="B77" s="13" t="s">
        <v>105</v>
      </c>
      <c r="C77" s="108" t="s">
        <v>261</v>
      </c>
      <c r="D77" s="109"/>
      <c r="E77" s="109"/>
      <c r="F77" s="109"/>
      <c r="G77" s="109"/>
      <c r="H77" s="109"/>
      <c r="I77" s="109"/>
      <c r="J77" s="109"/>
      <c r="K77" s="109"/>
      <c r="L77" s="109"/>
    </row>
    <row r="78" spans="1:47" ht="12.75">
      <c r="A78" s="5"/>
      <c r="B78" s="14" t="s">
        <v>133</v>
      </c>
      <c r="C78" s="110" t="s">
        <v>262</v>
      </c>
      <c r="D78" s="111"/>
      <c r="E78" s="111"/>
      <c r="F78" s="5" t="s">
        <v>6</v>
      </c>
      <c r="G78" s="5" t="s">
        <v>6</v>
      </c>
      <c r="H78" s="5" t="s">
        <v>6</v>
      </c>
      <c r="I78" s="39">
        <f>SUM(I79:I91)</f>
        <v>0</v>
      </c>
      <c r="J78" s="39">
        <f>SUM(J79:J91)</f>
        <v>0</v>
      </c>
      <c r="K78" s="39">
        <f>SUM(K79:K91)</f>
        <v>0</v>
      </c>
      <c r="L78" s="31"/>
      <c r="AI78" s="31"/>
      <c r="AS78" s="39">
        <f>SUM(AJ79:AJ91)</f>
        <v>0</v>
      </c>
      <c r="AT78" s="39">
        <f>SUM(AK79:AK91)</f>
        <v>0</v>
      </c>
      <c r="AU78" s="39">
        <f>SUM(AL79:AL91)</f>
        <v>0</v>
      </c>
    </row>
    <row r="79" spans="1:62" ht="12.75">
      <c r="A79" s="4" t="s">
        <v>36</v>
      </c>
      <c r="B79" s="4" t="s">
        <v>134</v>
      </c>
      <c r="C79" s="106" t="s">
        <v>263</v>
      </c>
      <c r="D79" s="107"/>
      <c r="E79" s="107"/>
      <c r="F79" s="4" t="s">
        <v>328</v>
      </c>
      <c r="G79" s="18">
        <v>642.5</v>
      </c>
      <c r="H79" s="74">
        <v>0</v>
      </c>
      <c r="I79" s="18">
        <f>G79*AO79</f>
        <v>0</v>
      </c>
      <c r="J79" s="18">
        <f>G79*AP79</f>
        <v>0</v>
      </c>
      <c r="K79" s="18">
        <f>G79*H79</f>
        <v>0</v>
      </c>
      <c r="L79" s="30" t="s">
        <v>348</v>
      </c>
      <c r="Z79" s="36">
        <f>IF(AQ79="5",BJ79,0)</f>
        <v>0</v>
      </c>
      <c r="AB79" s="36">
        <f>IF(AQ79="1",BH79,0)</f>
        <v>0</v>
      </c>
      <c r="AC79" s="36">
        <f>IF(AQ79="1",BI79,0)</f>
        <v>0</v>
      </c>
      <c r="AD79" s="36">
        <f>IF(AQ79="7",BH79,0)</f>
        <v>0</v>
      </c>
      <c r="AE79" s="36">
        <f>IF(AQ79="7",BI79,0)</f>
        <v>0</v>
      </c>
      <c r="AF79" s="36">
        <f>IF(AQ79="2",BH79,0)</f>
        <v>0</v>
      </c>
      <c r="AG79" s="36">
        <f>IF(AQ79="2",BI79,0)</f>
        <v>0</v>
      </c>
      <c r="AH79" s="36">
        <f>IF(AQ79="0",BJ79,0)</f>
        <v>0</v>
      </c>
      <c r="AI79" s="31"/>
      <c r="AJ79" s="18">
        <f>IF(AN79=0,K79,0)</f>
        <v>0</v>
      </c>
      <c r="AK79" s="18">
        <f>IF(AN79=15,K79,0)</f>
        <v>0</v>
      </c>
      <c r="AL79" s="18">
        <f>IF(AN79=21,K79,0)</f>
        <v>0</v>
      </c>
      <c r="AN79" s="36">
        <v>21</v>
      </c>
      <c r="AO79" s="36">
        <f>H79*0</f>
        <v>0</v>
      </c>
      <c r="AP79" s="36">
        <f>H79*(1-0)</f>
        <v>0</v>
      </c>
      <c r="AQ79" s="30" t="s">
        <v>13</v>
      </c>
      <c r="AV79" s="36">
        <f>AW79+AX79</f>
        <v>0</v>
      </c>
      <c r="AW79" s="36">
        <f>G79*AO79</f>
        <v>0</v>
      </c>
      <c r="AX79" s="36">
        <f>G79*AP79</f>
        <v>0</v>
      </c>
      <c r="AY79" s="37" t="s">
        <v>363</v>
      </c>
      <c r="AZ79" s="37" t="s">
        <v>377</v>
      </c>
      <c r="BA79" s="31" t="s">
        <v>380</v>
      </c>
      <c r="BC79" s="36">
        <f>AW79+AX79</f>
        <v>0</v>
      </c>
      <c r="BD79" s="36">
        <f>H79/(100-BE79)*100</f>
        <v>0</v>
      </c>
      <c r="BE79" s="36">
        <v>0</v>
      </c>
      <c r="BF79" s="36">
        <f>79</f>
        <v>79</v>
      </c>
      <c r="BH79" s="18">
        <f>G79*AO79</f>
        <v>0</v>
      </c>
      <c r="BI79" s="18">
        <f>G79*AP79</f>
        <v>0</v>
      </c>
      <c r="BJ79" s="18">
        <f>G79*H79</f>
        <v>0</v>
      </c>
    </row>
    <row r="80" spans="1:62" ht="12.75">
      <c r="A80" s="6" t="s">
        <v>37</v>
      </c>
      <c r="B80" s="6" t="s">
        <v>135</v>
      </c>
      <c r="C80" s="116" t="s">
        <v>459</v>
      </c>
      <c r="D80" s="117"/>
      <c r="E80" s="117"/>
      <c r="F80" s="6" t="s">
        <v>328</v>
      </c>
      <c r="G80" s="20">
        <v>738.875</v>
      </c>
      <c r="H80" s="76">
        <v>0</v>
      </c>
      <c r="I80" s="20">
        <f>G80*AO80</f>
        <v>0</v>
      </c>
      <c r="J80" s="20">
        <f>G80*AP80</f>
        <v>0</v>
      </c>
      <c r="K80" s="20">
        <f>G80*H80</f>
        <v>0</v>
      </c>
      <c r="L80" s="32" t="s">
        <v>348</v>
      </c>
      <c r="Z80" s="36">
        <f>IF(AQ80="5",BJ80,0)</f>
        <v>0</v>
      </c>
      <c r="AB80" s="36">
        <f>IF(AQ80="1",BH80,0)</f>
        <v>0</v>
      </c>
      <c r="AC80" s="36">
        <f>IF(AQ80="1",BI80,0)</f>
        <v>0</v>
      </c>
      <c r="AD80" s="36">
        <f>IF(AQ80="7",BH80,0)</f>
        <v>0</v>
      </c>
      <c r="AE80" s="36">
        <f>IF(AQ80="7",BI80,0)</f>
        <v>0</v>
      </c>
      <c r="AF80" s="36">
        <f>IF(AQ80="2",BH80,0)</f>
        <v>0</v>
      </c>
      <c r="AG80" s="36">
        <f>IF(AQ80="2",BI80,0)</f>
        <v>0</v>
      </c>
      <c r="AH80" s="36">
        <f>IF(AQ80="0",BJ80,0)</f>
        <v>0</v>
      </c>
      <c r="AI80" s="31"/>
      <c r="AJ80" s="20">
        <f>IF(AN80=0,K80,0)</f>
        <v>0</v>
      </c>
      <c r="AK80" s="20">
        <f>IF(AN80=15,K80,0)</f>
        <v>0</v>
      </c>
      <c r="AL80" s="20">
        <f>IF(AN80=21,K80,0)</f>
        <v>0</v>
      </c>
      <c r="AN80" s="36">
        <v>21</v>
      </c>
      <c r="AO80" s="36">
        <f>H80*1</f>
        <v>0</v>
      </c>
      <c r="AP80" s="36">
        <f>H80*(1-1)</f>
        <v>0</v>
      </c>
      <c r="AQ80" s="32" t="s">
        <v>13</v>
      </c>
      <c r="AV80" s="36">
        <f>AW80+AX80</f>
        <v>0</v>
      </c>
      <c r="AW80" s="36">
        <f>G80*AO80</f>
        <v>0</v>
      </c>
      <c r="AX80" s="36">
        <f>G80*AP80</f>
        <v>0</v>
      </c>
      <c r="AY80" s="37" t="s">
        <v>363</v>
      </c>
      <c r="AZ80" s="37" t="s">
        <v>377</v>
      </c>
      <c r="BA80" s="31" t="s">
        <v>380</v>
      </c>
      <c r="BC80" s="36">
        <f>AW80+AX80</f>
        <v>0</v>
      </c>
      <c r="BD80" s="36">
        <f>H80/(100-BE80)*100</f>
        <v>0</v>
      </c>
      <c r="BE80" s="36">
        <v>0</v>
      </c>
      <c r="BF80" s="36">
        <f>80</f>
        <v>80</v>
      </c>
      <c r="BH80" s="20">
        <f>G80*AO80</f>
        <v>0</v>
      </c>
      <c r="BI80" s="20">
        <f>G80*AP80</f>
        <v>0</v>
      </c>
      <c r="BJ80" s="20">
        <f>G80*H80</f>
        <v>0</v>
      </c>
    </row>
    <row r="81" spans="3:7" ht="12.75">
      <c r="C81" s="112" t="s">
        <v>264</v>
      </c>
      <c r="D81" s="113"/>
      <c r="E81" s="113"/>
      <c r="G81" s="19">
        <v>642.5</v>
      </c>
    </row>
    <row r="82" spans="3:7" ht="12.75">
      <c r="C82" s="112" t="s">
        <v>265</v>
      </c>
      <c r="D82" s="113"/>
      <c r="E82" s="113"/>
      <c r="G82" s="19">
        <v>96.375</v>
      </c>
    </row>
    <row r="83" spans="1:62" ht="12.75">
      <c r="A83" s="4" t="s">
        <v>38</v>
      </c>
      <c r="B83" s="4" t="s">
        <v>136</v>
      </c>
      <c r="C83" s="106" t="s">
        <v>266</v>
      </c>
      <c r="D83" s="107"/>
      <c r="E83" s="107"/>
      <c r="F83" s="4" t="s">
        <v>328</v>
      </c>
      <c r="G83" s="18">
        <v>642.5</v>
      </c>
      <c r="H83" s="74">
        <v>0</v>
      </c>
      <c r="I83" s="18">
        <f>G83*AO83</f>
        <v>0</v>
      </c>
      <c r="J83" s="18">
        <f>G83*AP83</f>
        <v>0</v>
      </c>
      <c r="K83" s="18">
        <f>G83*H83</f>
        <v>0</v>
      </c>
      <c r="L83" s="30" t="s">
        <v>348</v>
      </c>
      <c r="Z83" s="36">
        <f>IF(AQ83="5",BJ83,0)</f>
        <v>0</v>
      </c>
      <c r="AB83" s="36">
        <f>IF(AQ83="1",BH83,0)</f>
        <v>0</v>
      </c>
      <c r="AC83" s="36">
        <f>IF(AQ83="1",BI83,0)</f>
        <v>0</v>
      </c>
      <c r="AD83" s="36">
        <f>IF(AQ83="7",BH83,0)</f>
        <v>0</v>
      </c>
      <c r="AE83" s="36">
        <f>IF(AQ83="7",BI83,0)</f>
        <v>0</v>
      </c>
      <c r="AF83" s="36">
        <f>IF(AQ83="2",BH83,0)</f>
        <v>0</v>
      </c>
      <c r="AG83" s="36">
        <f>IF(AQ83="2",BI83,0)</f>
        <v>0</v>
      </c>
      <c r="AH83" s="36">
        <f>IF(AQ83="0",BJ83,0)</f>
        <v>0</v>
      </c>
      <c r="AI83" s="31"/>
      <c r="AJ83" s="18">
        <f>IF(AN83=0,K83,0)</f>
        <v>0</v>
      </c>
      <c r="AK83" s="18">
        <f>IF(AN83=15,K83,0)</f>
        <v>0</v>
      </c>
      <c r="AL83" s="18">
        <f>IF(AN83=21,K83,0)</f>
        <v>0</v>
      </c>
      <c r="AN83" s="36">
        <v>21</v>
      </c>
      <c r="AO83" s="36">
        <f>H83*0.0882027649769585</f>
        <v>0</v>
      </c>
      <c r="AP83" s="36">
        <f>H83*(1-0.0882027649769585)</f>
        <v>0</v>
      </c>
      <c r="AQ83" s="30" t="s">
        <v>13</v>
      </c>
      <c r="AV83" s="36">
        <f>AW83+AX83</f>
        <v>0</v>
      </c>
      <c r="AW83" s="36">
        <f>G83*AO83</f>
        <v>0</v>
      </c>
      <c r="AX83" s="36">
        <f>G83*AP83</f>
        <v>0</v>
      </c>
      <c r="AY83" s="37" t="s">
        <v>363</v>
      </c>
      <c r="AZ83" s="37" t="s">
        <v>377</v>
      </c>
      <c r="BA83" s="31" t="s">
        <v>380</v>
      </c>
      <c r="BC83" s="36">
        <f>AW83+AX83</f>
        <v>0</v>
      </c>
      <c r="BD83" s="36">
        <f>H83/(100-BE83)*100</f>
        <v>0</v>
      </c>
      <c r="BE83" s="36">
        <v>0</v>
      </c>
      <c r="BF83" s="36">
        <f>83</f>
        <v>83</v>
      </c>
      <c r="BH83" s="18">
        <f>G83*AO83</f>
        <v>0</v>
      </c>
      <c r="BI83" s="18">
        <f>G83*AP83</f>
        <v>0</v>
      </c>
      <c r="BJ83" s="18">
        <f>G83*H83</f>
        <v>0</v>
      </c>
    </row>
    <row r="84" spans="1:62" ht="12.75">
      <c r="A84" s="6" t="s">
        <v>39</v>
      </c>
      <c r="B84" s="6" t="s">
        <v>137</v>
      </c>
      <c r="C84" s="116" t="s">
        <v>267</v>
      </c>
      <c r="D84" s="117"/>
      <c r="E84" s="117"/>
      <c r="F84" s="6" t="s">
        <v>328</v>
      </c>
      <c r="G84" s="20">
        <v>738.875</v>
      </c>
      <c r="H84" s="76">
        <v>0</v>
      </c>
      <c r="I84" s="20">
        <f>G84*AO84</f>
        <v>0</v>
      </c>
      <c r="J84" s="20">
        <f>G84*AP84</f>
        <v>0</v>
      </c>
      <c r="K84" s="20">
        <f>G84*H84</f>
        <v>0</v>
      </c>
      <c r="L84" s="32" t="s">
        <v>348</v>
      </c>
      <c r="Z84" s="36">
        <f>IF(AQ84="5",BJ84,0)</f>
        <v>0</v>
      </c>
      <c r="AB84" s="36">
        <f>IF(AQ84="1",BH84,0)</f>
        <v>0</v>
      </c>
      <c r="AC84" s="36">
        <f>IF(AQ84="1",BI84,0)</f>
        <v>0</v>
      </c>
      <c r="AD84" s="36">
        <f>IF(AQ84="7",BH84,0)</f>
        <v>0</v>
      </c>
      <c r="AE84" s="36">
        <f>IF(AQ84="7",BI84,0)</f>
        <v>0</v>
      </c>
      <c r="AF84" s="36">
        <f>IF(AQ84="2",BH84,0)</f>
        <v>0</v>
      </c>
      <c r="AG84" s="36">
        <f>IF(AQ84="2",BI84,0)</f>
        <v>0</v>
      </c>
      <c r="AH84" s="36">
        <f>IF(AQ84="0",BJ84,0)</f>
        <v>0</v>
      </c>
      <c r="AI84" s="31"/>
      <c r="AJ84" s="20">
        <f>IF(AN84=0,K84,0)</f>
        <v>0</v>
      </c>
      <c r="AK84" s="20">
        <f>IF(AN84=15,K84,0)</f>
        <v>0</v>
      </c>
      <c r="AL84" s="20">
        <f>IF(AN84=21,K84,0)</f>
        <v>0</v>
      </c>
      <c r="AN84" s="36">
        <v>21</v>
      </c>
      <c r="AO84" s="36">
        <f>H84*1</f>
        <v>0</v>
      </c>
      <c r="AP84" s="36">
        <f>H84*(1-1)</f>
        <v>0</v>
      </c>
      <c r="AQ84" s="32" t="s">
        <v>13</v>
      </c>
      <c r="AV84" s="36">
        <f>AW84+AX84</f>
        <v>0</v>
      </c>
      <c r="AW84" s="36">
        <f>G84*AO84</f>
        <v>0</v>
      </c>
      <c r="AX84" s="36">
        <f>G84*AP84</f>
        <v>0</v>
      </c>
      <c r="AY84" s="37" t="s">
        <v>363</v>
      </c>
      <c r="AZ84" s="37" t="s">
        <v>377</v>
      </c>
      <c r="BA84" s="31" t="s">
        <v>380</v>
      </c>
      <c r="BC84" s="36">
        <f>AW84+AX84</f>
        <v>0</v>
      </c>
      <c r="BD84" s="36">
        <f>H84/(100-BE84)*100</f>
        <v>0</v>
      </c>
      <c r="BE84" s="36">
        <v>0</v>
      </c>
      <c r="BF84" s="36">
        <f>84</f>
        <v>84</v>
      </c>
      <c r="BH84" s="20">
        <f>G84*AO84</f>
        <v>0</v>
      </c>
      <c r="BI84" s="20">
        <f>G84*AP84</f>
        <v>0</v>
      </c>
      <c r="BJ84" s="20">
        <f>G84*H84</f>
        <v>0</v>
      </c>
    </row>
    <row r="85" spans="3:7" ht="12.75">
      <c r="C85" s="112" t="s">
        <v>264</v>
      </c>
      <c r="D85" s="113"/>
      <c r="E85" s="113"/>
      <c r="G85" s="19">
        <v>642.5</v>
      </c>
    </row>
    <row r="86" spans="3:7" ht="12.75">
      <c r="C86" s="112" t="s">
        <v>265</v>
      </c>
      <c r="D86" s="113"/>
      <c r="E86" s="113"/>
      <c r="G86" s="19">
        <v>96.375</v>
      </c>
    </row>
    <row r="87" spans="1:62" ht="12.75">
      <c r="A87" s="4" t="s">
        <v>40</v>
      </c>
      <c r="B87" s="4" t="s">
        <v>136</v>
      </c>
      <c r="C87" s="106" t="s">
        <v>266</v>
      </c>
      <c r="D87" s="107"/>
      <c r="E87" s="107"/>
      <c r="F87" s="4" t="s">
        <v>328</v>
      </c>
      <c r="G87" s="18">
        <v>642.5</v>
      </c>
      <c r="H87" s="74">
        <v>0</v>
      </c>
      <c r="I87" s="18">
        <f>G87*AO87</f>
        <v>0</v>
      </c>
      <c r="J87" s="18">
        <f>G87*AP87</f>
        <v>0</v>
      </c>
      <c r="K87" s="18">
        <f>G87*H87</f>
        <v>0</v>
      </c>
      <c r="L87" s="30" t="s">
        <v>348</v>
      </c>
      <c r="Z87" s="36">
        <f>IF(AQ87="5",BJ87,0)</f>
        <v>0</v>
      </c>
      <c r="AB87" s="36">
        <f>IF(AQ87="1",BH87,0)</f>
        <v>0</v>
      </c>
      <c r="AC87" s="36">
        <f>IF(AQ87="1",BI87,0)</f>
        <v>0</v>
      </c>
      <c r="AD87" s="36">
        <f>IF(AQ87="7",BH87,0)</f>
        <v>0</v>
      </c>
      <c r="AE87" s="36">
        <f>IF(AQ87="7",BI87,0)</f>
        <v>0</v>
      </c>
      <c r="AF87" s="36">
        <f>IF(AQ87="2",BH87,0)</f>
        <v>0</v>
      </c>
      <c r="AG87" s="36">
        <f>IF(AQ87="2",BI87,0)</f>
        <v>0</v>
      </c>
      <c r="AH87" s="36">
        <f>IF(AQ87="0",BJ87,0)</f>
        <v>0</v>
      </c>
      <c r="AI87" s="31"/>
      <c r="AJ87" s="18">
        <f>IF(AN87=0,K87,0)</f>
        <v>0</v>
      </c>
      <c r="AK87" s="18">
        <f>IF(AN87=15,K87,0)</f>
        <v>0</v>
      </c>
      <c r="AL87" s="18">
        <f>IF(AN87=21,K87,0)</f>
        <v>0</v>
      </c>
      <c r="AN87" s="36">
        <v>21</v>
      </c>
      <c r="AO87" s="36">
        <f>H87*0.0882027649769585</f>
        <v>0</v>
      </c>
      <c r="AP87" s="36">
        <f>H87*(1-0.0882027649769585)</f>
        <v>0</v>
      </c>
      <c r="AQ87" s="30" t="s">
        <v>13</v>
      </c>
      <c r="AV87" s="36">
        <f>AW87+AX87</f>
        <v>0</v>
      </c>
      <c r="AW87" s="36">
        <f>G87*AO87</f>
        <v>0</v>
      </c>
      <c r="AX87" s="36">
        <f>G87*AP87</f>
        <v>0</v>
      </c>
      <c r="AY87" s="37" t="s">
        <v>363</v>
      </c>
      <c r="AZ87" s="37" t="s">
        <v>377</v>
      </c>
      <c r="BA87" s="31" t="s">
        <v>380</v>
      </c>
      <c r="BC87" s="36">
        <f>AW87+AX87</f>
        <v>0</v>
      </c>
      <c r="BD87" s="36">
        <f>H87/(100-BE87)*100</f>
        <v>0</v>
      </c>
      <c r="BE87" s="36">
        <v>0</v>
      </c>
      <c r="BF87" s="36">
        <f>87</f>
        <v>87</v>
      </c>
      <c r="BH87" s="18">
        <f>G87*AO87</f>
        <v>0</v>
      </c>
      <c r="BI87" s="18">
        <f>G87*AP87</f>
        <v>0</v>
      </c>
      <c r="BJ87" s="18">
        <f>G87*H87</f>
        <v>0</v>
      </c>
    </row>
    <row r="88" spans="1:62" ht="12.75">
      <c r="A88" s="6" t="s">
        <v>41</v>
      </c>
      <c r="B88" s="6" t="s">
        <v>138</v>
      </c>
      <c r="C88" s="116" t="s">
        <v>460</v>
      </c>
      <c r="D88" s="117"/>
      <c r="E88" s="117"/>
      <c r="F88" s="6" t="s">
        <v>328</v>
      </c>
      <c r="G88" s="20">
        <v>738.875</v>
      </c>
      <c r="H88" s="76">
        <v>0</v>
      </c>
      <c r="I88" s="20">
        <f>G88*AO88</f>
        <v>0</v>
      </c>
      <c r="J88" s="20">
        <f>G88*AP88</f>
        <v>0</v>
      </c>
      <c r="K88" s="20">
        <f>G88*H88</f>
        <v>0</v>
      </c>
      <c r="L88" s="32" t="s">
        <v>348</v>
      </c>
      <c r="Z88" s="36">
        <f>IF(AQ88="5",BJ88,0)</f>
        <v>0</v>
      </c>
      <c r="AB88" s="36">
        <f>IF(AQ88="1",BH88,0)</f>
        <v>0</v>
      </c>
      <c r="AC88" s="36">
        <f>IF(AQ88="1",BI88,0)</f>
        <v>0</v>
      </c>
      <c r="AD88" s="36">
        <f>IF(AQ88="7",BH88,0)</f>
        <v>0</v>
      </c>
      <c r="AE88" s="36">
        <f>IF(AQ88="7",BI88,0)</f>
        <v>0</v>
      </c>
      <c r="AF88" s="36">
        <f>IF(AQ88="2",BH88,0)</f>
        <v>0</v>
      </c>
      <c r="AG88" s="36">
        <f>IF(AQ88="2",BI88,0)</f>
        <v>0</v>
      </c>
      <c r="AH88" s="36">
        <f>IF(AQ88="0",BJ88,0)</f>
        <v>0</v>
      </c>
      <c r="AI88" s="31"/>
      <c r="AJ88" s="20">
        <f>IF(AN88=0,K88,0)</f>
        <v>0</v>
      </c>
      <c r="AK88" s="20">
        <f>IF(AN88=15,K88,0)</f>
        <v>0</v>
      </c>
      <c r="AL88" s="20">
        <f>IF(AN88=21,K88,0)</f>
        <v>0</v>
      </c>
      <c r="AN88" s="36">
        <v>21</v>
      </c>
      <c r="AO88" s="36">
        <f>H88*1</f>
        <v>0</v>
      </c>
      <c r="AP88" s="36">
        <f>H88*(1-1)</f>
        <v>0</v>
      </c>
      <c r="AQ88" s="32" t="s">
        <v>13</v>
      </c>
      <c r="AV88" s="36">
        <f>AW88+AX88</f>
        <v>0</v>
      </c>
      <c r="AW88" s="36">
        <f>G88*AO88</f>
        <v>0</v>
      </c>
      <c r="AX88" s="36">
        <f>G88*AP88</f>
        <v>0</v>
      </c>
      <c r="AY88" s="37" t="s">
        <v>363</v>
      </c>
      <c r="AZ88" s="37" t="s">
        <v>377</v>
      </c>
      <c r="BA88" s="31" t="s">
        <v>380</v>
      </c>
      <c r="BC88" s="36">
        <f>AW88+AX88</f>
        <v>0</v>
      </c>
      <c r="BD88" s="36">
        <f>H88/(100-BE88)*100</f>
        <v>0</v>
      </c>
      <c r="BE88" s="36">
        <v>0</v>
      </c>
      <c r="BF88" s="36">
        <f>88</f>
        <v>88</v>
      </c>
      <c r="BH88" s="20">
        <f>G88*AO88</f>
        <v>0</v>
      </c>
      <c r="BI88" s="20">
        <f>G88*AP88</f>
        <v>0</v>
      </c>
      <c r="BJ88" s="20">
        <f>G88*H88</f>
        <v>0</v>
      </c>
    </row>
    <row r="89" spans="3:7" ht="12.75">
      <c r="C89" s="112" t="s">
        <v>264</v>
      </c>
      <c r="D89" s="113"/>
      <c r="E89" s="113"/>
      <c r="G89" s="19">
        <v>642.5</v>
      </c>
    </row>
    <row r="90" spans="3:7" ht="12.75">
      <c r="C90" s="112" t="s">
        <v>265</v>
      </c>
      <c r="D90" s="113"/>
      <c r="E90" s="113"/>
      <c r="G90" s="19">
        <v>96.375</v>
      </c>
    </row>
    <row r="91" spans="1:62" ht="12.75">
      <c r="A91" s="4" t="s">
        <v>42</v>
      </c>
      <c r="B91" s="4" t="s">
        <v>139</v>
      </c>
      <c r="C91" s="106" t="s">
        <v>268</v>
      </c>
      <c r="D91" s="107"/>
      <c r="E91" s="107"/>
      <c r="F91" s="4" t="s">
        <v>327</v>
      </c>
      <c r="G91" s="18">
        <v>6.28686</v>
      </c>
      <c r="H91" s="74">
        <v>0</v>
      </c>
      <c r="I91" s="18">
        <f>G91*AO91</f>
        <v>0</v>
      </c>
      <c r="J91" s="18">
        <f>G91*AP91</f>
        <v>0</v>
      </c>
      <c r="K91" s="18">
        <f>G91*H91</f>
        <v>0</v>
      </c>
      <c r="L91" s="30" t="s">
        <v>348</v>
      </c>
      <c r="Z91" s="36">
        <f>IF(AQ91="5",BJ91,0)</f>
        <v>0</v>
      </c>
      <c r="AB91" s="36">
        <f>IF(AQ91="1",BH91,0)</f>
        <v>0</v>
      </c>
      <c r="AC91" s="36">
        <f>IF(AQ91="1",BI91,0)</f>
        <v>0</v>
      </c>
      <c r="AD91" s="36">
        <f>IF(AQ91="7",BH91,0)</f>
        <v>0</v>
      </c>
      <c r="AE91" s="36">
        <f>IF(AQ91="7",BI91,0)</f>
        <v>0</v>
      </c>
      <c r="AF91" s="36">
        <f>IF(AQ91="2",BH91,0)</f>
        <v>0</v>
      </c>
      <c r="AG91" s="36">
        <f>IF(AQ91="2",BI91,0)</f>
        <v>0</v>
      </c>
      <c r="AH91" s="36">
        <f>IF(AQ91="0",BJ91,0)</f>
        <v>0</v>
      </c>
      <c r="AI91" s="31"/>
      <c r="AJ91" s="18">
        <f>IF(AN91=0,K91,0)</f>
        <v>0</v>
      </c>
      <c r="AK91" s="18">
        <f>IF(AN91=15,K91,0)</f>
        <v>0</v>
      </c>
      <c r="AL91" s="18">
        <f>IF(AN91=21,K91,0)</f>
        <v>0</v>
      </c>
      <c r="AN91" s="36">
        <v>21</v>
      </c>
      <c r="AO91" s="36">
        <f>H91*0</f>
        <v>0</v>
      </c>
      <c r="AP91" s="36">
        <f>H91*(1-0)</f>
        <v>0</v>
      </c>
      <c r="AQ91" s="30" t="s">
        <v>11</v>
      </c>
      <c r="AV91" s="36">
        <f>AW91+AX91</f>
        <v>0</v>
      </c>
      <c r="AW91" s="36">
        <f>G91*AO91</f>
        <v>0</v>
      </c>
      <c r="AX91" s="36">
        <f>G91*AP91</f>
        <v>0</v>
      </c>
      <c r="AY91" s="37" t="s">
        <v>363</v>
      </c>
      <c r="AZ91" s="37" t="s">
        <v>377</v>
      </c>
      <c r="BA91" s="31" t="s">
        <v>380</v>
      </c>
      <c r="BC91" s="36">
        <f>AW91+AX91</f>
        <v>0</v>
      </c>
      <c r="BD91" s="36">
        <f>H91/(100-BE91)*100</f>
        <v>0</v>
      </c>
      <c r="BE91" s="36">
        <v>0</v>
      </c>
      <c r="BF91" s="36">
        <f>91</f>
        <v>91</v>
      </c>
      <c r="BH91" s="18">
        <f>G91*AO91</f>
        <v>0</v>
      </c>
      <c r="BI91" s="18">
        <f>G91*AP91</f>
        <v>0</v>
      </c>
      <c r="BJ91" s="18">
        <f>G91*H91</f>
        <v>0</v>
      </c>
    </row>
    <row r="92" spans="1:47" ht="12.75">
      <c r="A92" s="5"/>
      <c r="B92" s="14" t="s">
        <v>140</v>
      </c>
      <c r="C92" s="110" t="s">
        <v>269</v>
      </c>
      <c r="D92" s="111"/>
      <c r="E92" s="111"/>
      <c r="F92" s="5" t="s">
        <v>6</v>
      </c>
      <c r="G92" s="5" t="s">
        <v>6</v>
      </c>
      <c r="H92" s="5" t="s">
        <v>6</v>
      </c>
      <c r="I92" s="39">
        <f>SUM(I93:I95)</f>
        <v>0</v>
      </c>
      <c r="J92" s="39">
        <f>SUM(J93:J95)</f>
        <v>0</v>
      </c>
      <c r="K92" s="39">
        <f>SUM(K93:K95)</f>
        <v>0</v>
      </c>
      <c r="L92" s="31"/>
      <c r="AI92" s="31"/>
      <c r="AS92" s="39">
        <f>SUM(AJ93:AJ95)</f>
        <v>0</v>
      </c>
      <c r="AT92" s="39">
        <f>SUM(AK93:AK95)</f>
        <v>0</v>
      </c>
      <c r="AU92" s="39">
        <f>SUM(AL93:AL95)</f>
        <v>0</v>
      </c>
    </row>
    <row r="93" spans="1:62" ht="12.75">
      <c r="A93" s="4" t="s">
        <v>43</v>
      </c>
      <c r="B93" s="4" t="s">
        <v>141</v>
      </c>
      <c r="C93" s="106" t="s">
        <v>270</v>
      </c>
      <c r="D93" s="107"/>
      <c r="E93" s="107"/>
      <c r="F93" s="4" t="s">
        <v>328</v>
      </c>
      <c r="G93" s="18">
        <v>642.5</v>
      </c>
      <c r="H93" s="74">
        <v>0</v>
      </c>
      <c r="I93" s="18">
        <f>G93*AO93</f>
        <v>0</v>
      </c>
      <c r="J93" s="18">
        <f>G93*AP93</f>
        <v>0</v>
      </c>
      <c r="K93" s="18">
        <f>G93*H93</f>
        <v>0</v>
      </c>
      <c r="L93" s="30" t="s">
        <v>348</v>
      </c>
      <c r="Z93" s="36">
        <f>IF(AQ93="5",BJ93,0)</f>
        <v>0</v>
      </c>
      <c r="AB93" s="36">
        <f>IF(AQ93="1",BH93,0)</f>
        <v>0</v>
      </c>
      <c r="AC93" s="36">
        <f>IF(AQ93="1",BI93,0)</f>
        <v>0</v>
      </c>
      <c r="AD93" s="36">
        <f>IF(AQ93="7",BH93,0)</f>
        <v>0</v>
      </c>
      <c r="AE93" s="36">
        <f>IF(AQ93="7",BI93,0)</f>
        <v>0</v>
      </c>
      <c r="AF93" s="36">
        <f>IF(AQ93="2",BH93,0)</f>
        <v>0</v>
      </c>
      <c r="AG93" s="36">
        <f>IF(AQ93="2",BI93,0)</f>
        <v>0</v>
      </c>
      <c r="AH93" s="36">
        <f>IF(AQ93="0",BJ93,0)</f>
        <v>0</v>
      </c>
      <c r="AI93" s="31"/>
      <c r="AJ93" s="18">
        <f>IF(AN93=0,K93,0)</f>
        <v>0</v>
      </c>
      <c r="AK93" s="18">
        <f>IF(AN93=15,K93,0)</f>
        <v>0</v>
      </c>
      <c r="AL93" s="18">
        <f>IF(AN93=21,K93,0)</f>
        <v>0</v>
      </c>
      <c r="AN93" s="36">
        <v>21</v>
      </c>
      <c r="AO93" s="36">
        <f>H93*0.397947620689898</f>
        <v>0</v>
      </c>
      <c r="AP93" s="36">
        <f>H93*(1-0.397947620689898)</f>
        <v>0</v>
      </c>
      <c r="AQ93" s="30" t="s">
        <v>13</v>
      </c>
      <c r="AV93" s="36">
        <f>AW93+AX93</f>
        <v>0</v>
      </c>
      <c r="AW93" s="36">
        <f>G93*AO93</f>
        <v>0</v>
      </c>
      <c r="AX93" s="36">
        <f>G93*AP93</f>
        <v>0</v>
      </c>
      <c r="AY93" s="37" t="s">
        <v>364</v>
      </c>
      <c r="AZ93" s="37" t="s">
        <v>377</v>
      </c>
      <c r="BA93" s="31" t="s">
        <v>380</v>
      </c>
      <c r="BC93" s="36">
        <f>AW93+AX93</f>
        <v>0</v>
      </c>
      <c r="BD93" s="36">
        <f>H93/(100-BE93)*100</f>
        <v>0</v>
      </c>
      <c r="BE93" s="36">
        <v>0</v>
      </c>
      <c r="BF93" s="36">
        <f>93</f>
        <v>93</v>
      </c>
      <c r="BH93" s="18">
        <f>G93*AO93</f>
        <v>0</v>
      </c>
      <c r="BI93" s="18">
        <f>G93*AP93</f>
        <v>0</v>
      </c>
      <c r="BJ93" s="18">
        <f>G93*H93</f>
        <v>0</v>
      </c>
    </row>
    <row r="94" spans="1:62" ht="12.75">
      <c r="A94" s="6" t="s">
        <v>44</v>
      </c>
      <c r="B94" s="6" t="s">
        <v>142</v>
      </c>
      <c r="C94" s="116" t="s">
        <v>271</v>
      </c>
      <c r="D94" s="117"/>
      <c r="E94" s="117"/>
      <c r="F94" s="6" t="s">
        <v>325</v>
      </c>
      <c r="G94" s="20">
        <v>202.3875</v>
      </c>
      <c r="H94" s="76">
        <v>0</v>
      </c>
      <c r="I94" s="20">
        <f>G94*AO94</f>
        <v>0</v>
      </c>
      <c r="J94" s="20">
        <f>G94*AP94</f>
        <v>0</v>
      </c>
      <c r="K94" s="20">
        <f>G94*H94</f>
        <v>0</v>
      </c>
      <c r="L94" s="32" t="s">
        <v>348</v>
      </c>
      <c r="Z94" s="36">
        <f>IF(AQ94="5",BJ94,0)</f>
        <v>0</v>
      </c>
      <c r="AB94" s="36">
        <f>IF(AQ94="1",BH94,0)</f>
        <v>0</v>
      </c>
      <c r="AC94" s="36">
        <f>IF(AQ94="1",BI94,0)</f>
        <v>0</v>
      </c>
      <c r="AD94" s="36">
        <f>IF(AQ94="7",BH94,0)</f>
        <v>0</v>
      </c>
      <c r="AE94" s="36">
        <f>IF(AQ94="7",BI94,0)</f>
        <v>0</v>
      </c>
      <c r="AF94" s="36">
        <f>IF(AQ94="2",BH94,0)</f>
        <v>0</v>
      </c>
      <c r="AG94" s="36">
        <f>IF(AQ94="2",BI94,0)</f>
        <v>0</v>
      </c>
      <c r="AH94" s="36">
        <f>IF(AQ94="0",BJ94,0)</f>
        <v>0</v>
      </c>
      <c r="AI94" s="31"/>
      <c r="AJ94" s="20">
        <f>IF(AN94=0,K94,0)</f>
        <v>0</v>
      </c>
      <c r="AK94" s="20">
        <f>IF(AN94=15,K94,0)</f>
        <v>0</v>
      </c>
      <c r="AL94" s="20">
        <f>IF(AN94=21,K94,0)</f>
        <v>0</v>
      </c>
      <c r="AN94" s="36">
        <v>21</v>
      </c>
      <c r="AO94" s="36">
        <f>H94*1</f>
        <v>0</v>
      </c>
      <c r="AP94" s="36">
        <f>H94*(1-1)</f>
        <v>0</v>
      </c>
      <c r="AQ94" s="32" t="s">
        <v>13</v>
      </c>
      <c r="AV94" s="36">
        <f>AW94+AX94</f>
        <v>0</v>
      </c>
      <c r="AW94" s="36">
        <f>G94*AO94</f>
        <v>0</v>
      </c>
      <c r="AX94" s="36">
        <f>G94*AP94</f>
        <v>0</v>
      </c>
      <c r="AY94" s="37" t="s">
        <v>364</v>
      </c>
      <c r="AZ94" s="37" t="s">
        <v>377</v>
      </c>
      <c r="BA94" s="31" t="s">
        <v>380</v>
      </c>
      <c r="BC94" s="36">
        <f>AW94+AX94</f>
        <v>0</v>
      </c>
      <c r="BD94" s="36">
        <f>H94/(100-BE94)*100</f>
        <v>0</v>
      </c>
      <c r="BE94" s="36">
        <v>0</v>
      </c>
      <c r="BF94" s="36">
        <f>94</f>
        <v>94</v>
      </c>
      <c r="BH94" s="20">
        <f>G94*AO94</f>
        <v>0</v>
      </c>
      <c r="BI94" s="20">
        <f>G94*AP94</f>
        <v>0</v>
      </c>
      <c r="BJ94" s="20">
        <f>G94*H94</f>
        <v>0</v>
      </c>
    </row>
    <row r="95" spans="1:62" ht="12.75">
      <c r="A95" s="4" t="s">
        <v>45</v>
      </c>
      <c r="B95" s="4" t="s">
        <v>143</v>
      </c>
      <c r="C95" s="106" t="s">
        <v>272</v>
      </c>
      <c r="D95" s="107"/>
      <c r="E95" s="107"/>
      <c r="F95" s="4" t="s">
        <v>327</v>
      </c>
      <c r="G95" s="18">
        <v>5.51907</v>
      </c>
      <c r="H95" s="74">
        <v>0</v>
      </c>
      <c r="I95" s="18">
        <f>G95*AO95</f>
        <v>0</v>
      </c>
      <c r="J95" s="18">
        <f>G95*AP95</f>
        <v>0</v>
      </c>
      <c r="K95" s="18">
        <f>G95*H95</f>
        <v>0</v>
      </c>
      <c r="L95" s="30" t="s">
        <v>348</v>
      </c>
      <c r="Z95" s="36">
        <f>IF(AQ95="5",BJ95,0)</f>
        <v>0</v>
      </c>
      <c r="AB95" s="36">
        <f>IF(AQ95="1",BH95,0)</f>
        <v>0</v>
      </c>
      <c r="AC95" s="36">
        <f>IF(AQ95="1",BI95,0)</f>
        <v>0</v>
      </c>
      <c r="AD95" s="36">
        <f>IF(AQ95="7",BH95,0)</f>
        <v>0</v>
      </c>
      <c r="AE95" s="36">
        <f>IF(AQ95="7",BI95,0)</f>
        <v>0</v>
      </c>
      <c r="AF95" s="36">
        <f>IF(AQ95="2",BH95,0)</f>
        <v>0</v>
      </c>
      <c r="AG95" s="36">
        <f>IF(AQ95="2",BI95,0)</f>
        <v>0</v>
      </c>
      <c r="AH95" s="36">
        <f>IF(AQ95="0",BJ95,0)</f>
        <v>0</v>
      </c>
      <c r="AI95" s="31"/>
      <c r="AJ95" s="18">
        <f>IF(AN95=0,K95,0)</f>
        <v>0</v>
      </c>
      <c r="AK95" s="18">
        <f>IF(AN95=15,K95,0)</f>
        <v>0</v>
      </c>
      <c r="AL95" s="18">
        <f>IF(AN95=21,K95,0)</f>
        <v>0</v>
      </c>
      <c r="AN95" s="36">
        <v>21</v>
      </c>
      <c r="AO95" s="36">
        <f>H95*0</f>
        <v>0</v>
      </c>
      <c r="AP95" s="36">
        <f>H95*(1-0)</f>
        <v>0</v>
      </c>
      <c r="AQ95" s="30" t="s">
        <v>11</v>
      </c>
      <c r="AV95" s="36">
        <f>AW95+AX95</f>
        <v>0</v>
      </c>
      <c r="AW95" s="36">
        <f>G95*AO95</f>
        <v>0</v>
      </c>
      <c r="AX95" s="36">
        <f>G95*AP95</f>
        <v>0</v>
      </c>
      <c r="AY95" s="37" t="s">
        <v>364</v>
      </c>
      <c r="AZ95" s="37" t="s">
        <v>377</v>
      </c>
      <c r="BA95" s="31" t="s">
        <v>380</v>
      </c>
      <c r="BC95" s="36">
        <f>AW95+AX95</f>
        <v>0</v>
      </c>
      <c r="BD95" s="36">
        <f>H95/(100-BE95)*100</f>
        <v>0</v>
      </c>
      <c r="BE95" s="36">
        <v>0</v>
      </c>
      <c r="BF95" s="36">
        <f>95</f>
        <v>95</v>
      </c>
      <c r="BH95" s="18">
        <f>G95*AO95</f>
        <v>0</v>
      </c>
      <c r="BI95" s="18">
        <f>G95*AP95</f>
        <v>0</v>
      </c>
      <c r="BJ95" s="18">
        <f>G95*H95</f>
        <v>0</v>
      </c>
    </row>
    <row r="96" spans="1:47" ht="12.75">
      <c r="A96" s="5"/>
      <c r="B96" s="14" t="s">
        <v>144</v>
      </c>
      <c r="C96" s="110" t="s">
        <v>273</v>
      </c>
      <c r="D96" s="111"/>
      <c r="E96" s="111"/>
      <c r="F96" s="5" t="s">
        <v>6</v>
      </c>
      <c r="G96" s="5" t="s">
        <v>6</v>
      </c>
      <c r="H96" s="5" t="s">
        <v>6</v>
      </c>
      <c r="I96" s="39">
        <f>SUM(I97:I100)</f>
        <v>0</v>
      </c>
      <c r="J96" s="39">
        <f>SUM(J97:J100)</f>
        <v>0</v>
      </c>
      <c r="K96" s="39">
        <f>SUM(K97:K100)</f>
        <v>0</v>
      </c>
      <c r="L96" s="31"/>
      <c r="AI96" s="31"/>
      <c r="AS96" s="39">
        <f>SUM(AJ97:AJ100)</f>
        <v>0</v>
      </c>
      <c r="AT96" s="39">
        <f>SUM(AK97:AK100)</f>
        <v>0</v>
      </c>
      <c r="AU96" s="39">
        <f>SUM(AL97:AL100)</f>
        <v>0</v>
      </c>
    </row>
    <row r="97" spans="1:62" ht="12.75">
      <c r="A97" s="4" t="s">
        <v>46</v>
      </c>
      <c r="B97" s="4" t="s">
        <v>145</v>
      </c>
      <c r="C97" s="106" t="s">
        <v>274</v>
      </c>
      <c r="D97" s="107"/>
      <c r="E97" s="107"/>
      <c r="F97" s="4" t="s">
        <v>329</v>
      </c>
      <c r="G97" s="18">
        <v>991</v>
      </c>
      <c r="H97" s="74">
        <v>0</v>
      </c>
      <c r="I97" s="18">
        <f>G97*AO97</f>
        <v>0</v>
      </c>
      <c r="J97" s="18">
        <f>G97*AP97</f>
        <v>0</v>
      </c>
      <c r="K97" s="18">
        <f>G97*H97</f>
        <v>0</v>
      </c>
      <c r="L97" s="30" t="s">
        <v>348</v>
      </c>
      <c r="Z97" s="36">
        <f>IF(AQ97="5",BJ97,0)</f>
        <v>0</v>
      </c>
      <c r="AB97" s="36">
        <f>IF(AQ97="1",BH97,0)</f>
        <v>0</v>
      </c>
      <c r="AC97" s="36">
        <f>IF(AQ97="1",BI97,0)</f>
        <v>0</v>
      </c>
      <c r="AD97" s="36">
        <f>IF(AQ97="7",BH97,0)</f>
        <v>0</v>
      </c>
      <c r="AE97" s="36">
        <f>IF(AQ97="7",BI97,0)</f>
        <v>0</v>
      </c>
      <c r="AF97" s="36">
        <f>IF(AQ97="2",BH97,0)</f>
        <v>0</v>
      </c>
      <c r="AG97" s="36">
        <f>IF(AQ97="2",BI97,0)</f>
        <v>0</v>
      </c>
      <c r="AH97" s="36">
        <f>IF(AQ97="0",BJ97,0)</f>
        <v>0</v>
      </c>
      <c r="AI97" s="31"/>
      <c r="AJ97" s="18">
        <f>IF(AN97=0,K97,0)</f>
        <v>0</v>
      </c>
      <c r="AK97" s="18">
        <f>IF(AN97=15,K97,0)</f>
        <v>0</v>
      </c>
      <c r="AL97" s="18">
        <f>IF(AN97=21,K97,0)</f>
        <v>0</v>
      </c>
      <c r="AN97" s="36">
        <v>21</v>
      </c>
      <c r="AO97" s="36">
        <f>H97*0</f>
        <v>0</v>
      </c>
      <c r="AP97" s="36">
        <f>H97*(1-0)</f>
        <v>0</v>
      </c>
      <c r="AQ97" s="30" t="s">
        <v>13</v>
      </c>
      <c r="AV97" s="36">
        <f>AW97+AX97</f>
        <v>0</v>
      </c>
      <c r="AW97" s="36">
        <f>G97*AO97</f>
        <v>0</v>
      </c>
      <c r="AX97" s="36">
        <f>G97*AP97</f>
        <v>0</v>
      </c>
      <c r="AY97" s="37" t="s">
        <v>365</v>
      </c>
      <c r="AZ97" s="37" t="s">
        <v>378</v>
      </c>
      <c r="BA97" s="31" t="s">
        <v>380</v>
      </c>
      <c r="BC97" s="36">
        <f>AW97+AX97</f>
        <v>0</v>
      </c>
      <c r="BD97" s="36">
        <f>H97/(100-BE97)*100</f>
        <v>0</v>
      </c>
      <c r="BE97" s="36">
        <v>0</v>
      </c>
      <c r="BF97" s="36">
        <f>97</f>
        <v>97</v>
      </c>
      <c r="BH97" s="18">
        <f>G97*AO97</f>
        <v>0</v>
      </c>
      <c r="BI97" s="18">
        <f>G97*AP97</f>
        <v>0</v>
      </c>
      <c r="BJ97" s="18">
        <f>G97*H97</f>
        <v>0</v>
      </c>
    </row>
    <row r="98" spans="1:62" ht="12.75">
      <c r="A98" s="4" t="s">
        <v>47</v>
      </c>
      <c r="B98" s="4" t="s">
        <v>146</v>
      </c>
      <c r="C98" s="106" t="s">
        <v>275</v>
      </c>
      <c r="D98" s="107"/>
      <c r="E98" s="107"/>
      <c r="F98" s="4" t="s">
        <v>329</v>
      </c>
      <c r="G98" s="18">
        <v>354.62</v>
      </c>
      <c r="H98" s="74">
        <v>0</v>
      </c>
      <c r="I98" s="18">
        <f>G98*AO98</f>
        <v>0</v>
      </c>
      <c r="J98" s="18">
        <f>G98*AP98</f>
        <v>0</v>
      </c>
      <c r="K98" s="18">
        <f>G98*H98</f>
        <v>0</v>
      </c>
      <c r="L98" s="30" t="s">
        <v>348</v>
      </c>
      <c r="Z98" s="36">
        <f>IF(AQ98="5",BJ98,0)</f>
        <v>0</v>
      </c>
      <c r="AB98" s="36">
        <f>IF(AQ98="1",BH98,0)</f>
        <v>0</v>
      </c>
      <c r="AC98" s="36">
        <f>IF(AQ98="1",BI98,0)</f>
        <v>0</v>
      </c>
      <c r="AD98" s="36">
        <f>IF(AQ98="7",BH98,0)</f>
        <v>0</v>
      </c>
      <c r="AE98" s="36">
        <f>IF(AQ98="7",BI98,0)</f>
        <v>0</v>
      </c>
      <c r="AF98" s="36">
        <f>IF(AQ98="2",BH98,0)</f>
        <v>0</v>
      </c>
      <c r="AG98" s="36">
        <f>IF(AQ98="2",BI98,0)</f>
        <v>0</v>
      </c>
      <c r="AH98" s="36">
        <f>IF(AQ98="0",BJ98,0)</f>
        <v>0</v>
      </c>
      <c r="AI98" s="31"/>
      <c r="AJ98" s="18">
        <f>IF(AN98=0,K98,0)</f>
        <v>0</v>
      </c>
      <c r="AK98" s="18">
        <f>IF(AN98=15,K98,0)</f>
        <v>0</v>
      </c>
      <c r="AL98" s="18">
        <f>IF(AN98=21,K98,0)</f>
        <v>0</v>
      </c>
      <c r="AN98" s="36">
        <v>21</v>
      </c>
      <c r="AO98" s="36">
        <f>H98*0</f>
        <v>0</v>
      </c>
      <c r="AP98" s="36">
        <f>H98*(1-0)</f>
        <v>0</v>
      </c>
      <c r="AQ98" s="30" t="s">
        <v>13</v>
      </c>
      <c r="AV98" s="36">
        <f>AW98+AX98</f>
        <v>0</v>
      </c>
      <c r="AW98" s="36">
        <f>G98*AO98</f>
        <v>0</v>
      </c>
      <c r="AX98" s="36">
        <f>G98*AP98</f>
        <v>0</v>
      </c>
      <c r="AY98" s="37" t="s">
        <v>365</v>
      </c>
      <c r="AZ98" s="37" t="s">
        <v>378</v>
      </c>
      <c r="BA98" s="31" t="s">
        <v>380</v>
      </c>
      <c r="BC98" s="36">
        <f>AW98+AX98</f>
        <v>0</v>
      </c>
      <c r="BD98" s="36">
        <f>H98/(100-BE98)*100</f>
        <v>0</v>
      </c>
      <c r="BE98" s="36">
        <v>0</v>
      </c>
      <c r="BF98" s="36">
        <f>98</f>
        <v>98</v>
      </c>
      <c r="BH98" s="18">
        <f>G98*AO98</f>
        <v>0</v>
      </c>
      <c r="BI98" s="18">
        <f>G98*AP98</f>
        <v>0</v>
      </c>
      <c r="BJ98" s="18">
        <f>G98*H98</f>
        <v>0</v>
      </c>
    </row>
    <row r="99" spans="1:62" ht="12.75">
      <c r="A99" s="4" t="s">
        <v>48</v>
      </c>
      <c r="B99" s="4" t="s">
        <v>147</v>
      </c>
      <c r="C99" s="106" t="s">
        <v>276</v>
      </c>
      <c r="D99" s="107"/>
      <c r="E99" s="107"/>
      <c r="F99" s="4" t="s">
        <v>328</v>
      </c>
      <c r="G99" s="18">
        <v>831.355</v>
      </c>
      <c r="H99" s="74">
        <v>0</v>
      </c>
      <c r="I99" s="18">
        <f>G99*AO99</f>
        <v>0</v>
      </c>
      <c r="J99" s="18">
        <f>G99*AP99</f>
        <v>0</v>
      </c>
      <c r="K99" s="18">
        <f>G99*H99</f>
        <v>0</v>
      </c>
      <c r="L99" s="30" t="s">
        <v>348</v>
      </c>
      <c r="Z99" s="36">
        <f>IF(AQ99="5",BJ99,0)</f>
        <v>0</v>
      </c>
      <c r="AB99" s="36">
        <f>IF(AQ99="1",BH99,0)</f>
        <v>0</v>
      </c>
      <c r="AC99" s="36">
        <f>IF(AQ99="1",BI99,0)</f>
        <v>0</v>
      </c>
      <c r="AD99" s="36">
        <f>IF(AQ99="7",BH99,0)</f>
        <v>0</v>
      </c>
      <c r="AE99" s="36">
        <f>IF(AQ99="7",BI99,0)</f>
        <v>0</v>
      </c>
      <c r="AF99" s="36">
        <f>IF(AQ99="2",BH99,0)</f>
        <v>0</v>
      </c>
      <c r="AG99" s="36">
        <f>IF(AQ99="2",BI99,0)</f>
        <v>0</v>
      </c>
      <c r="AH99" s="36">
        <f>IF(AQ99="0",BJ99,0)</f>
        <v>0</v>
      </c>
      <c r="AI99" s="31"/>
      <c r="AJ99" s="18">
        <f>IF(AN99=0,K99,0)</f>
        <v>0</v>
      </c>
      <c r="AK99" s="18">
        <f>IF(AN99=15,K99,0)</f>
        <v>0</v>
      </c>
      <c r="AL99" s="18">
        <f>IF(AN99=21,K99,0)</f>
        <v>0</v>
      </c>
      <c r="AN99" s="36">
        <v>21</v>
      </c>
      <c r="AO99" s="36">
        <f>H99*0</f>
        <v>0</v>
      </c>
      <c r="AP99" s="36">
        <f>H99*(1-0)</f>
        <v>0</v>
      </c>
      <c r="AQ99" s="30" t="s">
        <v>13</v>
      </c>
      <c r="AV99" s="36">
        <f>AW99+AX99</f>
        <v>0</v>
      </c>
      <c r="AW99" s="36">
        <f>G99*AO99</f>
        <v>0</v>
      </c>
      <c r="AX99" s="36">
        <f>G99*AP99</f>
        <v>0</v>
      </c>
      <c r="AY99" s="37" t="s">
        <v>365</v>
      </c>
      <c r="AZ99" s="37" t="s">
        <v>378</v>
      </c>
      <c r="BA99" s="31" t="s">
        <v>380</v>
      </c>
      <c r="BC99" s="36">
        <f>AW99+AX99</f>
        <v>0</v>
      </c>
      <c r="BD99" s="36">
        <f>H99/(100-BE99)*100</f>
        <v>0</v>
      </c>
      <c r="BE99" s="36">
        <v>0</v>
      </c>
      <c r="BF99" s="36">
        <f>99</f>
        <v>99</v>
      </c>
      <c r="BH99" s="18">
        <f>G99*AO99</f>
        <v>0</v>
      </c>
      <c r="BI99" s="18">
        <f>G99*AP99</f>
        <v>0</v>
      </c>
      <c r="BJ99" s="18">
        <f>G99*H99</f>
        <v>0</v>
      </c>
    </row>
    <row r="100" spans="1:62" ht="12.75">
      <c r="A100" s="4" t="s">
        <v>49</v>
      </c>
      <c r="B100" s="4" t="s">
        <v>148</v>
      </c>
      <c r="C100" s="106" t="s">
        <v>277</v>
      </c>
      <c r="D100" s="107"/>
      <c r="E100" s="107"/>
      <c r="F100" s="4" t="s">
        <v>328</v>
      </c>
      <c r="G100" s="18">
        <v>831.355</v>
      </c>
      <c r="H100" s="74">
        <v>0</v>
      </c>
      <c r="I100" s="18">
        <f>G100*AO100</f>
        <v>0</v>
      </c>
      <c r="J100" s="18">
        <f>G100*AP100</f>
        <v>0</v>
      </c>
      <c r="K100" s="18">
        <f>G100*H100</f>
        <v>0</v>
      </c>
      <c r="L100" s="30" t="s">
        <v>348</v>
      </c>
      <c r="Z100" s="36">
        <f>IF(AQ100="5",BJ100,0)</f>
        <v>0</v>
      </c>
      <c r="AB100" s="36">
        <f>IF(AQ100="1",BH100,0)</f>
        <v>0</v>
      </c>
      <c r="AC100" s="36">
        <f>IF(AQ100="1",BI100,0)</f>
        <v>0</v>
      </c>
      <c r="AD100" s="36">
        <f>IF(AQ100="7",BH100,0)</f>
        <v>0</v>
      </c>
      <c r="AE100" s="36">
        <f>IF(AQ100="7",BI100,0)</f>
        <v>0</v>
      </c>
      <c r="AF100" s="36">
        <f>IF(AQ100="2",BH100,0)</f>
        <v>0</v>
      </c>
      <c r="AG100" s="36">
        <f>IF(AQ100="2",BI100,0)</f>
        <v>0</v>
      </c>
      <c r="AH100" s="36">
        <f>IF(AQ100="0",BJ100,0)</f>
        <v>0</v>
      </c>
      <c r="AI100" s="31"/>
      <c r="AJ100" s="18">
        <f>IF(AN100=0,K100,0)</f>
        <v>0</v>
      </c>
      <c r="AK100" s="18">
        <f>IF(AN100=15,K100,0)</f>
        <v>0</v>
      </c>
      <c r="AL100" s="18">
        <f>IF(AN100=21,K100,0)</f>
        <v>0</v>
      </c>
      <c r="AN100" s="36">
        <v>21</v>
      </c>
      <c r="AO100" s="36">
        <f>H100*0</f>
        <v>0</v>
      </c>
      <c r="AP100" s="36">
        <f>H100*(1-0)</f>
        <v>0</v>
      </c>
      <c r="AQ100" s="30" t="s">
        <v>13</v>
      </c>
      <c r="AV100" s="36">
        <f>AW100+AX100</f>
        <v>0</v>
      </c>
      <c r="AW100" s="36">
        <f>G100*AO100</f>
        <v>0</v>
      </c>
      <c r="AX100" s="36">
        <f>G100*AP100</f>
        <v>0</v>
      </c>
      <c r="AY100" s="37" t="s">
        <v>365</v>
      </c>
      <c r="AZ100" s="37" t="s">
        <v>378</v>
      </c>
      <c r="BA100" s="31" t="s">
        <v>380</v>
      </c>
      <c r="BC100" s="36">
        <f>AW100+AX100</f>
        <v>0</v>
      </c>
      <c r="BD100" s="36">
        <f>H100/(100-BE100)*100</f>
        <v>0</v>
      </c>
      <c r="BE100" s="36">
        <v>0</v>
      </c>
      <c r="BF100" s="36">
        <f>100</f>
        <v>100</v>
      </c>
      <c r="BH100" s="18">
        <f>G100*AO100</f>
        <v>0</v>
      </c>
      <c r="BI100" s="18">
        <f>G100*AP100</f>
        <v>0</v>
      </c>
      <c r="BJ100" s="18">
        <f>G100*H100</f>
        <v>0</v>
      </c>
    </row>
    <row r="101" spans="1:47" ht="12.75">
      <c r="A101" s="5"/>
      <c r="B101" s="14" t="s">
        <v>149</v>
      </c>
      <c r="C101" s="110" t="s">
        <v>278</v>
      </c>
      <c r="D101" s="111"/>
      <c r="E101" s="111"/>
      <c r="F101" s="5" t="s">
        <v>6</v>
      </c>
      <c r="G101" s="5" t="s">
        <v>6</v>
      </c>
      <c r="H101" s="5" t="s">
        <v>6</v>
      </c>
      <c r="I101" s="39">
        <f>SUM(I102:I108)</f>
        <v>0</v>
      </c>
      <c r="J101" s="39">
        <f>SUM(J102:J108)</f>
        <v>0</v>
      </c>
      <c r="K101" s="39">
        <f>SUM(K102:K108)</f>
        <v>0</v>
      </c>
      <c r="L101" s="31"/>
      <c r="AI101" s="31"/>
      <c r="AS101" s="39">
        <f>SUM(AJ102:AJ108)</f>
        <v>0</v>
      </c>
      <c r="AT101" s="39">
        <f>SUM(AK102:AK108)</f>
        <v>0</v>
      </c>
      <c r="AU101" s="39">
        <f>SUM(AL102:AL108)</f>
        <v>0</v>
      </c>
    </row>
    <row r="102" spans="1:62" ht="12.75">
      <c r="A102" s="4" t="s">
        <v>50</v>
      </c>
      <c r="B102" s="4" t="s">
        <v>150</v>
      </c>
      <c r="C102" s="106" t="s">
        <v>279</v>
      </c>
      <c r="D102" s="107"/>
      <c r="E102" s="107"/>
      <c r="F102" s="4" t="s">
        <v>329</v>
      </c>
      <c r="G102" s="18">
        <v>146.46</v>
      </c>
      <c r="H102" s="74">
        <v>0</v>
      </c>
      <c r="I102" s="18">
        <f aca="true" t="shared" si="22" ref="I102:I108">G102*AO102</f>
        <v>0</v>
      </c>
      <c r="J102" s="18">
        <f aca="true" t="shared" si="23" ref="J102:J108">G102*AP102</f>
        <v>0</v>
      </c>
      <c r="K102" s="18">
        <f aca="true" t="shared" si="24" ref="K102:K108">G102*H102</f>
        <v>0</v>
      </c>
      <c r="L102" s="30" t="s">
        <v>348</v>
      </c>
      <c r="Z102" s="36">
        <f aca="true" t="shared" si="25" ref="Z102:Z108">IF(AQ102="5",BJ102,0)</f>
        <v>0</v>
      </c>
      <c r="AB102" s="36">
        <f aca="true" t="shared" si="26" ref="AB102:AB108">IF(AQ102="1",BH102,0)</f>
        <v>0</v>
      </c>
      <c r="AC102" s="36">
        <f aca="true" t="shared" si="27" ref="AC102:AC108">IF(AQ102="1",BI102,0)</f>
        <v>0</v>
      </c>
      <c r="AD102" s="36">
        <f aca="true" t="shared" si="28" ref="AD102:AD108">IF(AQ102="7",BH102,0)</f>
        <v>0</v>
      </c>
      <c r="AE102" s="36">
        <f aca="true" t="shared" si="29" ref="AE102:AE108">IF(AQ102="7",BI102,0)</f>
        <v>0</v>
      </c>
      <c r="AF102" s="36">
        <f aca="true" t="shared" si="30" ref="AF102:AF108">IF(AQ102="2",BH102,0)</f>
        <v>0</v>
      </c>
      <c r="AG102" s="36">
        <f aca="true" t="shared" si="31" ref="AG102:AG108">IF(AQ102="2",BI102,0)</f>
        <v>0</v>
      </c>
      <c r="AH102" s="36">
        <f aca="true" t="shared" si="32" ref="AH102:AH108">IF(AQ102="0",BJ102,0)</f>
        <v>0</v>
      </c>
      <c r="AI102" s="31"/>
      <c r="AJ102" s="18">
        <f aca="true" t="shared" si="33" ref="AJ102:AJ108">IF(AN102=0,K102,0)</f>
        <v>0</v>
      </c>
      <c r="AK102" s="18">
        <f aca="true" t="shared" si="34" ref="AK102:AK108">IF(AN102=15,K102,0)</f>
        <v>0</v>
      </c>
      <c r="AL102" s="18">
        <f aca="true" t="shared" si="35" ref="AL102:AL108">IF(AN102=21,K102,0)</f>
        <v>0</v>
      </c>
      <c r="AN102" s="36">
        <v>21</v>
      </c>
      <c r="AO102" s="36">
        <f>H102*0</f>
        <v>0</v>
      </c>
      <c r="AP102" s="36">
        <f>H102*(1-0)</f>
        <v>0</v>
      </c>
      <c r="AQ102" s="30" t="s">
        <v>13</v>
      </c>
      <c r="AV102" s="36">
        <f aca="true" t="shared" si="36" ref="AV102:AV108">AW102+AX102</f>
        <v>0</v>
      </c>
      <c r="AW102" s="36">
        <f aca="true" t="shared" si="37" ref="AW102:AW108">G102*AO102</f>
        <v>0</v>
      </c>
      <c r="AX102" s="36">
        <f aca="true" t="shared" si="38" ref="AX102:AX108">G102*AP102</f>
        <v>0</v>
      </c>
      <c r="AY102" s="37" t="s">
        <v>366</v>
      </c>
      <c r="AZ102" s="37" t="s">
        <v>378</v>
      </c>
      <c r="BA102" s="31" t="s">
        <v>380</v>
      </c>
      <c r="BC102" s="36">
        <f aca="true" t="shared" si="39" ref="BC102:BC108">AW102+AX102</f>
        <v>0</v>
      </c>
      <c r="BD102" s="36">
        <f aca="true" t="shared" si="40" ref="BD102:BD108">H102/(100-BE102)*100</f>
        <v>0</v>
      </c>
      <c r="BE102" s="36">
        <v>0</v>
      </c>
      <c r="BF102" s="36">
        <f>102</f>
        <v>102</v>
      </c>
      <c r="BH102" s="18">
        <f aca="true" t="shared" si="41" ref="BH102:BH108">G102*AO102</f>
        <v>0</v>
      </c>
      <c r="BI102" s="18">
        <f aca="true" t="shared" si="42" ref="BI102:BI108">G102*AP102</f>
        <v>0</v>
      </c>
      <c r="BJ102" s="18">
        <f aca="true" t="shared" si="43" ref="BJ102:BJ108">G102*H102</f>
        <v>0</v>
      </c>
    </row>
    <row r="103" spans="1:62" ht="12.75">
      <c r="A103" s="4" t="s">
        <v>51</v>
      </c>
      <c r="B103" s="4" t="s">
        <v>151</v>
      </c>
      <c r="C103" s="106" t="s">
        <v>280</v>
      </c>
      <c r="D103" s="107"/>
      <c r="E103" s="107"/>
      <c r="F103" s="4" t="s">
        <v>329</v>
      </c>
      <c r="G103" s="18">
        <v>103.44</v>
      </c>
      <c r="H103" s="74">
        <v>0</v>
      </c>
      <c r="I103" s="18">
        <f t="shared" si="22"/>
        <v>0</v>
      </c>
      <c r="J103" s="18">
        <f t="shared" si="23"/>
        <v>0</v>
      </c>
      <c r="K103" s="18">
        <f t="shared" si="24"/>
        <v>0</v>
      </c>
      <c r="L103" s="30" t="s">
        <v>348</v>
      </c>
      <c r="Z103" s="36">
        <f t="shared" si="25"/>
        <v>0</v>
      </c>
      <c r="AB103" s="36">
        <f t="shared" si="26"/>
        <v>0</v>
      </c>
      <c r="AC103" s="36">
        <f t="shared" si="27"/>
        <v>0</v>
      </c>
      <c r="AD103" s="36">
        <f t="shared" si="28"/>
        <v>0</v>
      </c>
      <c r="AE103" s="36">
        <f t="shared" si="29"/>
        <v>0</v>
      </c>
      <c r="AF103" s="36">
        <f t="shared" si="30"/>
        <v>0</v>
      </c>
      <c r="AG103" s="36">
        <f t="shared" si="31"/>
        <v>0</v>
      </c>
      <c r="AH103" s="36">
        <f t="shared" si="32"/>
        <v>0</v>
      </c>
      <c r="AI103" s="31"/>
      <c r="AJ103" s="18">
        <f t="shared" si="33"/>
        <v>0</v>
      </c>
      <c r="AK103" s="18">
        <f t="shared" si="34"/>
        <v>0</v>
      </c>
      <c r="AL103" s="18">
        <f t="shared" si="35"/>
        <v>0</v>
      </c>
      <c r="AN103" s="36">
        <v>21</v>
      </c>
      <c r="AO103" s="36">
        <f>H103*0</f>
        <v>0</v>
      </c>
      <c r="AP103" s="36">
        <f>H103*(1-0)</f>
        <v>0</v>
      </c>
      <c r="AQ103" s="30" t="s">
        <v>13</v>
      </c>
      <c r="AV103" s="36">
        <f t="shared" si="36"/>
        <v>0</v>
      </c>
      <c r="AW103" s="36">
        <f t="shared" si="37"/>
        <v>0</v>
      </c>
      <c r="AX103" s="36">
        <f t="shared" si="38"/>
        <v>0</v>
      </c>
      <c r="AY103" s="37" t="s">
        <v>366</v>
      </c>
      <c r="AZ103" s="37" t="s">
        <v>378</v>
      </c>
      <c r="BA103" s="31" t="s">
        <v>380</v>
      </c>
      <c r="BC103" s="36">
        <f t="shared" si="39"/>
        <v>0</v>
      </c>
      <c r="BD103" s="36">
        <f t="shared" si="40"/>
        <v>0</v>
      </c>
      <c r="BE103" s="36">
        <v>0</v>
      </c>
      <c r="BF103" s="36">
        <f>103</f>
        <v>103</v>
      </c>
      <c r="BH103" s="18">
        <f t="shared" si="41"/>
        <v>0</v>
      </c>
      <c r="BI103" s="18">
        <f t="shared" si="42"/>
        <v>0</v>
      </c>
      <c r="BJ103" s="18">
        <f t="shared" si="43"/>
        <v>0</v>
      </c>
    </row>
    <row r="104" spans="1:62" ht="12.75">
      <c r="A104" s="4" t="s">
        <v>52</v>
      </c>
      <c r="B104" s="4" t="s">
        <v>152</v>
      </c>
      <c r="C104" s="106" t="s">
        <v>281</v>
      </c>
      <c r="D104" s="107"/>
      <c r="E104" s="107"/>
      <c r="F104" s="4" t="s">
        <v>329</v>
      </c>
      <c r="G104" s="18">
        <v>140.22</v>
      </c>
      <c r="H104" s="74">
        <v>0</v>
      </c>
      <c r="I104" s="18">
        <f t="shared" si="22"/>
        <v>0</v>
      </c>
      <c r="J104" s="18">
        <f t="shared" si="23"/>
        <v>0</v>
      </c>
      <c r="K104" s="18">
        <f t="shared" si="24"/>
        <v>0</v>
      </c>
      <c r="L104" s="30" t="s">
        <v>348</v>
      </c>
      <c r="Z104" s="36">
        <f t="shared" si="25"/>
        <v>0</v>
      </c>
      <c r="AB104" s="36">
        <f t="shared" si="26"/>
        <v>0</v>
      </c>
      <c r="AC104" s="36">
        <f t="shared" si="27"/>
        <v>0</v>
      </c>
      <c r="AD104" s="36">
        <f t="shared" si="28"/>
        <v>0</v>
      </c>
      <c r="AE104" s="36">
        <f t="shared" si="29"/>
        <v>0</v>
      </c>
      <c r="AF104" s="36">
        <f t="shared" si="30"/>
        <v>0</v>
      </c>
      <c r="AG104" s="36">
        <f t="shared" si="31"/>
        <v>0</v>
      </c>
      <c r="AH104" s="36">
        <f t="shared" si="32"/>
        <v>0</v>
      </c>
      <c r="AI104" s="31"/>
      <c r="AJ104" s="18">
        <f t="shared" si="33"/>
        <v>0</v>
      </c>
      <c r="AK104" s="18">
        <f t="shared" si="34"/>
        <v>0</v>
      </c>
      <c r="AL104" s="18">
        <f t="shared" si="35"/>
        <v>0</v>
      </c>
      <c r="AN104" s="36">
        <v>21</v>
      </c>
      <c r="AO104" s="36">
        <f>H104*0</f>
        <v>0</v>
      </c>
      <c r="AP104" s="36">
        <f>H104*(1-0)</f>
        <v>0</v>
      </c>
      <c r="AQ104" s="30" t="s">
        <v>13</v>
      </c>
      <c r="AV104" s="36">
        <f t="shared" si="36"/>
        <v>0</v>
      </c>
      <c r="AW104" s="36">
        <f t="shared" si="37"/>
        <v>0</v>
      </c>
      <c r="AX104" s="36">
        <f t="shared" si="38"/>
        <v>0</v>
      </c>
      <c r="AY104" s="37" t="s">
        <v>366</v>
      </c>
      <c r="AZ104" s="37" t="s">
        <v>378</v>
      </c>
      <c r="BA104" s="31" t="s">
        <v>380</v>
      </c>
      <c r="BC104" s="36">
        <f t="shared" si="39"/>
        <v>0</v>
      </c>
      <c r="BD104" s="36">
        <f t="shared" si="40"/>
        <v>0</v>
      </c>
      <c r="BE104" s="36">
        <v>0</v>
      </c>
      <c r="BF104" s="36">
        <f>104</f>
        <v>104</v>
      </c>
      <c r="BH104" s="18">
        <f t="shared" si="41"/>
        <v>0</v>
      </c>
      <c r="BI104" s="18">
        <f t="shared" si="42"/>
        <v>0</v>
      </c>
      <c r="BJ104" s="18">
        <f t="shared" si="43"/>
        <v>0</v>
      </c>
    </row>
    <row r="105" spans="1:62" ht="12.75">
      <c r="A105" s="4" t="s">
        <v>53</v>
      </c>
      <c r="B105" s="4" t="s">
        <v>153</v>
      </c>
      <c r="C105" s="106" t="s">
        <v>282</v>
      </c>
      <c r="D105" s="107"/>
      <c r="E105" s="107"/>
      <c r="F105" s="4" t="s">
        <v>329</v>
      </c>
      <c r="G105" s="18">
        <v>172.12</v>
      </c>
      <c r="H105" s="74">
        <v>0</v>
      </c>
      <c r="I105" s="18">
        <f t="shared" si="22"/>
        <v>0</v>
      </c>
      <c r="J105" s="18">
        <f t="shared" si="23"/>
        <v>0</v>
      </c>
      <c r="K105" s="18">
        <f t="shared" si="24"/>
        <v>0</v>
      </c>
      <c r="L105" s="30" t="s">
        <v>348</v>
      </c>
      <c r="Z105" s="36">
        <f t="shared" si="25"/>
        <v>0</v>
      </c>
      <c r="AB105" s="36">
        <f t="shared" si="26"/>
        <v>0</v>
      </c>
      <c r="AC105" s="36">
        <f t="shared" si="27"/>
        <v>0</v>
      </c>
      <c r="AD105" s="36">
        <f t="shared" si="28"/>
        <v>0</v>
      </c>
      <c r="AE105" s="36">
        <f t="shared" si="29"/>
        <v>0</v>
      </c>
      <c r="AF105" s="36">
        <f t="shared" si="30"/>
        <v>0</v>
      </c>
      <c r="AG105" s="36">
        <f t="shared" si="31"/>
        <v>0</v>
      </c>
      <c r="AH105" s="36">
        <f t="shared" si="32"/>
        <v>0</v>
      </c>
      <c r="AI105" s="31"/>
      <c r="AJ105" s="18">
        <f t="shared" si="33"/>
        <v>0</v>
      </c>
      <c r="AK105" s="18">
        <f t="shared" si="34"/>
        <v>0</v>
      </c>
      <c r="AL105" s="18">
        <f t="shared" si="35"/>
        <v>0</v>
      </c>
      <c r="AN105" s="36">
        <v>21</v>
      </c>
      <c r="AO105" s="36">
        <f>H105*0.309423676012461</f>
        <v>0</v>
      </c>
      <c r="AP105" s="36">
        <f>H105*(1-0.309423676012461)</f>
        <v>0</v>
      </c>
      <c r="AQ105" s="30" t="s">
        <v>13</v>
      </c>
      <c r="AV105" s="36">
        <f t="shared" si="36"/>
        <v>0</v>
      </c>
      <c r="AW105" s="36">
        <f t="shared" si="37"/>
        <v>0</v>
      </c>
      <c r="AX105" s="36">
        <f t="shared" si="38"/>
        <v>0</v>
      </c>
      <c r="AY105" s="37" t="s">
        <v>366</v>
      </c>
      <c r="AZ105" s="37" t="s">
        <v>378</v>
      </c>
      <c r="BA105" s="31" t="s">
        <v>380</v>
      </c>
      <c r="BC105" s="36">
        <f t="shared" si="39"/>
        <v>0</v>
      </c>
      <c r="BD105" s="36">
        <f t="shared" si="40"/>
        <v>0</v>
      </c>
      <c r="BE105" s="36">
        <v>0</v>
      </c>
      <c r="BF105" s="36">
        <f>105</f>
        <v>105</v>
      </c>
      <c r="BH105" s="18">
        <f t="shared" si="41"/>
        <v>0</v>
      </c>
      <c r="BI105" s="18">
        <f t="shared" si="42"/>
        <v>0</v>
      </c>
      <c r="BJ105" s="18">
        <f t="shared" si="43"/>
        <v>0</v>
      </c>
    </row>
    <row r="106" spans="1:62" ht="12.75">
      <c r="A106" s="4" t="s">
        <v>54</v>
      </c>
      <c r="B106" s="4" t="s">
        <v>154</v>
      </c>
      <c r="C106" s="106" t="s">
        <v>283</v>
      </c>
      <c r="D106" s="107"/>
      <c r="E106" s="107"/>
      <c r="F106" s="4" t="s">
        <v>329</v>
      </c>
      <c r="G106" s="18">
        <v>181.64</v>
      </c>
      <c r="H106" s="74">
        <v>0</v>
      </c>
      <c r="I106" s="18">
        <f t="shared" si="22"/>
        <v>0</v>
      </c>
      <c r="J106" s="18">
        <f t="shared" si="23"/>
        <v>0</v>
      </c>
      <c r="K106" s="18">
        <f t="shared" si="24"/>
        <v>0</v>
      </c>
      <c r="L106" s="30" t="s">
        <v>348</v>
      </c>
      <c r="Z106" s="36">
        <f t="shared" si="25"/>
        <v>0</v>
      </c>
      <c r="AB106" s="36">
        <f t="shared" si="26"/>
        <v>0</v>
      </c>
      <c r="AC106" s="36">
        <f t="shared" si="27"/>
        <v>0</v>
      </c>
      <c r="AD106" s="36">
        <f t="shared" si="28"/>
        <v>0</v>
      </c>
      <c r="AE106" s="36">
        <f t="shared" si="29"/>
        <v>0</v>
      </c>
      <c r="AF106" s="36">
        <f t="shared" si="30"/>
        <v>0</v>
      </c>
      <c r="AG106" s="36">
        <f t="shared" si="31"/>
        <v>0</v>
      </c>
      <c r="AH106" s="36">
        <f t="shared" si="32"/>
        <v>0</v>
      </c>
      <c r="AI106" s="31"/>
      <c r="AJ106" s="18">
        <f t="shared" si="33"/>
        <v>0</v>
      </c>
      <c r="AK106" s="18">
        <f t="shared" si="34"/>
        <v>0</v>
      </c>
      <c r="AL106" s="18">
        <f t="shared" si="35"/>
        <v>0</v>
      </c>
      <c r="AN106" s="36">
        <v>21</v>
      </c>
      <c r="AO106" s="36">
        <f>H106*0.643089887640449</f>
        <v>0</v>
      </c>
      <c r="AP106" s="36">
        <f>H106*(1-0.643089887640449)</f>
        <v>0</v>
      </c>
      <c r="AQ106" s="30" t="s">
        <v>13</v>
      </c>
      <c r="AV106" s="36">
        <f t="shared" si="36"/>
        <v>0</v>
      </c>
      <c r="AW106" s="36">
        <f t="shared" si="37"/>
        <v>0</v>
      </c>
      <c r="AX106" s="36">
        <f t="shared" si="38"/>
        <v>0</v>
      </c>
      <c r="AY106" s="37" t="s">
        <v>366</v>
      </c>
      <c r="AZ106" s="37" t="s">
        <v>378</v>
      </c>
      <c r="BA106" s="31" t="s">
        <v>380</v>
      </c>
      <c r="BC106" s="36">
        <f t="shared" si="39"/>
        <v>0</v>
      </c>
      <c r="BD106" s="36">
        <f t="shared" si="40"/>
        <v>0</v>
      </c>
      <c r="BE106" s="36">
        <v>0</v>
      </c>
      <c r="BF106" s="36">
        <f>106</f>
        <v>106</v>
      </c>
      <c r="BH106" s="18">
        <f t="shared" si="41"/>
        <v>0</v>
      </c>
      <c r="BI106" s="18">
        <f t="shared" si="42"/>
        <v>0</v>
      </c>
      <c r="BJ106" s="18">
        <f t="shared" si="43"/>
        <v>0</v>
      </c>
    </row>
    <row r="107" spans="1:62" ht="12.75">
      <c r="A107" s="4" t="s">
        <v>55</v>
      </c>
      <c r="B107" s="4" t="s">
        <v>155</v>
      </c>
      <c r="C107" s="106" t="s">
        <v>284</v>
      </c>
      <c r="D107" s="107"/>
      <c r="E107" s="107"/>
      <c r="F107" s="4" t="s">
        <v>329</v>
      </c>
      <c r="G107" s="18">
        <v>8.8</v>
      </c>
      <c r="H107" s="74">
        <v>0</v>
      </c>
      <c r="I107" s="18">
        <f t="shared" si="22"/>
        <v>0</v>
      </c>
      <c r="J107" s="18">
        <f t="shared" si="23"/>
        <v>0</v>
      </c>
      <c r="K107" s="18">
        <f t="shared" si="24"/>
        <v>0</v>
      </c>
      <c r="L107" s="30"/>
      <c r="Z107" s="36">
        <f t="shared" si="25"/>
        <v>0</v>
      </c>
      <c r="AB107" s="36">
        <f t="shared" si="26"/>
        <v>0</v>
      </c>
      <c r="AC107" s="36">
        <f t="shared" si="27"/>
        <v>0</v>
      </c>
      <c r="AD107" s="36">
        <f t="shared" si="28"/>
        <v>0</v>
      </c>
      <c r="AE107" s="36">
        <f t="shared" si="29"/>
        <v>0</v>
      </c>
      <c r="AF107" s="36">
        <f t="shared" si="30"/>
        <v>0</v>
      </c>
      <c r="AG107" s="36">
        <f t="shared" si="31"/>
        <v>0</v>
      </c>
      <c r="AH107" s="36">
        <f t="shared" si="32"/>
        <v>0</v>
      </c>
      <c r="AI107" s="31"/>
      <c r="AJ107" s="18">
        <f t="shared" si="33"/>
        <v>0</v>
      </c>
      <c r="AK107" s="18">
        <f t="shared" si="34"/>
        <v>0</v>
      </c>
      <c r="AL107" s="18">
        <f t="shared" si="35"/>
        <v>0</v>
      </c>
      <c r="AN107" s="36">
        <v>21</v>
      </c>
      <c r="AO107" s="36">
        <f>H107*0</f>
        <v>0</v>
      </c>
      <c r="AP107" s="36">
        <f>H107*(1-0)</f>
        <v>0</v>
      </c>
      <c r="AQ107" s="30" t="s">
        <v>13</v>
      </c>
      <c r="AV107" s="36">
        <f t="shared" si="36"/>
        <v>0</v>
      </c>
      <c r="AW107" s="36">
        <f t="shared" si="37"/>
        <v>0</v>
      </c>
      <c r="AX107" s="36">
        <f t="shared" si="38"/>
        <v>0</v>
      </c>
      <c r="AY107" s="37" t="s">
        <v>366</v>
      </c>
      <c r="AZ107" s="37" t="s">
        <v>378</v>
      </c>
      <c r="BA107" s="31" t="s">
        <v>380</v>
      </c>
      <c r="BC107" s="36">
        <f t="shared" si="39"/>
        <v>0</v>
      </c>
      <c r="BD107" s="36">
        <f t="shared" si="40"/>
        <v>0</v>
      </c>
      <c r="BE107" s="36">
        <v>0</v>
      </c>
      <c r="BF107" s="36">
        <f>107</f>
        <v>107</v>
      </c>
      <c r="BH107" s="18">
        <f t="shared" si="41"/>
        <v>0</v>
      </c>
      <c r="BI107" s="18">
        <f t="shared" si="42"/>
        <v>0</v>
      </c>
      <c r="BJ107" s="18">
        <f t="shared" si="43"/>
        <v>0</v>
      </c>
    </row>
    <row r="108" spans="1:62" ht="12.75">
      <c r="A108" s="4" t="s">
        <v>56</v>
      </c>
      <c r="B108" s="4" t="s">
        <v>156</v>
      </c>
      <c r="C108" s="106" t="s">
        <v>285</v>
      </c>
      <c r="D108" s="107"/>
      <c r="E108" s="107"/>
      <c r="F108" s="4" t="s">
        <v>327</v>
      </c>
      <c r="G108" s="18">
        <v>1.68452</v>
      </c>
      <c r="H108" s="74">
        <v>0</v>
      </c>
      <c r="I108" s="18">
        <f t="shared" si="22"/>
        <v>0</v>
      </c>
      <c r="J108" s="18">
        <f t="shared" si="23"/>
        <v>0</v>
      </c>
      <c r="K108" s="18">
        <f t="shared" si="24"/>
        <v>0</v>
      </c>
      <c r="L108" s="30" t="s">
        <v>348</v>
      </c>
      <c r="Z108" s="36">
        <f t="shared" si="25"/>
        <v>0</v>
      </c>
      <c r="AB108" s="36">
        <f t="shared" si="26"/>
        <v>0</v>
      </c>
      <c r="AC108" s="36">
        <f t="shared" si="27"/>
        <v>0</v>
      </c>
      <c r="AD108" s="36">
        <f t="shared" si="28"/>
        <v>0</v>
      </c>
      <c r="AE108" s="36">
        <f t="shared" si="29"/>
        <v>0</v>
      </c>
      <c r="AF108" s="36">
        <f t="shared" si="30"/>
        <v>0</v>
      </c>
      <c r="AG108" s="36">
        <f t="shared" si="31"/>
        <v>0</v>
      </c>
      <c r="AH108" s="36">
        <f t="shared" si="32"/>
        <v>0</v>
      </c>
      <c r="AI108" s="31"/>
      <c r="AJ108" s="18">
        <f t="shared" si="33"/>
        <v>0</v>
      </c>
      <c r="AK108" s="18">
        <f t="shared" si="34"/>
        <v>0</v>
      </c>
      <c r="AL108" s="18">
        <f t="shared" si="35"/>
        <v>0</v>
      </c>
      <c r="AN108" s="36">
        <v>21</v>
      </c>
      <c r="AO108" s="36">
        <f>H108*0</f>
        <v>0</v>
      </c>
      <c r="AP108" s="36">
        <f>H108*(1-0)</f>
        <v>0</v>
      </c>
      <c r="AQ108" s="30" t="s">
        <v>11</v>
      </c>
      <c r="AV108" s="36">
        <f t="shared" si="36"/>
        <v>0</v>
      </c>
      <c r="AW108" s="36">
        <f t="shared" si="37"/>
        <v>0</v>
      </c>
      <c r="AX108" s="36">
        <f t="shared" si="38"/>
        <v>0</v>
      </c>
      <c r="AY108" s="37" t="s">
        <v>366</v>
      </c>
      <c r="AZ108" s="37" t="s">
        <v>378</v>
      </c>
      <c r="BA108" s="31" t="s">
        <v>380</v>
      </c>
      <c r="BC108" s="36">
        <f t="shared" si="39"/>
        <v>0</v>
      </c>
      <c r="BD108" s="36">
        <f t="shared" si="40"/>
        <v>0</v>
      </c>
      <c r="BE108" s="36">
        <v>0</v>
      </c>
      <c r="BF108" s="36">
        <f>108</f>
        <v>108</v>
      </c>
      <c r="BH108" s="18">
        <f t="shared" si="41"/>
        <v>0</v>
      </c>
      <c r="BI108" s="18">
        <f t="shared" si="42"/>
        <v>0</v>
      </c>
      <c r="BJ108" s="18">
        <f t="shared" si="43"/>
        <v>0</v>
      </c>
    </row>
    <row r="109" spans="1:47" ht="12.75">
      <c r="A109" s="5"/>
      <c r="B109" s="14" t="s">
        <v>157</v>
      </c>
      <c r="C109" s="110" t="s">
        <v>286</v>
      </c>
      <c r="D109" s="111"/>
      <c r="E109" s="111"/>
      <c r="F109" s="5" t="s">
        <v>6</v>
      </c>
      <c r="G109" s="5" t="s">
        <v>6</v>
      </c>
      <c r="H109" s="5" t="s">
        <v>6</v>
      </c>
      <c r="I109" s="39">
        <f>SUM(I110:I112)</f>
        <v>0</v>
      </c>
      <c r="J109" s="39">
        <f>SUM(J110:J112)</f>
        <v>0</v>
      </c>
      <c r="K109" s="39">
        <f>SUM(K110:K112)</f>
        <v>0</v>
      </c>
      <c r="L109" s="31"/>
      <c r="AI109" s="31"/>
      <c r="AS109" s="39">
        <f>SUM(AJ110:AJ112)</f>
        <v>0</v>
      </c>
      <c r="AT109" s="39">
        <f>SUM(AK110:AK112)</f>
        <v>0</v>
      </c>
      <c r="AU109" s="39">
        <f>SUM(AL110:AL112)</f>
        <v>0</v>
      </c>
    </row>
    <row r="110" spans="1:62" ht="12.75">
      <c r="A110" s="4" t="s">
        <v>57</v>
      </c>
      <c r="B110" s="4" t="s">
        <v>158</v>
      </c>
      <c r="C110" s="106" t="s">
        <v>287</v>
      </c>
      <c r="D110" s="107"/>
      <c r="E110" s="107"/>
      <c r="F110" s="4" t="s">
        <v>328</v>
      </c>
      <c r="G110" s="18">
        <v>831.355</v>
      </c>
      <c r="H110" s="74">
        <v>0</v>
      </c>
      <c r="I110" s="18">
        <f>G110*AO110</f>
        <v>0</v>
      </c>
      <c r="J110" s="18">
        <f>G110*AP110</f>
        <v>0</v>
      </c>
      <c r="K110" s="18">
        <f>G110*H110</f>
        <v>0</v>
      </c>
      <c r="L110" s="30" t="s">
        <v>348</v>
      </c>
      <c r="Z110" s="36">
        <f>IF(AQ110="5",BJ110,0)</f>
        <v>0</v>
      </c>
      <c r="AB110" s="36">
        <f>IF(AQ110="1",BH110,0)</f>
        <v>0</v>
      </c>
      <c r="AC110" s="36">
        <f>IF(AQ110="1",BI110,0)</f>
        <v>0</v>
      </c>
      <c r="AD110" s="36">
        <f>IF(AQ110="7",BH110,0)</f>
        <v>0</v>
      </c>
      <c r="AE110" s="36">
        <f>IF(AQ110="7",BI110,0)</f>
        <v>0</v>
      </c>
      <c r="AF110" s="36">
        <f>IF(AQ110="2",BH110,0)</f>
        <v>0</v>
      </c>
      <c r="AG110" s="36">
        <f>IF(AQ110="2",BI110,0)</f>
        <v>0</v>
      </c>
      <c r="AH110" s="36">
        <f>IF(AQ110="0",BJ110,0)</f>
        <v>0</v>
      </c>
      <c r="AI110" s="31"/>
      <c r="AJ110" s="18">
        <f>IF(AN110=0,K110,0)</f>
        <v>0</v>
      </c>
      <c r="AK110" s="18">
        <f>IF(AN110=15,K110,0)</f>
        <v>0</v>
      </c>
      <c r="AL110" s="18">
        <f>IF(AN110=21,K110,0)</f>
        <v>0</v>
      </c>
      <c r="AN110" s="36">
        <v>21</v>
      </c>
      <c r="AO110" s="36">
        <f>H110*0</f>
        <v>0</v>
      </c>
      <c r="AP110" s="36">
        <f>H110*(1-0)</f>
        <v>0</v>
      </c>
      <c r="AQ110" s="30" t="s">
        <v>13</v>
      </c>
      <c r="AV110" s="36">
        <f>AW110+AX110</f>
        <v>0</v>
      </c>
      <c r="AW110" s="36">
        <f>G110*AO110</f>
        <v>0</v>
      </c>
      <c r="AX110" s="36">
        <f>G110*AP110</f>
        <v>0</v>
      </c>
      <c r="AY110" s="37" t="s">
        <v>367</v>
      </c>
      <c r="AZ110" s="37" t="s">
        <v>378</v>
      </c>
      <c r="BA110" s="31" t="s">
        <v>380</v>
      </c>
      <c r="BC110" s="36">
        <f>AW110+AX110</f>
        <v>0</v>
      </c>
      <c r="BD110" s="36">
        <f>H110/(100-BE110)*100</f>
        <v>0</v>
      </c>
      <c r="BE110" s="36">
        <v>0</v>
      </c>
      <c r="BF110" s="36">
        <f>110</f>
        <v>110</v>
      </c>
      <c r="BH110" s="18">
        <f>G110*AO110</f>
        <v>0</v>
      </c>
      <c r="BI110" s="18">
        <f>G110*AP110</f>
        <v>0</v>
      </c>
      <c r="BJ110" s="18">
        <f>G110*H110</f>
        <v>0</v>
      </c>
    </row>
    <row r="111" spans="1:62" ht="12.75">
      <c r="A111" s="4" t="s">
        <v>58</v>
      </c>
      <c r="B111" s="4" t="s">
        <v>159</v>
      </c>
      <c r="C111" s="106" t="s">
        <v>288</v>
      </c>
      <c r="D111" s="107"/>
      <c r="E111" s="107"/>
      <c r="F111" s="4" t="s">
        <v>329</v>
      </c>
      <c r="G111" s="18">
        <v>80.1</v>
      </c>
      <c r="H111" s="74">
        <v>0</v>
      </c>
      <c r="I111" s="18">
        <f>G111*AO111</f>
        <v>0</v>
      </c>
      <c r="J111" s="18">
        <f>G111*AP111</f>
        <v>0</v>
      </c>
      <c r="K111" s="18">
        <f>G111*H111</f>
        <v>0</v>
      </c>
      <c r="L111" s="30" t="s">
        <v>348</v>
      </c>
      <c r="Z111" s="36">
        <f>IF(AQ111="5",BJ111,0)</f>
        <v>0</v>
      </c>
      <c r="AB111" s="36">
        <f>IF(AQ111="1",BH111,0)</f>
        <v>0</v>
      </c>
      <c r="AC111" s="36">
        <f>IF(AQ111="1",BI111,0)</f>
        <v>0</v>
      </c>
      <c r="AD111" s="36">
        <f>IF(AQ111="7",BH111,0)</f>
        <v>0</v>
      </c>
      <c r="AE111" s="36">
        <f>IF(AQ111="7",BI111,0)</f>
        <v>0</v>
      </c>
      <c r="AF111" s="36">
        <f>IF(AQ111="2",BH111,0)</f>
        <v>0</v>
      </c>
      <c r="AG111" s="36">
        <f>IF(AQ111="2",BI111,0)</f>
        <v>0</v>
      </c>
      <c r="AH111" s="36">
        <f>IF(AQ111="0",BJ111,0)</f>
        <v>0</v>
      </c>
      <c r="AI111" s="31"/>
      <c r="AJ111" s="18">
        <f>IF(AN111=0,K111,0)</f>
        <v>0</v>
      </c>
      <c r="AK111" s="18">
        <f>IF(AN111=15,K111,0)</f>
        <v>0</v>
      </c>
      <c r="AL111" s="18">
        <f>IF(AN111=21,K111,0)</f>
        <v>0</v>
      </c>
      <c r="AN111" s="36">
        <v>21</v>
      </c>
      <c r="AO111" s="36">
        <f>H111*0</f>
        <v>0</v>
      </c>
      <c r="AP111" s="36">
        <f>H111*(1-0)</f>
        <v>0</v>
      </c>
      <c r="AQ111" s="30" t="s">
        <v>13</v>
      </c>
      <c r="AV111" s="36">
        <f>AW111+AX111</f>
        <v>0</v>
      </c>
      <c r="AW111" s="36">
        <f>G111*AO111</f>
        <v>0</v>
      </c>
      <c r="AX111" s="36">
        <f>G111*AP111</f>
        <v>0</v>
      </c>
      <c r="AY111" s="37" t="s">
        <v>367</v>
      </c>
      <c r="AZ111" s="37" t="s">
        <v>378</v>
      </c>
      <c r="BA111" s="31" t="s">
        <v>380</v>
      </c>
      <c r="BC111" s="36">
        <f>AW111+AX111</f>
        <v>0</v>
      </c>
      <c r="BD111" s="36">
        <f>H111/(100-BE111)*100</f>
        <v>0</v>
      </c>
      <c r="BE111" s="36">
        <v>0</v>
      </c>
      <c r="BF111" s="36">
        <f>111</f>
        <v>111</v>
      </c>
      <c r="BH111" s="18">
        <f>G111*AO111</f>
        <v>0</v>
      </c>
      <c r="BI111" s="18">
        <f>G111*AP111</f>
        <v>0</v>
      </c>
      <c r="BJ111" s="18">
        <f>G111*H111</f>
        <v>0</v>
      </c>
    </row>
    <row r="112" spans="1:62" ht="12.75">
      <c r="A112" s="4" t="s">
        <v>59</v>
      </c>
      <c r="B112" s="4" t="s">
        <v>160</v>
      </c>
      <c r="C112" s="106" t="s">
        <v>289</v>
      </c>
      <c r="D112" s="107"/>
      <c r="E112" s="107"/>
      <c r="F112" s="4" t="s">
        <v>328</v>
      </c>
      <c r="G112" s="18">
        <v>831.355</v>
      </c>
      <c r="H112" s="74">
        <v>0</v>
      </c>
      <c r="I112" s="18">
        <f>G112*AO112</f>
        <v>0</v>
      </c>
      <c r="J112" s="18">
        <f>G112*AP112</f>
        <v>0</v>
      </c>
      <c r="K112" s="18">
        <f>G112*H112</f>
        <v>0</v>
      </c>
      <c r="L112" s="30" t="s">
        <v>348</v>
      </c>
      <c r="Z112" s="36">
        <f>IF(AQ112="5",BJ112,0)</f>
        <v>0</v>
      </c>
      <c r="AB112" s="36">
        <f>IF(AQ112="1",BH112,0)</f>
        <v>0</v>
      </c>
      <c r="AC112" s="36">
        <f>IF(AQ112="1",BI112,0)</f>
        <v>0</v>
      </c>
      <c r="AD112" s="36">
        <f>IF(AQ112="7",BH112,0)</f>
        <v>0</v>
      </c>
      <c r="AE112" s="36">
        <f>IF(AQ112="7",BI112,0)</f>
        <v>0</v>
      </c>
      <c r="AF112" s="36">
        <f>IF(AQ112="2",BH112,0)</f>
        <v>0</v>
      </c>
      <c r="AG112" s="36">
        <f>IF(AQ112="2",BI112,0)</f>
        <v>0</v>
      </c>
      <c r="AH112" s="36">
        <f>IF(AQ112="0",BJ112,0)</f>
        <v>0</v>
      </c>
      <c r="AI112" s="31"/>
      <c r="AJ112" s="18">
        <f>IF(AN112=0,K112,0)</f>
        <v>0</v>
      </c>
      <c r="AK112" s="18">
        <f>IF(AN112=15,K112,0)</f>
        <v>0</v>
      </c>
      <c r="AL112" s="18">
        <f>IF(AN112=21,K112,0)</f>
        <v>0</v>
      </c>
      <c r="AN112" s="36">
        <v>21</v>
      </c>
      <c r="AO112" s="36">
        <f>H112*0</f>
        <v>0</v>
      </c>
      <c r="AP112" s="36">
        <f>H112*(1-0)</f>
        <v>0</v>
      </c>
      <c r="AQ112" s="30" t="s">
        <v>13</v>
      </c>
      <c r="AV112" s="36">
        <f>AW112+AX112</f>
        <v>0</v>
      </c>
      <c r="AW112" s="36">
        <f>G112*AO112</f>
        <v>0</v>
      </c>
      <c r="AX112" s="36">
        <f>G112*AP112</f>
        <v>0</v>
      </c>
      <c r="AY112" s="37" t="s">
        <v>367</v>
      </c>
      <c r="AZ112" s="37" t="s">
        <v>378</v>
      </c>
      <c r="BA112" s="31" t="s">
        <v>380</v>
      </c>
      <c r="BC112" s="36">
        <f>AW112+AX112</f>
        <v>0</v>
      </c>
      <c r="BD112" s="36">
        <f>H112/(100-BE112)*100</f>
        <v>0</v>
      </c>
      <c r="BE112" s="36">
        <v>0</v>
      </c>
      <c r="BF112" s="36">
        <f>112</f>
        <v>112</v>
      </c>
      <c r="BH112" s="18">
        <f>G112*AO112</f>
        <v>0</v>
      </c>
      <c r="BI112" s="18">
        <f>G112*AP112</f>
        <v>0</v>
      </c>
      <c r="BJ112" s="18">
        <f>G112*H112</f>
        <v>0</v>
      </c>
    </row>
    <row r="113" spans="1:47" ht="12.75">
      <c r="A113" s="5"/>
      <c r="B113" s="14" t="s">
        <v>161</v>
      </c>
      <c r="C113" s="110" t="s">
        <v>290</v>
      </c>
      <c r="D113" s="111"/>
      <c r="E113" s="111"/>
      <c r="F113" s="5" t="s">
        <v>6</v>
      </c>
      <c r="G113" s="5" t="s">
        <v>6</v>
      </c>
      <c r="H113" s="5" t="s">
        <v>6</v>
      </c>
      <c r="I113" s="39">
        <f>SUM(I114:I151)</f>
        <v>0</v>
      </c>
      <c r="J113" s="39">
        <f>SUM(J114:J151)</f>
        <v>0</v>
      </c>
      <c r="K113" s="39">
        <f>SUM(K114:K151)</f>
        <v>0</v>
      </c>
      <c r="L113" s="31"/>
      <c r="AI113" s="31"/>
      <c r="AS113" s="39">
        <f>SUM(AJ114:AJ151)</f>
        <v>0</v>
      </c>
      <c r="AT113" s="39">
        <f>SUM(AK114:AK151)</f>
        <v>0</v>
      </c>
      <c r="AU113" s="39">
        <f>SUM(AL114:AL151)</f>
        <v>0</v>
      </c>
    </row>
    <row r="114" spans="1:62" ht="12.75">
      <c r="A114" s="4" t="s">
        <v>60</v>
      </c>
      <c r="B114" s="4" t="s">
        <v>162</v>
      </c>
      <c r="C114" s="106" t="s">
        <v>513</v>
      </c>
      <c r="D114" s="107"/>
      <c r="E114" s="107"/>
      <c r="F114" s="4" t="s">
        <v>326</v>
      </c>
      <c r="G114" s="18">
        <v>12</v>
      </c>
      <c r="H114" s="74">
        <v>0</v>
      </c>
      <c r="I114" s="18">
        <f>G114*AO114</f>
        <v>0</v>
      </c>
      <c r="J114" s="18">
        <f>G114*AP114</f>
        <v>0</v>
      </c>
      <c r="K114" s="18">
        <f>G114*H114</f>
        <v>0</v>
      </c>
      <c r="L114" s="30"/>
      <c r="Z114" s="36">
        <f>IF(AQ114="5",BJ114,0)</f>
        <v>0</v>
      </c>
      <c r="AB114" s="36">
        <f>IF(AQ114="1",BH114,0)</f>
        <v>0</v>
      </c>
      <c r="AC114" s="36">
        <f>IF(AQ114="1",BI114,0)</f>
        <v>0</v>
      </c>
      <c r="AD114" s="36">
        <f>IF(AQ114="7",BH114,0)</f>
        <v>0</v>
      </c>
      <c r="AE114" s="36">
        <f>IF(AQ114="7",BI114,0)</f>
        <v>0</v>
      </c>
      <c r="AF114" s="36">
        <f>IF(AQ114="2",BH114,0)</f>
        <v>0</v>
      </c>
      <c r="AG114" s="36">
        <f>IF(AQ114="2",BI114,0)</f>
        <v>0</v>
      </c>
      <c r="AH114" s="36">
        <f>IF(AQ114="0",BJ114,0)</f>
        <v>0</v>
      </c>
      <c r="AI114" s="31"/>
      <c r="AJ114" s="18">
        <f>IF(AN114=0,K114,0)</f>
        <v>0</v>
      </c>
      <c r="AK114" s="18">
        <f>IF(AN114=15,K114,0)</f>
        <v>0</v>
      </c>
      <c r="AL114" s="18">
        <f>IF(AN114=21,K114,0)</f>
        <v>0</v>
      </c>
      <c r="AN114" s="36">
        <v>21</v>
      </c>
      <c r="AO114" s="36">
        <f>H114*0</f>
        <v>0</v>
      </c>
      <c r="AP114" s="36">
        <f>H114*(1-0)</f>
        <v>0</v>
      </c>
      <c r="AQ114" s="30" t="s">
        <v>13</v>
      </c>
      <c r="AV114" s="36">
        <f>AW114+AX114</f>
        <v>0</v>
      </c>
      <c r="AW114" s="36">
        <f>G114*AO114</f>
        <v>0</v>
      </c>
      <c r="AX114" s="36">
        <f>G114*AP114</f>
        <v>0</v>
      </c>
      <c r="AY114" s="37" t="s">
        <v>368</v>
      </c>
      <c r="AZ114" s="37" t="s">
        <v>378</v>
      </c>
      <c r="BA114" s="31" t="s">
        <v>380</v>
      </c>
      <c r="BC114" s="36">
        <f>AW114+AX114</f>
        <v>0</v>
      </c>
      <c r="BD114" s="36">
        <f>H114/(100-BE114)*100</f>
        <v>0</v>
      </c>
      <c r="BE114" s="36">
        <v>0</v>
      </c>
      <c r="BF114" s="36">
        <f>114</f>
        <v>114</v>
      </c>
      <c r="BH114" s="18">
        <f>G114*AO114</f>
        <v>0</v>
      </c>
      <c r="BI114" s="18">
        <f>G114*AP114</f>
        <v>0</v>
      </c>
      <c r="BJ114" s="18">
        <f>G114*H114</f>
        <v>0</v>
      </c>
    </row>
    <row r="115" spans="2:12" ht="12.75">
      <c r="B115" s="13" t="s">
        <v>105</v>
      </c>
      <c r="C115" s="108" t="s">
        <v>291</v>
      </c>
      <c r="D115" s="109"/>
      <c r="E115" s="109"/>
      <c r="F115" s="109"/>
      <c r="G115" s="109"/>
      <c r="H115" s="109"/>
      <c r="I115" s="109"/>
      <c r="J115" s="109"/>
      <c r="K115" s="109"/>
      <c r="L115" s="109"/>
    </row>
    <row r="116" spans="1:62" ht="12.75">
      <c r="A116" s="4" t="s">
        <v>61</v>
      </c>
      <c r="B116" s="4" t="s">
        <v>163</v>
      </c>
      <c r="C116" s="106" t="s">
        <v>514</v>
      </c>
      <c r="D116" s="107"/>
      <c r="E116" s="107"/>
      <c r="F116" s="4" t="s">
        <v>326</v>
      </c>
      <c r="G116" s="18">
        <v>24</v>
      </c>
      <c r="H116" s="74">
        <v>0</v>
      </c>
      <c r="I116" s="18">
        <f>G116*AO116</f>
        <v>0</v>
      </c>
      <c r="J116" s="18">
        <f>G116*AP116</f>
        <v>0</v>
      </c>
      <c r="K116" s="18">
        <f>G116*H116</f>
        <v>0</v>
      </c>
      <c r="L116" s="30"/>
      <c r="Z116" s="36">
        <f>IF(AQ116="5",BJ116,0)</f>
        <v>0</v>
      </c>
      <c r="AB116" s="36">
        <f>IF(AQ116="1",BH116,0)</f>
        <v>0</v>
      </c>
      <c r="AC116" s="36">
        <f>IF(AQ116="1",BI116,0)</f>
        <v>0</v>
      </c>
      <c r="AD116" s="36">
        <f>IF(AQ116="7",BH116,0)</f>
        <v>0</v>
      </c>
      <c r="AE116" s="36">
        <f>IF(AQ116="7",BI116,0)</f>
        <v>0</v>
      </c>
      <c r="AF116" s="36">
        <f>IF(AQ116="2",BH116,0)</f>
        <v>0</v>
      </c>
      <c r="AG116" s="36">
        <f>IF(AQ116="2",BI116,0)</f>
        <v>0</v>
      </c>
      <c r="AH116" s="36">
        <f>IF(AQ116="0",BJ116,0)</f>
        <v>0</v>
      </c>
      <c r="AI116" s="31"/>
      <c r="AJ116" s="18">
        <f>IF(AN116=0,K116,0)</f>
        <v>0</v>
      </c>
      <c r="AK116" s="18">
        <f>IF(AN116=15,K116,0)</f>
        <v>0</v>
      </c>
      <c r="AL116" s="18">
        <f>IF(AN116=21,K116,0)</f>
        <v>0</v>
      </c>
      <c r="AN116" s="36">
        <v>21</v>
      </c>
      <c r="AO116" s="36">
        <f>H116*0</f>
        <v>0</v>
      </c>
      <c r="AP116" s="36">
        <f>H116*(1-0)</f>
        <v>0</v>
      </c>
      <c r="AQ116" s="30" t="s">
        <v>13</v>
      </c>
      <c r="AV116" s="36">
        <f>AW116+AX116</f>
        <v>0</v>
      </c>
      <c r="AW116" s="36">
        <f>G116*AO116</f>
        <v>0</v>
      </c>
      <c r="AX116" s="36">
        <f>G116*AP116</f>
        <v>0</v>
      </c>
      <c r="AY116" s="37" t="s">
        <v>368</v>
      </c>
      <c r="AZ116" s="37" t="s">
        <v>378</v>
      </c>
      <c r="BA116" s="31" t="s">
        <v>380</v>
      </c>
      <c r="BC116" s="36">
        <f>AW116+AX116</f>
        <v>0</v>
      </c>
      <c r="BD116" s="36">
        <f>H116/(100-BE116)*100</f>
        <v>0</v>
      </c>
      <c r="BE116" s="36">
        <v>0</v>
      </c>
      <c r="BF116" s="36">
        <f>116</f>
        <v>116</v>
      </c>
      <c r="BH116" s="18">
        <f>G116*AO116</f>
        <v>0</v>
      </c>
      <c r="BI116" s="18">
        <f>G116*AP116</f>
        <v>0</v>
      </c>
      <c r="BJ116" s="18">
        <f>G116*H116</f>
        <v>0</v>
      </c>
    </row>
    <row r="117" spans="2:12" ht="12.75">
      <c r="B117" s="13" t="s">
        <v>105</v>
      </c>
      <c r="C117" s="108" t="s">
        <v>291</v>
      </c>
      <c r="D117" s="109"/>
      <c r="E117" s="109"/>
      <c r="F117" s="109"/>
      <c r="G117" s="109"/>
      <c r="H117" s="109"/>
      <c r="I117" s="109"/>
      <c r="J117" s="109"/>
      <c r="K117" s="109"/>
      <c r="L117" s="109"/>
    </row>
    <row r="118" spans="1:62" ht="12.75">
      <c r="A118" s="4" t="s">
        <v>62</v>
      </c>
      <c r="B118" s="4" t="s">
        <v>164</v>
      </c>
      <c r="C118" s="106" t="s">
        <v>515</v>
      </c>
      <c r="D118" s="107"/>
      <c r="E118" s="107"/>
      <c r="F118" s="4" t="s">
        <v>326</v>
      </c>
      <c r="G118" s="18">
        <v>14</v>
      </c>
      <c r="H118" s="74">
        <v>0</v>
      </c>
      <c r="I118" s="18">
        <f>G118*AO118</f>
        <v>0</v>
      </c>
      <c r="J118" s="18">
        <f>G118*AP118</f>
        <v>0</v>
      </c>
      <c r="K118" s="18">
        <f>G118*H118</f>
        <v>0</v>
      </c>
      <c r="L118" s="30"/>
      <c r="Z118" s="36">
        <f>IF(AQ118="5",BJ118,0)</f>
        <v>0</v>
      </c>
      <c r="AB118" s="36">
        <f>IF(AQ118="1",BH118,0)</f>
        <v>0</v>
      </c>
      <c r="AC118" s="36">
        <f>IF(AQ118="1",BI118,0)</f>
        <v>0</v>
      </c>
      <c r="AD118" s="36">
        <f>IF(AQ118="7",BH118,0)</f>
        <v>0</v>
      </c>
      <c r="AE118" s="36">
        <f>IF(AQ118="7",BI118,0)</f>
        <v>0</v>
      </c>
      <c r="AF118" s="36">
        <f>IF(AQ118="2",BH118,0)</f>
        <v>0</v>
      </c>
      <c r="AG118" s="36">
        <f>IF(AQ118="2",BI118,0)</f>
        <v>0</v>
      </c>
      <c r="AH118" s="36">
        <f>IF(AQ118="0",BJ118,0)</f>
        <v>0</v>
      </c>
      <c r="AI118" s="31"/>
      <c r="AJ118" s="18">
        <f>IF(AN118=0,K118,0)</f>
        <v>0</v>
      </c>
      <c r="AK118" s="18">
        <f>IF(AN118=15,K118,0)</f>
        <v>0</v>
      </c>
      <c r="AL118" s="18">
        <f>IF(AN118=21,K118,0)</f>
        <v>0</v>
      </c>
      <c r="AN118" s="36">
        <v>21</v>
      </c>
      <c r="AO118" s="36">
        <f>H118*0</f>
        <v>0</v>
      </c>
      <c r="AP118" s="36">
        <f>H118*(1-0)</f>
        <v>0</v>
      </c>
      <c r="AQ118" s="30" t="s">
        <v>13</v>
      </c>
      <c r="AV118" s="36">
        <f>AW118+AX118</f>
        <v>0</v>
      </c>
      <c r="AW118" s="36">
        <f>G118*AO118</f>
        <v>0</v>
      </c>
      <c r="AX118" s="36">
        <f>G118*AP118</f>
        <v>0</v>
      </c>
      <c r="AY118" s="37" t="s">
        <v>368</v>
      </c>
      <c r="AZ118" s="37" t="s">
        <v>378</v>
      </c>
      <c r="BA118" s="31" t="s">
        <v>380</v>
      </c>
      <c r="BC118" s="36">
        <f>AW118+AX118</f>
        <v>0</v>
      </c>
      <c r="BD118" s="36">
        <f>H118/(100-BE118)*100</f>
        <v>0</v>
      </c>
      <c r="BE118" s="36">
        <v>0</v>
      </c>
      <c r="BF118" s="36">
        <f>118</f>
        <v>118</v>
      </c>
      <c r="BH118" s="18">
        <f>G118*AO118</f>
        <v>0</v>
      </c>
      <c r="BI118" s="18">
        <f>G118*AP118</f>
        <v>0</v>
      </c>
      <c r="BJ118" s="18">
        <f>G118*H118</f>
        <v>0</v>
      </c>
    </row>
    <row r="119" spans="2:12" ht="12.75">
      <c r="B119" s="13" t="s">
        <v>105</v>
      </c>
      <c r="C119" s="108" t="s">
        <v>291</v>
      </c>
      <c r="D119" s="109"/>
      <c r="E119" s="109"/>
      <c r="F119" s="109"/>
      <c r="G119" s="109"/>
      <c r="H119" s="109"/>
      <c r="I119" s="109"/>
      <c r="J119" s="109"/>
      <c r="K119" s="109"/>
      <c r="L119" s="109"/>
    </row>
    <row r="120" spans="1:62" ht="12.75">
      <c r="A120" s="4" t="s">
        <v>63</v>
      </c>
      <c r="B120" s="4" t="s">
        <v>165</v>
      </c>
      <c r="C120" s="106" t="s">
        <v>516</v>
      </c>
      <c r="D120" s="107"/>
      <c r="E120" s="107"/>
      <c r="F120" s="4" t="s">
        <v>326</v>
      </c>
      <c r="G120" s="18">
        <v>3</v>
      </c>
      <c r="H120" s="74">
        <v>0</v>
      </c>
      <c r="I120" s="18">
        <f>G120*AO120</f>
        <v>0</v>
      </c>
      <c r="J120" s="18">
        <f>G120*AP120</f>
        <v>0</v>
      </c>
      <c r="K120" s="18">
        <f>G120*H120</f>
        <v>0</v>
      </c>
      <c r="L120" s="30"/>
      <c r="Z120" s="36">
        <f>IF(AQ120="5",BJ120,0)</f>
        <v>0</v>
      </c>
      <c r="AB120" s="36">
        <f>IF(AQ120="1",BH120,0)</f>
        <v>0</v>
      </c>
      <c r="AC120" s="36">
        <f>IF(AQ120="1",BI120,0)</f>
        <v>0</v>
      </c>
      <c r="AD120" s="36">
        <f>IF(AQ120="7",BH120,0)</f>
        <v>0</v>
      </c>
      <c r="AE120" s="36">
        <f>IF(AQ120="7",BI120,0)</f>
        <v>0</v>
      </c>
      <c r="AF120" s="36">
        <f>IF(AQ120="2",BH120,0)</f>
        <v>0</v>
      </c>
      <c r="AG120" s="36">
        <f>IF(AQ120="2",BI120,0)</f>
        <v>0</v>
      </c>
      <c r="AH120" s="36">
        <f>IF(AQ120="0",BJ120,0)</f>
        <v>0</v>
      </c>
      <c r="AI120" s="31"/>
      <c r="AJ120" s="18">
        <f>IF(AN120=0,K120,0)</f>
        <v>0</v>
      </c>
      <c r="AK120" s="18">
        <f>IF(AN120=15,K120,0)</f>
        <v>0</v>
      </c>
      <c r="AL120" s="18">
        <f>IF(AN120=21,K120,0)</f>
        <v>0</v>
      </c>
      <c r="AN120" s="36">
        <v>21</v>
      </c>
      <c r="AO120" s="36">
        <f>H120*0</f>
        <v>0</v>
      </c>
      <c r="AP120" s="36">
        <f>H120*(1-0)</f>
        <v>0</v>
      </c>
      <c r="AQ120" s="30" t="s">
        <v>13</v>
      </c>
      <c r="AV120" s="36">
        <f>AW120+AX120</f>
        <v>0</v>
      </c>
      <c r="AW120" s="36">
        <f>G120*AO120</f>
        <v>0</v>
      </c>
      <c r="AX120" s="36">
        <f>G120*AP120</f>
        <v>0</v>
      </c>
      <c r="AY120" s="37" t="s">
        <v>368</v>
      </c>
      <c r="AZ120" s="37" t="s">
        <v>378</v>
      </c>
      <c r="BA120" s="31" t="s">
        <v>380</v>
      </c>
      <c r="BC120" s="36">
        <f>AW120+AX120</f>
        <v>0</v>
      </c>
      <c r="BD120" s="36">
        <f>H120/(100-BE120)*100</f>
        <v>0</v>
      </c>
      <c r="BE120" s="36">
        <v>0</v>
      </c>
      <c r="BF120" s="36">
        <f>120</f>
        <v>120</v>
      </c>
      <c r="BH120" s="18">
        <f>G120*AO120</f>
        <v>0</v>
      </c>
      <c r="BI120" s="18">
        <f>G120*AP120</f>
        <v>0</v>
      </c>
      <c r="BJ120" s="18">
        <f>G120*H120</f>
        <v>0</v>
      </c>
    </row>
    <row r="121" spans="2:12" ht="12.75">
      <c r="B121" s="13" t="s">
        <v>105</v>
      </c>
      <c r="C121" s="108" t="s">
        <v>291</v>
      </c>
      <c r="D121" s="109"/>
      <c r="E121" s="109"/>
      <c r="F121" s="109"/>
      <c r="G121" s="109"/>
      <c r="H121" s="109"/>
      <c r="I121" s="109"/>
      <c r="J121" s="109"/>
      <c r="K121" s="109"/>
      <c r="L121" s="109"/>
    </row>
    <row r="122" spans="1:62" ht="12.75">
      <c r="A122" s="4" t="s">
        <v>64</v>
      </c>
      <c r="B122" s="4" t="s">
        <v>166</v>
      </c>
      <c r="C122" s="106" t="s">
        <v>517</v>
      </c>
      <c r="D122" s="107"/>
      <c r="E122" s="107"/>
      <c r="F122" s="4" t="s">
        <v>326</v>
      </c>
      <c r="G122" s="18">
        <v>1</v>
      </c>
      <c r="H122" s="74">
        <v>0</v>
      </c>
      <c r="I122" s="18">
        <f>G122*AO122</f>
        <v>0</v>
      </c>
      <c r="J122" s="18">
        <f>G122*AP122</f>
        <v>0</v>
      </c>
      <c r="K122" s="18">
        <f>G122*H122</f>
        <v>0</v>
      </c>
      <c r="L122" s="30"/>
      <c r="Z122" s="36">
        <f>IF(AQ122="5",BJ122,0)</f>
        <v>0</v>
      </c>
      <c r="AB122" s="36">
        <f>IF(AQ122="1",BH122,0)</f>
        <v>0</v>
      </c>
      <c r="AC122" s="36">
        <f>IF(AQ122="1",BI122,0)</f>
        <v>0</v>
      </c>
      <c r="AD122" s="36">
        <f>IF(AQ122="7",BH122,0)</f>
        <v>0</v>
      </c>
      <c r="AE122" s="36">
        <f>IF(AQ122="7",BI122,0)</f>
        <v>0</v>
      </c>
      <c r="AF122" s="36">
        <f>IF(AQ122="2",BH122,0)</f>
        <v>0</v>
      </c>
      <c r="AG122" s="36">
        <f>IF(AQ122="2",BI122,0)</f>
        <v>0</v>
      </c>
      <c r="AH122" s="36">
        <f>IF(AQ122="0",BJ122,0)</f>
        <v>0</v>
      </c>
      <c r="AI122" s="31"/>
      <c r="AJ122" s="18">
        <f>IF(AN122=0,K122,0)</f>
        <v>0</v>
      </c>
      <c r="AK122" s="18">
        <f>IF(AN122=15,K122,0)</f>
        <v>0</v>
      </c>
      <c r="AL122" s="18">
        <f>IF(AN122=21,K122,0)</f>
        <v>0</v>
      </c>
      <c r="AN122" s="36">
        <v>21</v>
      </c>
      <c r="AO122" s="36">
        <f>H122*0</f>
        <v>0</v>
      </c>
      <c r="AP122" s="36">
        <f>H122*(1-0)</f>
        <v>0</v>
      </c>
      <c r="AQ122" s="30" t="s">
        <v>13</v>
      </c>
      <c r="AV122" s="36">
        <f>AW122+AX122</f>
        <v>0</v>
      </c>
      <c r="AW122" s="36">
        <f>G122*AO122</f>
        <v>0</v>
      </c>
      <c r="AX122" s="36">
        <f>G122*AP122</f>
        <v>0</v>
      </c>
      <c r="AY122" s="37" t="s">
        <v>368</v>
      </c>
      <c r="AZ122" s="37" t="s">
        <v>378</v>
      </c>
      <c r="BA122" s="31" t="s">
        <v>380</v>
      </c>
      <c r="BC122" s="36">
        <f>AW122+AX122</f>
        <v>0</v>
      </c>
      <c r="BD122" s="36">
        <f>H122/(100-BE122)*100</f>
        <v>0</v>
      </c>
      <c r="BE122" s="36">
        <v>0</v>
      </c>
      <c r="BF122" s="36">
        <f>122</f>
        <v>122</v>
      </c>
      <c r="BH122" s="18">
        <f>G122*AO122</f>
        <v>0</v>
      </c>
      <c r="BI122" s="18">
        <f>G122*AP122</f>
        <v>0</v>
      </c>
      <c r="BJ122" s="18">
        <f>G122*H122</f>
        <v>0</v>
      </c>
    </row>
    <row r="123" spans="2:12" ht="12.75">
      <c r="B123" s="13" t="s">
        <v>105</v>
      </c>
      <c r="C123" s="108" t="s">
        <v>291</v>
      </c>
      <c r="D123" s="109"/>
      <c r="E123" s="109"/>
      <c r="F123" s="109"/>
      <c r="G123" s="109"/>
      <c r="H123" s="109"/>
      <c r="I123" s="109"/>
      <c r="J123" s="109"/>
      <c r="K123" s="109"/>
      <c r="L123" s="109"/>
    </row>
    <row r="124" spans="1:62" ht="12.75">
      <c r="A124" s="4" t="s">
        <v>65</v>
      </c>
      <c r="B124" s="4" t="s">
        <v>167</v>
      </c>
      <c r="C124" s="106" t="s">
        <v>518</v>
      </c>
      <c r="D124" s="107"/>
      <c r="E124" s="107"/>
      <c r="F124" s="4" t="s">
        <v>326</v>
      </c>
      <c r="G124" s="18">
        <v>36</v>
      </c>
      <c r="H124" s="74">
        <v>0</v>
      </c>
      <c r="I124" s="18">
        <f>G124*AO124</f>
        <v>0</v>
      </c>
      <c r="J124" s="18">
        <f>G124*AP124</f>
        <v>0</v>
      </c>
      <c r="K124" s="18">
        <f>G124*H124</f>
        <v>0</v>
      </c>
      <c r="L124" s="30"/>
      <c r="Z124" s="36">
        <f>IF(AQ124="5",BJ124,0)</f>
        <v>0</v>
      </c>
      <c r="AB124" s="36">
        <f>IF(AQ124="1",BH124,0)</f>
        <v>0</v>
      </c>
      <c r="AC124" s="36">
        <f>IF(AQ124="1",BI124,0)</f>
        <v>0</v>
      </c>
      <c r="AD124" s="36">
        <f>IF(AQ124="7",BH124,0)</f>
        <v>0</v>
      </c>
      <c r="AE124" s="36">
        <f>IF(AQ124="7",BI124,0)</f>
        <v>0</v>
      </c>
      <c r="AF124" s="36">
        <f>IF(AQ124="2",BH124,0)</f>
        <v>0</v>
      </c>
      <c r="AG124" s="36">
        <f>IF(AQ124="2",BI124,0)</f>
        <v>0</v>
      </c>
      <c r="AH124" s="36">
        <f>IF(AQ124="0",BJ124,0)</f>
        <v>0</v>
      </c>
      <c r="AI124" s="31"/>
      <c r="AJ124" s="18">
        <f>IF(AN124=0,K124,0)</f>
        <v>0</v>
      </c>
      <c r="AK124" s="18">
        <f>IF(AN124=15,K124,0)</f>
        <v>0</v>
      </c>
      <c r="AL124" s="18">
        <f>IF(AN124=21,K124,0)</f>
        <v>0</v>
      </c>
      <c r="AN124" s="36">
        <v>21</v>
      </c>
      <c r="AO124" s="36">
        <f>H124*0</f>
        <v>0</v>
      </c>
      <c r="AP124" s="36">
        <f>H124*(1-0)</f>
        <v>0</v>
      </c>
      <c r="AQ124" s="30" t="s">
        <v>13</v>
      </c>
      <c r="AV124" s="36">
        <f>AW124+AX124</f>
        <v>0</v>
      </c>
      <c r="AW124" s="36">
        <f>G124*AO124</f>
        <v>0</v>
      </c>
      <c r="AX124" s="36">
        <f>G124*AP124</f>
        <v>0</v>
      </c>
      <c r="AY124" s="37" t="s">
        <v>368</v>
      </c>
      <c r="AZ124" s="37" t="s">
        <v>378</v>
      </c>
      <c r="BA124" s="31" t="s">
        <v>380</v>
      </c>
      <c r="BC124" s="36">
        <f>AW124+AX124</f>
        <v>0</v>
      </c>
      <c r="BD124" s="36">
        <f>H124/(100-BE124)*100</f>
        <v>0</v>
      </c>
      <c r="BE124" s="36">
        <v>0</v>
      </c>
      <c r="BF124" s="36">
        <f>124</f>
        <v>124</v>
      </c>
      <c r="BH124" s="18">
        <f>G124*AO124</f>
        <v>0</v>
      </c>
      <c r="BI124" s="18">
        <f>G124*AP124</f>
        <v>0</v>
      </c>
      <c r="BJ124" s="18">
        <f>G124*H124</f>
        <v>0</v>
      </c>
    </row>
    <row r="125" spans="2:12" ht="12.75">
      <c r="B125" s="13" t="s">
        <v>105</v>
      </c>
      <c r="C125" s="108" t="s">
        <v>291</v>
      </c>
      <c r="D125" s="109"/>
      <c r="E125" s="109"/>
      <c r="F125" s="109"/>
      <c r="G125" s="109"/>
      <c r="H125" s="109"/>
      <c r="I125" s="109"/>
      <c r="J125" s="109"/>
      <c r="K125" s="109"/>
      <c r="L125" s="109"/>
    </row>
    <row r="126" spans="1:62" ht="12.75">
      <c r="A126" s="4" t="s">
        <v>66</v>
      </c>
      <c r="B126" s="4" t="s">
        <v>168</v>
      </c>
      <c r="C126" s="106" t="s">
        <v>519</v>
      </c>
      <c r="D126" s="107"/>
      <c r="E126" s="107"/>
      <c r="F126" s="4" t="s">
        <v>326</v>
      </c>
      <c r="G126" s="18">
        <v>62</v>
      </c>
      <c r="H126" s="74">
        <v>0</v>
      </c>
      <c r="I126" s="18">
        <f>G126*AO126</f>
        <v>0</v>
      </c>
      <c r="J126" s="18">
        <f>G126*AP126</f>
        <v>0</v>
      </c>
      <c r="K126" s="18">
        <f>G126*H126</f>
        <v>0</v>
      </c>
      <c r="L126" s="30"/>
      <c r="Z126" s="36">
        <f>IF(AQ126="5",BJ126,0)</f>
        <v>0</v>
      </c>
      <c r="AB126" s="36">
        <f>IF(AQ126="1",BH126,0)</f>
        <v>0</v>
      </c>
      <c r="AC126" s="36">
        <f>IF(AQ126="1",BI126,0)</f>
        <v>0</v>
      </c>
      <c r="AD126" s="36">
        <f>IF(AQ126="7",BH126,0)</f>
        <v>0</v>
      </c>
      <c r="AE126" s="36">
        <f>IF(AQ126="7",BI126,0)</f>
        <v>0</v>
      </c>
      <c r="AF126" s="36">
        <f>IF(AQ126="2",BH126,0)</f>
        <v>0</v>
      </c>
      <c r="AG126" s="36">
        <f>IF(AQ126="2",BI126,0)</f>
        <v>0</v>
      </c>
      <c r="AH126" s="36">
        <f>IF(AQ126="0",BJ126,0)</f>
        <v>0</v>
      </c>
      <c r="AI126" s="31"/>
      <c r="AJ126" s="18">
        <f>IF(AN126=0,K126,0)</f>
        <v>0</v>
      </c>
      <c r="AK126" s="18">
        <f>IF(AN126=15,K126,0)</f>
        <v>0</v>
      </c>
      <c r="AL126" s="18">
        <f>IF(AN126=21,K126,0)</f>
        <v>0</v>
      </c>
      <c r="AN126" s="36">
        <v>21</v>
      </c>
      <c r="AO126" s="36">
        <f>H126*0</f>
        <v>0</v>
      </c>
      <c r="AP126" s="36">
        <f>H126*(1-0)</f>
        <v>0</v>
      </c>
      <c r="AQ126" s="30" t="s">
        <v>13</v>
      </c>
      <c r="AV126" s="36">
        <f>AW126+AX126</f>
        <v>0</v>
      </c>
      <c r="AW126" s="36">
        <f>G126*AO126</f>
        <v>0</v>
      </c>
      <c r="AX126" s="36">
        <f>G126*AP126</f>
        <v>0</v>
      </c>
      <c r="AY126" s="37" t="s">
        <v>368</v>
      </c>
      <c r="AZ126" s="37" t="s">
        <v>378</v>
      </c>
      <c r="BA126" s="31" t="s">
        <v>380</v>
      </c>
      <c r="BC126" s="36">
        <f>AW126+AX126</f>
        <v>0</v>
      </c>
      <c r="BD126" s="36">
        <f>H126/(100-BE126)*100</f>
        <v>0</v>
      </c>
      <c r="BE126" s="36">
        <v>0</v>
      </c>
      <c r="BF126" s="36">
        <f>126</f>
        <v>126</v>
      </c>
      <c r="BH126" s="18">
        <f>G126*AO126</f>
        <v>0</v>
      </c>
      <c r="BI126" s="18">
        <f>G126*AP126</f>
        <v>0</v>
      </c>
      <c r="BJ126" s="18">
        <f>G126*H126</f>
        <v>0</v>
      </c>
    </row>
    <row r="127" spans="2:12" ht="12.75">
      <c r="B127" s="13" t="s">
        <v>105</v>
      </c>
      <c r="C127" s="108" t="s">
        <v>291</v>
      </c>
      <c r="D127" s="109"/>
      <c r="E127" s="109"/>
      <c r="F127" s="109"/>
      <c r="G127" s="109"/>
      <c r="H127" s="109"/>
      <c r="I127" s="109"/>
      <c r="J127" s="109"/>
      <c r="K127" s="109"/>
      <c r="L127" s="109"/>
    </row>
    <row r="128" spans="1:62" ht="12.75">
      <c r="A128" s="4" t="s">
        <v>67</v>
      </c>
      <c r="B128" s="4" t="s">
        <v>169</v>
      </c>
      <c r="C128" s="106" t="s">
        <v>520</v>
      </c>
      <c r="D128" s="107"/>
      <c r="E128" s="107"/>
      <c r="F128" s="4" t="s">
        <v>326</v>
      </c>
      <c r="G128" s="18">
        <v>3</v>
      </c>
      <c r="H128" s="74">
        <v>0</v>
      </c>
      <c r="I128" s="18">
        <f>G128*AO128</f>
        <v>0</v>
      </c>
      <c r="J128" s="18">
        <f>G128*AP128</f>
        <v>0</v>
      </c>
      <c r="K128" s="18">
        <f>G128*H128</f>
        <v>0</v>
      </c>
      <c r="L128" s="30"/>
      <c r="Z128" s="36">
        <f>IF(AQ128="5",BJ128,0)</f>
        <v>0</v>
      </c>
      <c r="AB128" s="36">
        <f>IF(AQ128="1",BH128,0)</f>
        <v>0</v>
      </c>
      <c r="AC128" s="36">
        <f>IF(AQ128="1",BI128,0)</f>
        <v>0</v>
      </c>
      <c r="AD128" s="36">
        <f>IF(AQ128="7",BH128,0)</f>
        <v>0</v>
      </c>
      <c r="AE128" s="36">
        <f>IF(AQ128="7",BI128,0)</f>
        <v>0</v>
      </c>
      <c r="AF128" s="36">
        <f>IF(AQ128="2",BH128,0)</f>
        <v>0</v>
      </c>
      <c r="AG128" s="36">
        <f>IF(AQ128="2",BI128,0)</f>
        <v>0</v>
      </c>
      <c r="AH128" s="36">
        <f>IF(AQ128="0",BJ128,0)</f>
        <v>0</v>
      </c>
      <c r="AI128" s="31"/>
      <c r="AJ128" s="18">
        <f>IF(AN128=0,K128,0)</f>
        <v>0</v>
      </c>
      <c r="AK128" s="18">
        <f>IF(AN128=15,K128,0)</f>
        <v>0</v>
      </c>
      <c r="AL128" s="18">
        <f>IF(AN128=21,K128,0)</f>
        <v>0</v>
      </c>
      <c r="AN128" s="36">
        <v>21</v>
      </c>
      <c r="AO128" s="36">
        <f>H128*0</f>
        <v>0</v>
      </c>
      <c r="AP128" s="36">
        <f>H128*(1-0)</f>
        <v>0</v>
      </c>
      <c r="AQ128" s="30" t="s">
        <v>13</v>
      </c>
      <c r="AV128" s="36">
        <f>AW128+AX128</f>
        <v>0</v>
      </c>
      <c r="AW128" s="36">
        <f>G128*AO128</f>
        <v>0</v>
      </c>
      <c r="AX128" s="36">
        <f>G128*AP128</f>
        <v>0</v>
      </c>
      <c r="AY128" s="37" t="s">
        <v>368</v>
      </c>
      <c r="AZ128" s="37" t="s">
        <v>378</v>
      </c>
      <c r="BA128" s="31" t="s">
        <v>380</v>
      </c>
      <c r="BC128" s="36">
        <f>AW128+AX128</f>
        <v>0</v>
      </c>
      <c r="BD128" s="36">
        <f>H128/(100-BE128)*100</f>
        <v>0</v>
      </c>
      <c r="BE128" s="36">
        <v>0</v>
      </c>
      <c r="BF128" s="36">
        <f>128</f>
        <v>128</v>
      </c>
      <c r="BH128" s="18">
        <f>G128*AO128</f>
        <v>0</v>
      </c>
      <c r="BI128" s="18">
        <f>G128*AP128</f>
        <v>0</v>
      </c>
      <c r="BJ128" s="18">
        <f>G128*H128</f>
        <v>0</v>
      </c>
    </row>
    <row r="129" spans="2:12" ht="12.75">
      <c r="B129" s="13" t="s">
        <v>105</v>
      </c>
      <c r="C129" s="108" t="s">
        <v>291</v>
      </c>
      <c r="D129" s="109"/>
      <c r="E129" s="109"/>
      <c r="F129" s="109"/>
      <c r="G129" s="109"/>
      <c r="H129" s="109"/>
      <c r="I129" s="109"/>
      <c r="J129" s="109"/>
      <c r="K129" s="109"/>
      <c r="L129" s="109"/>
    </row>
    <row r="130" spans="1:62" ht="12.75">
      <c r="A130" s="4" t="s">
        <v>68</v>
      </c>
      <c r="B130" s="4" t="s">
        <v>170</v>
      </c>
      <c r="C130" s="106" t="s">
        <v>521</v>
      </c>
      <c r="D130" s="107"/>
      <c r="E130" s="107"/>
      <c r="F130" s="4" t="s">
        <v>326</v>
      </c>
      <c r="G130" s="18">
        <v>15</v>
      </c>
      <c r="H130" s="74">
        <v>0</v>
      </c>
      <c r="I130" s="18">
        <f>G130*AO130</f>
        <v>0</v>
      </c>
      <c r="J130" s="18">
        <f>G130*AP130</f>
        <v>0</v>
      </c>
      <c r="K130" s="18">
        <f>G130*H130</f>
        <v>0</v>
      </c>
      <c r="L130" s="30"/>
      <c r="Z130" s="36">
        <f>IF(AQ130="5",BJ130,0)</f>
        <v>0</v>
      </c>
      <c r="AB130" s="36">
        <f>IF(AQ130="1",BH130,0)</f>
        <v>0</v>
      </c>
      <c r="AC130" s="36">
        <f>IF(AQ130="1",BI130,0)</f>
        <v>0</v>
      </c>
      <c r="AD130" s="36">
        <f>IF(AQ130="7",BH130,0)</f>
        <v>0</v>
      </c>
      <c r="AE130" s="36">
        <f>IF(AQ130="7",BI130,0)</f>
        <v>0</v>
      </c>
      <c r="AF130" s="36">
        <f>IF(AQ130="2",BH130,0)</f>
        <v>0</v>
      </c>
      <c r="AG130" s="36">
        <f>IF(AQ130="2",BI130,0)</f>
        <v>0</v>
      </c>
      <c r="AH130" s="36">
        <f>IF(AQ130="0",BJ130,0)</f>
        <v>0</v>
      </c>
      <c r="AI130" s="31"/>
      <c r="AJ130" s="18">
        <f>IF(AN130=0,K130,0)</f>
        <v>0</v>
      </c>
      <c r="AK130" s="18">
        <f>IF(AN130=15,K130,0)</f>
        <v>0</v>
      </c>
      <c r="AL130" s="18">
        <f>IF(AN130=21,K130,0)</f>
        <v>0</v>
      </c>
      <c r="AN130" s="36">
        <v>21</v>
      </c>
      <c r="AO130" s="36">
        <f>H130*0</f>
        <v>0</v>
      </c>
      <c r="AP130" s="36">
        <f>H130*(1-0)</f>
        <v>0</v>
      </c>
      <c r="AQ130" s="30" t="s">
        <v>13</v>
      </c>
      <c r="AV130" s="36">
        <f>AW130+AX130</f>
        <v>0</v>
      </c>
      <c r="AW130" s="36">
        <f>G130*AO130</f>
        <v>0</v>
      </c>
      <c r="AX130" s="36">
        <f>G130*AP130</f>
        <v>0</v>
      </c>
      <c r="AY130" s="37" t="s">
        <v>368</v>
      </c>
      <c r="AZ130" s="37" t="s">
        <v>378</v>
      </c>
      <c r="BA130" s="31" t="s">
        <v>380</v>
      </c>
      <c r="BC130" s="36">
        <f>AW130+AX130</f>
        <v>0</v>
      </c>
      <c r="BD130" s="36">
        <f>H130/(100-BE130)*100</f>
        <v>0</v>
      </c>
      <c r="BE130" s="36">
        <v>0</v>
      </c>
      <c r="BF130" s="36">
        <f>130</f>
        <v>130</v>
      </c>
      <c r="BH130" s="18">
        <f>G130*AO130</f>
        <v>0</v>
      </c>
      <c r="BI130" s="18">
        <f>G130*AP130</f>
        <v>0</v>
      </c>
      <c r="BJ130" s="18">
        <f>G130*H130</f>
        <v>0</v>
      </c>
    </row>
    <row r="131" spans="2:12" ht="12.75">
      <c r="B131" s="13" t="s">
        <v>105</v>
      </c>
      <c r="C131" s="108" t="s">
        <v>291</v>
      </c>
      <c r="D131" s="109"/>
      <c r="E131" s="109"/>
      <c r="F131" s="109"/>
      <c r="G131" s="109"/>
      <c r="H131" s="109"/>
      <c r="I131" s="109"/>
      <c r="J131" s="109"/>
      <c r="K131" s="109"/>
      <c r="L131" s="109"/>
    </row>
    <row r="132" spans="1:62" ht="12.75">
      <c r="A132" s="4" t="s">
        <v>69</v>
      </c>
      <c r="B132" s="4" t="s">
        <v>171</v>
      </c>
      <c r="C132" s="106" t="s">
        <v>519</v>
      </c>
      <c r="D132" s="107"/>
      <c r="E132" s="107"/>
      <c r="F132" s="4" t="s">
        <v>326</v>
      </c>
      <c r="G132" s="18">
        <v>2</v>
      </c>
      <c r="H132" s="74">
        <v>0</v>
      </c>
      <c r="I132" s="18">
        <f>G132*AO132</f>
        <v>0</v>
      </c>
      <c r="J132" s="18">
        <f>G132*AP132</f>
        <v>0</v>
      </c>
      <c r="K132" s="18">
        <f>G132*H132</f>
        <v>0</v>
      </c>
      <c r="L132" s="30"/>
      <c r="Z132" s="36">
        <f>IF(AQ132="5",BJ132,0)</f>
        <v>0</v>
      </c>
      <c r="AB132" s="36">
        <f>IF(AQ132="1",BH132,0)</f>
        <v>0</v>
      </c>
      <c r="AC132" s="36">
        <f>IF(AQ132="1",BI132,0)</f>
        <v>0</v>
      </c>
      <c r="AD132" s="36">
        <f>IF(AQ132="7",BH132,0)</f>
        <v>0</v>
      </c>
      <c r="AE132" s="36">
        <f>IF(AQ132="7",BI132,0)</f>
        <v>0</v>
      </c>
      <c r="AF132" s="36">
        <f>IF(AQ132="2",BH132,0)</f>
        <v>0</v>
      </c>
      <c r="AG132" s="36">
        <f>IF(AQ132="2",BI132,0)</f>
        <v>0</v>
      </c>
      <c r="AH132" s="36">
        <f>IF(AQ132="0",BJ132,0)</f>
        <v>0</v>
      </c>
      <c r="AI132" s="31"/>
      <c r="AJ132" s="18">
        <f>IF(AN132=0,K132,0)</f>
        <v>0</v>
      </c>
      <c r="AK132" s="18">
        <f>IF(AN132=15,K132,0)</f>
        <v>0</v>
      </c>
      <c r="AL132" s="18">
        <f>IF(AN132=21,K132,0)</f>
        <v>0</v>
      </c>
      <c r="AN132" s="36">
        <v>21</v>
      </c>
      <c r="AO132" s="36">
        <f>H132*0</f>
        <v>0</v>
      </c>
      <c r="AP132" s="36">
        <f>H132*(1-0)</f>
        <v>0</v>
      </c>
      <c r="AQ132" s="30" t="s">
        <v>13</v>
      </c>
      <c r="AV132" s="36">
        <f>AW132+AX132</f>
        <v>0</v>
      </c>
      <c r="AW132" s="36">
        <f>G132*AO132</f>
        <v>0</v>
      </c>
      <c r="AX132" s="36">
        <f>G132*AP132</f>
        <v>0</v>
      </c>
      <c r="AY132" s="37" t="s">
        <v>368</v>
      </c>
      <c r="AZ132" s="37" t="s">
        <v>378</v>
      </c>
      <c r="BA132" s="31" t="s">
        <v>380</v>
      </c>
      <c r="BC132" s="36">
        <f>AW132+AX132</f>
        <v>0</v>
      </c>
      <c r="BD132" s="36">
        <f>H132/(100-BE132)*100</f>
        <v>0</v>
      </c>
      <c r="BE132" s="36">
        <v>0</v>
      </c>
      <c r="BF132" s="36">
        <f>132</f>
        <v>132</v>
      </c>
      <c r="BH132" s="18">
        <f>G132*AO132</f>
        <v>0</v>
      </c>
      <c r="BI132" s="18">
        <f>G132*AP132</f>
        <v>0</v>
      </c>
      <c r="BJ132" s="18">
        <f>G132*H132</f>
        <v>0</v>
      </c>
    </row>
    <row r="133" spans="2:12" ht="12.75">
      <c r="B133" s="13" t="s">
        <v>105</v>
      </c>
      <c r="C133" s="108" t="s">
        <v>291</v>
      </c>
      <c r="D133" s="109"/>
      <c r="E133" s="109"/>
      <c r="F133" s="109"/>
      <c r="G133" s="109"/>
      <c r="H133" s="109"/>
      <c r="I133" s="109"/>
      <c r="J133" s="109"/>
      <c r="K133" s="109"/>
      <c r="L133" s="109"/>
    </row>
    <row r="134" spans="1:62" ht="12.75">
      <c r="A134" s="4" t="s">
        <v>70</v>
      </c>
      <c r="B134" s="4" t="s">
        <v>172</v>
      </c>
      <c r="C134" s="106" t="s">
        <v>522</v>
      </c>
      <c r="D134" s="107"/>
      <c r="E134" s="107"/>
      <c r="F134" s="4" t="s">
        <v>329</v>
      </c>
      <c r="G134" s="18">
        <v>7</v>
      </c>
      <c r="H134" s="74">
        <v>0</v>
      </c>
      <c r="I134" s="18">
        <f>G134*AO134</f>
        <v>0</v>
      </c>
      <c r="J134" s="18">
        <f>G134*AP134</f>
        <v>0</v>
      </c>
      <c r="K134" s="18">
        <f>G134*H134</f>
        <v>0</v>
      </c>
      <c r="L134" s="30"/>
      <c r="Z134" s="36">
        <f>IF(AQ134="5",BJ134,0)</f>
        <v>0</v>
      </c>
      <c r="AB134" s="36">
        <f>IF(AQ134="1",BH134,0)</f>
        <v>0</v>
      </c>
      <c r="AC134" s="36">
        <f>IF(AQ134="1",BI134,0)</f>
        <v>0</v>
      </c>
      <c r="AD134" s="36">
        <f>IF(AQ134="7",BH134,0)</f>
        <v>0</v>
      </c>
      <c r="AE134" s="36">
        <f>IF(AQ134="7",BI134,0)</f>
        <v>0</v>
      </c>
      <c r="AF134" s="36">
        <f>IF(AQ134="2",BH134,0)</f>
        <v>0</v>
      </c>
      <c r="AG134" s="36">
        <f>IF(AQ134="2",BI134,0)</f>
        <v>0</v>
      </c>
      <c r="AH134" s="36">
        <f>IF(AQ134="0",BJ134,0)</f>
        <v>0</v>
      </c>
      <c r="AI134" s="31"/>
      <c r="AJ134" s="18">
        <f>IF(AN134=0,K134,0)</f>
        <v>0</v>
      </c>
      <c r="AK134" s="18">
        <f>IF(AN134=15,K134,0)</f>
        <v>0</v>
      </c>
      <c r="AL134" s="18">
        <f>IF(AN134=21,K134,0)</f>
        <v>0</v>
      </c>
      <c r="AN134" s="36">
        <v>21</v>
      </c>
      <c r="AO134" s="36">
        <f>H134*0</f>
        <v>0</v>
      </c>
      <c r="AP134" s="36">
        <f>H134*(1-0)</f>
        <v>0</v>
      </c>
      <c r="AQ134" s="30" t="s">
        <v>13</v>
      </c>
      <c r="AV134" s="36">
        <f>AW134+AX134</f>
        <v>0</v>
      </c>
      <c r="AW134" s="36">
        <f>G134*AO134</f>
        <v>0</v>
      </c>
      <c r="AX134" s="36">
        <f>G134*AP134</f>
        <v>0</v>
      </c>
      <c r="AY134" s="37" t="s">
        <v>368</v>
      </c>
      <c r="AZ134" s="37" t="s">
        <v>378</v>
      </c>
      <c r="BA134" s="31" t="s">
        <v>380</v>
      </c>
      <c r="BC134" s="36">
        <f>AW134+AX134</f>
        <v>0</v>
      </c>
      <c r="BD134" s="36">
        <f>H134/(100-BE134)*100</f>
        <v>0</v>
      </c>
      <c r="BE134" s="36">
        <v>0</v>
      </c>
      <c r="BF134" s="36">
        <f>134</f>
        <v>134</v>
      </c>
      <c r="BH134" s="18">
        <f>G134*AO134</f>
        <v>0</v>
      </c>
      <c r="BI134" s="18">
        <f>G134*AP134</f>
        <v>0</v>
      </c>
      <c r="BJ134" s="18">
        <f>G134*H134</f>
        <v>0</v>
      </c>
    </row>
    <row r="135" spans="2:12" ht="12.75">
      <c r="B135" s="13" t="s">
        <v>105</v>
      </c>
      <c r="C135" s="108" t="s">
        <v>291</v>
      </c>
      <c r="D135" s="109"/>
      <c r="E135" s="109"/>
      <c r="F135" s="109"/>
      <c r="G135" s="109"/>
      <c r="H135" s="109"/>
      <c r="I135" s="109"/>
      <c r="J135" s="109"/>
      <c r="K135" s="109"/>
      <c r="L135" s="109"/>
    </row>
    <row r="136" spans="1:62" ht="12.75">
      <c r="A136" s="4" t="s">
        <v>71</v>
      </c>
      <c r="B136" s="4" t="s">
        <v>173</v>
      </c>
      <c r="C136" s="106" t="s">
        <v>523</v>
      </c>
      <c r="D136" s="107"/>
      <c r="E136" s="107"/>
      <c r="F136" s="4" t="s">
        <v>326</v>
      </c>
      <c r="G136" s="18">
        <v>2</v>
      </c>
      <c r="H136" s="74">
        <v>0</v>
      </c>
      <c r="I136" s="18">
        <f>G136*AO136</f>
        <v>0</v>
      </c>
      <c r="J136" s="18">
        <f>G136*AP136</f>
        <v>0</v>
      </c>
      <c r="K136" s="18">
        <f>G136*H136</f>
        <v>0</v>
      </c>
      <c r="L136" s="30"/>
      <c r="Z136" s="36">
        <f>IF(AQ136="5",BJ136,0)</f>
        <v>0</v>
      </c>
      <c r="AB136" s="36">
        <f>IF(AQ136="1",BH136,0)</f>
        <v>0</v>
      </c>
      <c r="AC136" s="36">
        <f>IF(AQ136="1",BI136,0)</f>
        <v>0</v>
      </c>
      <c r="AD136" s="36">
        <f>IF(AQ136="7",BH136,0)</f>
        <v>0</v>
      </c>
      <c r="AE136" s="36">
        <f>IF(AQ136="7",BI136,0)</f>
        <v>0</v>
      </c>
      <c r="AF136" s="36">
        <f>IF(AQ136="2",BH136,0)</f>
        <v>0</v>
      </c>
      <c r="AG136" s="36">
        <f>IF(AQ136="2",BI136,0)</f>
        <v>0</v>
      </c>
      <c r="AH136" s="36">
        <f>IF(AQ136="0",BJ136,0)</f>
        <v>0</v>
      </c>
      <c r="AI136" s="31"/>
      <c r="AJ136" s="18">
        <f>IF(AN136=0,K136,0)</f>
        <v>0</v>
      </c>
      <c r="AK136" s="18">
        <f>IF(AN136=15,K136,0)</f>
        <v>0</v>
      </c>
      <c r="AL136" s="18">
        <f>IF(AN136=21,K136,0)</f>
        <v>0</v>
      </c>
      <c r="AN136" s="36">
        <v>21</v>
      </c>
      <c r="AO136" s="36">
        <f>H136*0</f>
        <v>0</v>
      </c>
      <c r="AP136" s="36">
        <f>H136*(1-0)</f>
        <v>0</v>
      </c>
      <c r="AQ136" s="30" t="s">
        <v>13</v>
      </c>
      <c r="AV136" s="36">
        <f>AW136+AX136</f>
        <v>0</v>
      </c>
      <c r="AW136" s="36">
        <f>G136*AO136</f>
        <v>0</v>
      </c>
      <c r="AX136" s="36">
        <f>G136*AP136</f>
        <v>0</v>
      </c>
      <c r="AY136" s="37" t="s">
        <v>368</v>
      </c>
      <c r="AZ136" s="37" t="s">
        <v>378</v>
      </c>
      <c r="BA136" s="31" t="s">
        <v>380</v>
      </c>
      <c r="BC136" s="36">
        <f>AW136+AX136</f>
        <v>0</v>
      </c>
      <c r="BD136" s="36">
        <f>H136/(100-BE136)*100</f>
        <v>0</v>
      </c>
      <c r="BE136" s="36">
        <v>0</v>
      </c>
      <c r="BF136" s="36">
        <f>136</f>
        <v>136</v>
      </c>
      <c r="BH136" s="18">
        <f>G136*AO136</f>
        <v>0</v>
      </c>
      <c r="BI136" s="18">
        <f>G136*AP136</f>
        <v>0</v>
      </c>
      <c r="BJ136" s="18">
        <f>G136*H136</f>
        <v>0</v>
      </c>
    </row>
    <row r="137" spans="2:12" ht="12.75">
      <c r="B137" s="13" t="s">
        <v>105</v>
      </c>
      <c r="C137" s="108" t="s">
        <v>291</v>
      </c>
      <c r="D137" s="109"/>
      <c r="E137" s="109"/>
      <c r="F137" s="109"/>
      <c r="G137" s="109"/>
      <c r="H137" s="109"/>
      <c r="I137" s="109"/>
      <c r="J137" s="109"/>
      <c r="K137" s="109"/>
      <c r="L137" s="109"/>
    </row>
    <row r="138" spans="1:62" ht="12.75">
      <c r="A138" s="4" t="s">
        <v>72</v>
      </c>
      <c r="B138" s="4" t="s">
        <v>174</v>
      </c>
      <c r="C138" s="106" t="s">
        <v>524</v>
      </c>
      <c r="D138" s="107"/>
      <c r="E138" s="107"/>
      <c r="F138" s="4" t="s">
        <v>326</v>
      </c>
      <c r="G138" s="18">
        <v>3</v>
      </c>
      <c r="H138" s="74">
        <v>0</v>
      </c>
      <c r="I138" s="18">
        <f>G138*AO138</f>
        <v>0</v>
      </c>
      <c r="J138" s="18">
        <f>G138*AP138</f>
        <v>0</v>
      </c>
      <c r="K138" s="18">
        <f>G138*H138</f>
        <v>0</v>
      </c>
      <c r="L138" s="30"/>
      <c r="Z138" s="36">
        <f>IF(AQ138="5",BJ138,0)</f>
        <v>0</v>
      </c>
      <c r="AB138" s="36">
        <f>IF(AQ138="1",BH138,0)</f>
        <v>0</v>
      </c>
      <c r="AC138" s="36">
        <f>IF(AQ138="1",BI138,0)</f>
        <v>0</v>
      </c>
      <c r="AD138" s="36">
        <f>IF(AQ138="7",BH138,0)</f>
        <v>0</v>
      </c>
      <c r="AE138" s="36">
        <f>IF(AQ138="7",BI138,0)</f>
        <v>0</v>
      </c>
      <c r="AF138" s="36">
        <f>IF(AQ138="2",BH138,0)</f>
        <v>0</v>
      </c>
      <c r="AG138" s="36">
        <f>IF(AQ138="2",BI138,0)</f>
        <v>0</v>
      </c>
      <c r="AH138" s="36">
        <f>IF(AQ138="0",BJ138,0)</f>
        <v>0</v>
      </c>
      <c r="AI138" s="31"/>
      <c r="AJ138" s="18">
        <f>IF(AN138=0,K138,0)</f>
        <v>0</v>
      </c>
      <c r="AK138" s="18">
        <f>IF(AN138=15,K138,0)</f>
        <v>0</v>
      </c>
      <c r="AL138" s="18">
        <f>IF(AN138=21,K138,0)</f>
        <v>0</v>
      </c>
      <c r="AN138" s="36">
        <v>21</v>
      </c>
      <c r="AO138" s="36">
        <f>H138*0</f>
        <v>0</v>
      </c>
      <c r="AP138" s="36">
        <f>H138*(1-0)</f>
        <v>0</v>
      </c>
      <c r="AQ138" s="30" t="s">
        <v>13</v>
      </c>
      <c r="AV138" s="36">
        <f>AW138+AX138</f>
        <v>0</v>
      </c>
      <c r="AW138" s="36">
        <f>G138*AO138</f>
        <v>0</v>
      </c>
      <c r="AX138" s="36">
        <f>G138*AP138</f>
        <v>0</v>
      </c>
      <c r="AY138" s="37" t="s">
        <v>368</v>
      </c>
      <c r="AZ138" s="37" t="s">
        <v>378</v>
      </c>
      <c r="BA138" s="31" t="s">
        <v>380</v>
      </c>
      <c r="BC138" s="36">
        <f>AW138+AX138</f>
        <v>0</v>
      </c>
      <c r="BD138" s="36">
        <f>H138/(100-BE138)*100</f>
        <v>0</v>
      </c>
      <c r="BE138" s="36">
        <v>0</v>
      </c>
      <c r="BF138" s="36">
        <f>138</f>
        <v>138</v>
      </c>
      <c r="BH138" s="18">
        <f>G138*AO138</f>
        <v>0</v>
      </c>
      <c r="BI138" s="18">
        <f>G138*AP138</f>
        <v>0</v>
      </c>
      <c r="BJ138" s="18">
        <f>G138*H138</f>
        <v>0</v>
      </c>
    </row>
    <row r="139" spans="2:12" ht="12.75">
      <c r="B139" s="13" t="s">
        <v>105</v>
      </c>
      <c r="C139" s="108" t="s">
        <v>291</v>
      </c>
      <c r="D139" s="109"/>
      <c r="E139" s="109"/>
      <c r="F139" s="109"/>
      <c r="G139" s="109"/>
      <c r="H139" s="109"/>
      <c r="I139" s="109"/>
      <c r="J139" s="109"/>
      <c r="K139" s="109"/>
      <c r="L139" s="109"/>
    </row>
    <row r="140" spans="1:62" ht="12.75">
      <c r="A140" s="4" t="s">
        <v>73</v>
      </c>
      <c r="B140" s="4" t="s">
        <v>175</v>
      </c>
      <c r="C140" s="106" t="s">
        <v>525</v>
      </c>
      <c r="D140" s="107"/>
      <c r="E140" s="107"/>
      <c r="F140" s="4" t="s">
        <v>326</v>
      </c>
      <c r="G140" s="18">
        <v>7</v>
      </c>
      <c r="H140" s="74">
        <v>0</v>
      </c>
      <c r="I140" s="18">
        <f>G140*AO140</f>
        <v>0</v>
      </c>
      <c r="J140" s="18">
        <f>G140*AP140</f>
        <v>0</v>
      </c>
      <c r="K140" s="18">
        <f>G140*H140</f>
        <v>0</v>
      </c>
      <c r="L140" s="30"/>
      <c r="Z140" s="36">
        <f>IF(AQ140="5",BJ140,0)</f>
        <v>0</v>
      </c>
      <c r="AB140" s="36">
        <f>IF(AQ140="1",BH140,0)</f>
        <v>0</v>
      </c>
      <c r="AC140" s="36">
        <f>IF(AQ140="1",BI140,0)</f>
        <v>0</v>
      </c>
      <c r="AD140" s="36">
        <f>IF(AQ140="7",BH140,0)</f>
        <v>0</v>
      </c>
      <c r="AE140" s="36">
        <f>IF(AQ140="7",BI140,0)</f>
        <v>0</v>
      </c>
      <c r="AF140" s="36">
        <f>IF(AQ140="2",BH140,0)</f>
        <v>0</v>
      </c>
      <c r="AG140" s="36">
        <f>IF(AQ140="2",BI140,0)</f>
        <v>0</v>
      </c>
      <c r="AH140" s="36">
        <f>IF(AQ140="0",BJ140,0)</f>
        <v>0</v>
      </c>
      <c r="AI140" s="31"/>
      <c r="AJ140" s="18">
        <f>IF(AN140=0,K140,0)</f>
        <v>0</v>
      </c>
      <c r="AK140" s="18">
        <f>IF(AN140=15,K140,0)</f>
        <v>0</v>
      </c>
      <c r="AL140" s="18">
        <f>IF(AN140=21,K140,0)</f>
        <v>0</v>
      </c>
      <c r="AN140" s="36">
        <v>21</v>
      </c>
      <c r="AO140" s="36">
        <f>H140*0</f>
        <v>0</v>
      </c>
      <c r="AP140" s="36">
        <f>H140*(1-0)</f>
        <v>0</v>
      </c>
      <c r="AQ140" s="30" t="s">
        <v>13</v>
      </c>
      <c r="AV140" s="36">
        <f>AW140+AX140</f>
        <v>0</v>
      </c>
      <c r="AW140" s="36">
        <f>G140*AO140</f>
        <v>0</v>
      </c>
      <c r="AX140" s="36">
        <f>G140*AP140</f>
        <v>0</v>
      </c>
      <c r="AY140" s="37" t="s">
        <v>368</v>
      </c>
      <c r="AZ140" s="37" t="s">
        <v>378</v>
      </c>
      <c r="BA140" s="31" t="s">
        <v>380</v>
      </c>
      <c r="BC140" s="36">
        <f>AW140+AX140</f>
        <v>0</v>
      </c>
      <c r="BD140" s="36">
        <f>H140/(100-BE140)*100</f>
        <v>0</v>
      </c>
      <c r="BE140" s="36">
        <v>0</v>
      </c>
      <c r="BF140" s="36">
        <f>140</f>
        <v>140</v>
      </c>
      <c r="BH140" s="18">
        <f>G140*AO140</f>
        <v>0</v>
      </c>
      <c r="BI140" s="18">
        <f>G140*AP140</f>
        <v>0</v>
      </c>
      <c r="BJ140" s="18">
        <f>G140*H140</f>
        <v>0</v>
      </c>
    </row>
    <row r="141" spans="1:62" ht="12.75">
      <c r="A141" s="4" t="s">
        <v>74</v>
      </c>
      <c r="B141" s="4" t="s">
        <v>176</v>
      </c>
      <c r="C141" s="106" t="s">
        <v>526</v>
      </c>
      <c r="D141" s="107"/>
      <c r="E141" s="107"/>
      <c r="F141" s="4" t="s">
        <v>326</v>
      </c>
      <c r="G141" s="18">
        <v>1</v>
      </c>
      <c r="H141" s="74">
        <v>0</v>
      </c>
      <c r="I141" s="18">
        <f>G141*AO141</f>
        <v>0</v>
      </c>
      <c r="J141" s="18">
        <f>G141*AP141</f>
        <v>0</v>
      </c>
      <c r="K141" s="18">
        <f>G141*H141</f>
        <v>0</v>
      </c>
      <c r="L141" s="30"/>
      <c r="Z141" s="36">
        <f>IF(AQ141="5",BJ141,0)</f>
        <v>0</v>
      </c>
      <c r="AB141" s="36">
        <f>IF(AQ141="1",BH141,0)</f>
        <v>0</v>
      </c>
      <c r="AC141" s="36">
        <f>IF(AQ141="1",BI141,0)</f>
        <v>0</v>
      </c>
      <c r="AD141" s="36">
        <f>IF(AQ141="7",BH141,0)</f>
        <v>0</v>
      </c>
      <c r="AE141" s="36">
        <f>IF(AQ141="7",BI141,0)</f>
        <v>0</v>
      </c>
      <c r="AF141" s="36">
        <f>IF(AQ141="2",BH141,0)</f>
        <v>0</v>
      </c>
      <c r="AG141" s="36">
        <f>IF(AQ141="2",BI141,0)</f>
        <v>0</v>
      </c>
      <c r="AH141" s="36">
        <f>IF(AQ141="0",BJ141,0)</f>
        <v>0</v>
      </c>
      <c r="AI141" s="31"/>
      <c r="AJ141" s="18">
        <f>IF(AN141=0,K141,0)</f>
        <v>0</v>
      </c>
      <c r="AK141" s="18">
        <f>IF(AN141=15,K141,0)</f>
        <v>0</v>
      </c>
      <c r="AL141" s="18">
        <f>IF(AN141=21,K141,0)</f>
        <v>0</v>
      </c>
      <c r="AN141" s="36">
        <v>21</v>
      </c>
      <c r="AO141" s="36">
        <f>H141*0</f>
        <v>0</v>
      </c>
      <c r="AP141" s="36">
        <f>H141*(1-0)</f>
        <v>0</v>
      </c>
      <c r="AQ141" s="30" t="s">
        <v>13</v>
      </c>
      <c r="AV141" s="36">
        <f>AW141+AX141</f>
        <v>0</v>
      </c>
      <c r="AW141" s="36">
        <f>G141*AO141</f>
        <v>0</v>
      </c>
      <c r="AX141" s="36">
        <f>G141*AP141</f>
        <v>0</v>
      </c>
      <c r="AY141" s="37" t="s">
        <v>368</v>
      </c>
      <c r="AZ141" s="37" t="s">
        <v>378</v>
      </c>
      <c r="BA141" s="31" t="s">
        <v>380</v>
      </c>
      <c r="BC141" s="36">
        <f>AW141+AX141</f>
        <v>0</v>
      </c>
      <c r="BD141" s="36">
        <f>H141/(100-BE141)*100</f>
        <v>0</v>
      </c>
      <c r="BE141" s="36">
        <v>0</v>
      </c>
      <c r="BF141" s="36">
        <f>141</f>
        <v>141</v>
      </c>
      <c r="BH141" s="18">
        <f>G141*AO141</f>
        <v>0</v>
      </c>
      <c r="BI141" s="18">
        <f>G141*AP141</f>
        <v>0</v>
      </c>
      <c r="BJ141" s="18">
        <f>G141*H141</f>
        <v>0</v>
      </c>
    </row>
    <row r="142" spans="1:62" ht="12.75">
      <c r="A142" s="4" t="s">
        <v>75</v>
      </c>
      <c r="B142" s="4" t="s">
        <v>177</v>
      </c>
      <c r="C142" s="106" t="s">
        <v>527</v>
      </c>
      <c r="D142" s="107"/>
      <c r="E142" s="107"/>
      <c r="F142" s="4" t="s">
        <v>326</v>
      </c>
      <c r="G142" s="18">
        <v>1</v>
      </c>
      <c r="H142" s="74">
        <v>0</v>
      </c>
      <c r="I142" s="18">
        <f>G142*AO142</f>
        <v>0</v>
      </c>
      <c r="J142" s="18">
        <f>G142*AP142</f>
        <v>0</v>
      </c>
      <c r="K142" s="18">
        <f>G142*H142</f>
        <v>0</v>
      </c>
      <c r="L142" s="30"/>
      <c r="Z142" s="36">
        <f>IF(AQ142="5",BJ142,0)</f>
        <v>0</v>
      </c>
      <c r="AB142" s="36">
        <f>IF(AQ142="1",BH142,0)</f>
        <v>0</v>
      </c>
      <c r="AC142" s="36">
        <f>IF(AQ142="1",BI142,0)</f>
        <v>0</v>
      </c>
      <c r="AD142" s="36">
        <f>IF(AQ142="7",BH142,0)</f>
        <v>0</v>
      </c>
      <c r="AE142" s="36">
        <f>IF(AQ142="7",BI142,0)</f>
        <v>0</v>
      </c>
      <c r="AF142" s="36">
        <f>IF(AQ142="2",BH142,0)</f>
        <v>0</v>
      </c>
      <c r="AG142" s="36">
        <f>IF(AQ142="2",BI142,0)</f>
        <v>0</v>
      </c>
      <c r="AH142" s="36">
        <f>IF(AQ142="0",BJ142,0)</f>
        <v>0</v>
      </c>
      <c r="AI142" s="31"/>
      <c r="AJ142" s="18">
        <f>IF(AN142=0,K142,0)</f>
        <v>0</v>
      </c>
      <c r="AK142" s="18">
        <f>IF(AN142=15,K142,0)</f>
        <v>0</v>
      </c>
      <c r="AL142" s="18">
        <f>IF(AN142=21,K142,0)</f>
        <v>0</v>
      </c>
      <c r="AN142" s="36">
        <v>21</v>
      </c>
      <c r="AO142" s="36">
        <f>H142*0</f>
        <v>0</v>
      </c>
      <c r="AP142" s="36">
        <f>H142*(1-0)</f>
        <v>0</v>
      </c>
      <c r="AQ142" s="30" t="s">
        <v>13</v>
      </c>
      <c r="AV142" s="36">
        <f>AW142+AX142</f>
        <v>0</v>
      </c>
      <c r="AW142" s="36">
        <f>G142*AO142</f>
        <v>0</v>
      </c>
      <c r="AX142" s="36">
        <f>G142*AP142</f>
        <v>0</v>
      </c>
      <c r="AY142" s="37" t="s">
        <v>368</v>
      </c>
      <c r="AZ142" s="37" t="s">
        <v>378</v>
      </c>
      <c r="BA142" s="31" t="s">
        <v>380</v>
      </c>
      <c r="BC142" s="36">
        <f>AW142+AX142</f>
        <v>0</v>
      </c>
      <c r="BD142" s="36">
        <f>H142/(100-BE142)*100</f>
        <v>0</v>
      </c>
      <c r="BE142" s="36">
        <v>0</v>
      </c>
      <c r="BF142" s="36">
        <f>142</f>
        <v>142</v>
      </c>
      <c r="BH142" s="18">
        <f>G142*AO142</f>
        <v>0</v>
      </c>
      <c r="BI142" s="18">
        <f>G142*AP142</f>
        <v>0</v>
      </c>
      <c r="BJ142" s="18">
        <f>G142*H142</f>
        <v>0</v>
      </c>
    </row>
    <row r="143" spans="2:12" ht="12.75">
      <c r="B143" s="13" t="s">
        <v>105</v>
      </c>
      <c r="C143" s="108" t="s">
        <v>292</v>
      </c>
      <c r="D143" s="109"/>
      <c r="E143" s="109"/>
      <c r="F143" s="109"/>
      <c r="G143" s="109"/>
      <c r="H143" s="109"/>
      <c r="I143" s="109"/>
      <c r="J143" s="109"/>
      <c r="K143" s="109"/>
      <c r="L143" s="109"/>
    </row>
    <row r="144" spans="1:62" ht="12.75">
      <c r="A144" s="4" t="s">
        <v>76</v>
      </c>
      <c r="B144" s="4" t="s">
        <v>178</v>
      </c>
      <c r="C144" s="106" t="s">
        <v>528</v>
      </c>
      <c r="D144" s="107"/>
      <c r="E144" s="107"/>
      <c r="F144" s="4" t="s">
        <v>326</v>
      </c>
      <c r="G144" s="18">
        <v>1</v>
      </c>
      <c r="H144" s="74">
        <v>0</v>
      </c>
      <c r="I144" s="18">
        <f>G144*AO144</f>
        <v>0</v>
      </c>
      <c r="J144" s="18">
        <f>G144*AP144</f>
        <v>0</v>
      </c>
      <c r="K144" s="18">
        <f>G144*H144</f>
        <v>0</v>
      </c>
      <c r="L144" s="30"/>
      <c r="Z144" s="36">
        <f>IF(AQ144="5",BJ144,0)</f>
        <v>0</v>
      </c>
      <c r="AB144" s="36">
        <f>IF(AQ144="1",BH144,0)</f>
        <v>0</v>
      </c>
      <c r="AC144" s="36">
        <f>IF(AQ144="1",BI144,0)</f>
        <v>0</v>
      </c>
      <c r="AD144" s="36">
        <f>IF(AQ144="7",BH144,0)</f>
        <v>0</v>
      </c>
      <c r="AE144" s="36">
        <f>IF(AQ144="7",BI144,0)</f>
        <v>0</v>
      </c>
      <c r="AF144" s="36">
        <f>IF(AQ144="2",BH144,0)</f>
        <v>0</v>
      </c>
      <c r="AG144" s="36">
        <f>IF(AQ144="2",BI144,0)</f>
        <v>0</v>
      </c>
      <c r="AH144" s="36">
        <f>IF(AQ144="0",BJ144,0)</f>
        <v>0</v>
      </c>
      <c r="AI144" s="31"/>
      <c r="AJ144" s="18">
        <f>IF(AN144=0,K144,0)</f>
        <v>0</v>
      </c>
      <c r="AK144" s="18">
        <f>IF(AN144=15,K144,0)</f>
        <v>0</v>
      </c>
      <c r="AL144" s="18">
        <f>IF(AN144=21,K144,0)</f>
        <v>0</v>
      </c>
      <c r="AN144" s="36">
        <v>21</v>
      </c>
      <c r="AO144" s="36">
        <f>H144*0</f>
        <v>0</v>
      </c>
      <c r="AP144" s="36">
        <f>H144*(1-0)</f>
        <v>0</v>
      </c>
      <c r="AQ144" s="30" t="s">
        <v>13</v>
      </c>
      <c r="AV144" s="36">
        <f>AW144+AX144</f>
        <v>0</v>
      </c>
      <c r="AW144" s="36">
        <f>G144*AO144</f>
        <v>0</v>
      </c>
      <c r="AX144" s="36">
        <f>G144*AP144</f>
        <v>0</v>
      </c>
      <c r="AY144" s="37" t="s">
        <v>368</v>
      </c>
      <c r="AZ144" s="37" t="s">
        <v>378</v>
      </c>
      <c r="BA144" s="31" t="s">
        <v>380</v>
      </c>
      <c r="BC144" s="36">
        <f>AW144+AX144</f>
        <v>0</v>
      </c>
      <c r="BD144" s="36">
        <f>H144/(100-BE144)*100</f>
        <v>0</v>
      </c>
      <c r="BE144" s="36">
        <v>0</v>
      </c>
      <c r="BF144" s="36">
        <f>144</f>
        <v>144</v>
      </c>
      <c r="BH144" s="18">
        <f>G144*AO144</f>
        <v>0</v>
      </c>
      <c r="BI144" s="18">
        <f>G144*AP144</f>
        <v>0</v>
      </c>
      <c r="BJ144" s="18">
        <f>G144*H144</f>
        <v>0</v>
      </c>
    </row>
    <row r="145" spans="2:12" ht="12.75">
      <c r="B145" s="13" t="s">
        <v>105</v>
      </c>
      <c r="C145" s="108" t="s">
        <v>292</v>
      </c>
      <c r="D145" s="109"/>
      <c r="E145" s="109"/>
      <c r="F145" s="109"/>
      <c r="G145" s="109"/>
      <c r="H145" s="109"/>
      <c r="I145" s="109"/>
      <c r="J145" s="109"/>
      <c r="K145" s="109"/>
      <c r="L145" s="109"/>
    </row>
    <row r="146" spans="1:62" ht="12.75">
      <c r="A146" s="4" t="s">
        <v>77</v>
      </c>
      <c r="B146" s="4" t="s">
        <v>179</v>
      </c>
      <c r="C146" s="106" t="s">
        <v>529</v>
      </c>
      <c r="D146" s="107"/>
      <c r="E146" s="107"/>
      <c r="F146" s="4" t="s">
        <v>326</v>
      </c>
      <c r="G146" s="18">
        <v>2</v>
      </c>
      <c r="H146" s="74">
        <v>0</v>
      </c>
      <c r="I146" s="18">
        <f>G146*AO146</f>
        <v>0</v>
      </c>
      <c r="J146" s="18">
        <f>G146*AP146</f>
        <v>0</v>
      </c>
      <c r="K146" s="18">
        <f>G146*H146</f>
        <v>0</v>
      </c>
      <c r="L146" s="30"/>
      <c r="Z146" s="36">
        <f>IF(AQ146="5",BJ146,0)</f>
        <v>0</v>
      </c>
      <c r="AB146" s="36">
        <f>IF(AQ146="1",BH146,0)</f>
        <v>0</v>
      </c>
      <c r="AC146" s="36">
        <f>IF(AQ146="1",BI146,0)</f>
        <v>0</v>
      </c>
      <c r="AD146" s="36">
        <f>IF(AQ146="7",BH146,0)</f>
        <v>0</v>
      </c>
      <c r="AE146" s="36">
        <f>IF(AQ146="7",BI146,0)</f>
        <v>0</v>
      </c>
      <c r="AF146" s="36">
        <f>IF(AQ146="2",BH146,0)</f>
        <v>0</v>
      </c>
      <c r="AG146" s="36">
        <f>IF(AQ146="2",BI146,0)</f>
        <v>0</v>
      </c>
      <c r="AH146" s="36">
        <f>IF(AQ146="0",BJ146,0)</f>
        <v>0</v>
      </c>
      <c r="AI146" s="31"/>
      <c r="AJ146" s="18">
        <f>IF(AN146=0,K146,0)</f>
        <v>0</v>
      </c>
      <c r="AK146" s="18">
        <f>IF(AN146=15,K146,0)</f>
        <v>0</v>
      </c>
      <c r="AL146" s="18">
        <f>IF(AN146=21,K146,0)</f>
        <v>0</v>
      </c>
      <c r="AN146" s="36">
        <v>21</v>
      </c>
      <c r="AO146" s="36">
        <f>H146*0</f>
        <v>0</v>
      </c>
      <c r="AP146" s="36">
        <f>H146*(1-0)</f>
        <v>0</v>
      </c>
      <c r="AQ146" s="30" t="s">
        <v>13</v>
      </c>
      <c r="AV146" s="36">
        <f>AW146+AX146</f>
        <v>0</v>
      </c>
      <c r="AW146" s="36">
        <f>G146*AO146</f>
        <v>0</v>
      </c>
      <c r="AX146" s="36">
        <f>G146*AP146</f>
        <v>0</v>
      </c>
      <c r="AY146" s="37" t="s">
        <v>368</v>
      </c>
      <c r="AZ146" s="37" t="s">
        <v>378</v>
      </c>
      <c r="BA146" s="31" t="s">
        <v>380</v>
      </c>
      <c r="BC146" s="36">
        <f>AW146+AX146</f>
        <v>0</v>
      </c>
      <c r="BD146" s="36">
        <f>H146/(100-BE146)*100</f>
        <v>0</v>
      </c>
      <c r="BE146" s="36">
        <v>0</v>
      </c>
      <c r="BF146" s="36">
        <f>146</f>
        <v>146</v>
      </c>
      <c r="BH146" s="18">
        <f>G146*AO146</f>
        <v>0</v>
      </c>
      <c r="BI146" s="18">
        <f>G146*AP146</f>
        <v>0</v>
      </c>
      <c r="BJ146" s="18">
        <f>G146*H146</f>
        <v>0</v>
      </c>
    </row>
    <row r="147" spans="2:12" ht="12.75">
      <c r="B147" s="13" t="s">
        <v>105</v>
      </c>
      <c r="C147" s="108" t="s">
        <v>292</v>
      </c>
      <c r="D147" s="109"/>
      <c r="E147" s="109"/>
      <c r="F147" s="109"/>
      <c r="G147" s="109"/>
      <c r="H147" s="109"/>
      <c r="I147" s="109"/>
      <c r="J147" s="109"/>
      <c r="K147" s="109"/>
      <c r="L147" s="109"/>
    </row>
    <row r="148" spans="1:62" ht="12.75">
      <c r="A148" s="4" t="s">
        <v>78</v>
      </c>
      <c r="B148" s="4" t="s">
        <v>180</v>
      </c>
      <c r="C148" s="106" t="s">
        <v>530</v>
      </c>
      <c r="D148" s="107"/>
      <c r="E148" s="107"/>
      <c r="F148" s="4" t="s">
        <v>329</v>
      </c>
      <c r="G148" s="18">
        <v>1252.24</v>
      </c>
      <c r="H148" s="74">
        <v>0</v>
      </c>
      <c r="I148" s="18">
        <f>G148*AO148</f>
        <v>0</v>
      </c>
      <c r="J148" s="18">
        <f>G148*AP148</f>
        <v>0</v>
      </c>
      <c r="K148" s="18">
        <f>G148*H148</f>
        <v>0</v>
      </c>
      <c r="L148" s="30"/>
      <c r="Z148" s="36">
        <f>IF(AQ148="5",BJ148,0)</f>
        <v>0</v>
      </c>
      <c r="AB148" s="36">
        <f>IF(AQ148="1",BH148,0)</f>
        <v>0</v>
      </c>
      <c r="AC148" s="36">
        <f>IF(AQ148="1",BI148,0)</f>
        <v>0</v>
      </c>
      <c r="AD148" s="36">
        <f>IF(AQ148="7",BH148,0)</f>
        <v>0</v>
      </c>
      <c r="AE148" s="36">
        <f>IF(AQ148="7",BI148,0)</f>
        <v>0</v>
      </c>
      <c r="AF148" s="36">
        <f>IF(AQ148="2",BH148,0)</f>
        <v>0</v>
      </c>
      <c r="AG148" s="36">
        <f>IF(AQ148="2",BI148,0)</f>
        <v>0</v>
      </c>
      <c r="AH148" s="36">
        <f>IF(AQ148="0",BJ148,0)</f>
        <v>0</v>
      </c>
      <c r="AI148" s="31"/>
      <c r="AJ148" s="18">
        <f>IF(AN148=0,K148,0)</f>
        <v>0</v>
      </c>
      <c r="AK148" s="18">
        <f>IF(AN148=15,K148,0)</f>
        <v>0</v>
      </c>
      <c r="AL148" s="18">
        <f>IF(AN148=21,K148,0)</f>
        <v>0</v>
      </c>
      <c r="AN148" s="36">
        <v>21</v>
      </c>
      <c r="AO148" s="36">
        <f>H148*0</f>
        <v>0</v>
      </c>
      <c r="AP148" s="36">
        <f>H148*(1-0)</f>
        <v>0</v>
      </c>
      <c r="AQ148" s="30" t="s">
        <v>13</v>
      </c>
      <c r="AV148" s="36">
        <f>AW148+AX148</f>
        <v>0</v>
      </c>
      <c r="AW148" s="36">
        <f>G148*AO148</f>
        <v>0</v>
      </c>
      <c r="AX148" s="36">
        <f>G148*AP148</f>
        <v>0</v>
      </c>
      <c r="AY148" s="37" t="s">
        <v>368</v>
      </c>
      <c r="AZ148" s="37" t="s">
        <v>378</v>
      </c>
      <c r="BA148" s="31" t="s">
        <v>380</v>
      </c>
      <c r="BC148" s="36">
        <f>AW148+AX148</f>
        <v>0</v>
      </c>
      <c r="BD148" s="36">
        <f>H148/(100-BE148)*100</f>
        <v>0</v>
      </c>
      <c r="BE148" s="36">
        <v>0</v>
      </c>
      <c r="BF148" s="36">
        <f>148</f>
        <v>148</v>
      </c>
      <c r="BH148" s="18">
        <f>G148*AO148</f>
        <v>0</v>
      </c>
      <c r="BI148" s="18">
        <f>G148*AP148</f>
        <v>0</v>
      </c>
      <c r="BJ148" s="18">
        <f>G148*H148</f>
        <v>0</v>
      </c>
    </row>
    <row r="149" spans="1:62" ht="12.75">
      <c r="A149" s="4" t="s">
        <v>79</v>
      </c>
      <c r="B149" s="4" t="s">
        <v>181</v>
      </c>
      <c r="C149" s="106" t="s">
        <v>531</v>
      </c>
      <c r="D149" s="107"/>
      <c r="E149" s="107"/>
      <c r="F149" s="4" t="s">
        <v>330</v>
      </c>
      <c r="G149" s="18">
        <v>850</v>
      </c>
      <c r="H149" s="74">
        <v>0</v>
      </c>
      <c r="I149" s="18">
        <f>G149*AO149</f>
        <v>0</v>
      </c>
      <c r="J149" s="18">
        <f>G149*AP149</f>
        <v>0</v>
      </c>
      <c r="K149" s="18">
        <f>G149*H149</f>
        <v>0</v>
      </c>
      <c r="L149" s="30"/>
      <c r="Z149" s="36">
        <f>IF(AQ149="5",BJ149,0)</f>
        <v>0</v>
      </c>
      <c r="AB149" s="36">
        <f>IF(AQ149="1",BH149,0)</f>
        <v>0</v>
      </c>
      <c r="AC149" s="36">
        <f>IF(AQ149="1",BI149,0)</f>
        <v>0</v>
      </c>
      <c r="AD149" s="36">
        <f>IF(AQ149="7",BH149,0)</f>
        <v>0</v>
      </c>
      <c r="AE149" s="36">
        <f>IF(AQ149="7",BI149,0)</f>
        <v>0</v>
      </c>
      <c r="AF149" s="36">
        <f>IF(AQ149="2",BH149,0)</f>
        <v>0</v>
      </c>
      <c r="AG149" s="36">
        <f>IF(AQ149="2",BI149,0)</f>
        <v>0</v>
      </c>
      <c r="AH149" s="36">
        <f>IF(AQ149="0",BJ149,0)</f>
        <v>0</v>
      </c>
      <c r="AI149" s="31"/>
      <c r="AJ149" s="18">
        <f>IF(AN149=0,K149,0)</f>
        <v>0</v>
      </c>
      <c r="AK149" s="18">
        <f>IF(AN149=15,K149,0)</f>
        <v>0</v>
      </c>
      <c r="AL149" s="18">
        <f>IF(AN149=21,K149,0)</f>
        <v>0</v>
      </c>
      <c r="AN149" s="36">
        <v>21</v>
      </c>
      <c r="AO149" s="36">
        <f>H149*0</f>
        <v>0</v>
      </c>
      <c r="AP149" s="36">
        <f>H149*(1-0)</f>
        <v>0</v>
      </c>
      <c r="AQ149" s="30" t="s">
        <v>13</v>
      </c>
      <c r="AV149" s="36">
        <f>AW149+AX149</f>
        <v>0</v>
      </c>
      <c r="AW149" s="36">
        <f>G149*AO149</f>
        <v>0</v>
      </c>
      <c r="AX149" s="36">
        <f>G149*AP149</f>
        <v>0</v>
      </c>
      <c r="AY149" s="37" t="s">
        <v>368</v>
      </c>
      <c r="AZ149" s="37" t="s">
        <v>378</v>
      </c>
      <c r="BA149" s="31" t="s">
        <v>380</v>
      </c>
      <c r="BC149" s="36">
        <f>AW149+AX149</f>
        <v>0</v>
      </c>
      <c r="BD149" s="36">
        <f>H149/(100-BE149)*100</f>
        <v>0</v>
      </c>
      <c r="BE149" s="36">
        <v>0</v>
      </c>
      <c r="BF149" s="36">
        <f>149</f>
        <v>149</v>
      </c>
      <c r="BH149" s="18">
        <f>G149*AO149</f>
        <v>0</v>
      </c>
      <c r="BI149" s="18">
        <f>G149*AP149</f>
        <v>0</v>
      </c>
      <c r="BJ149" s="18">
        <f>G149*H149</f>
        <v>0</v>
      </c>
    </row>
    <row r="150" spans="1:62" ht="12.75">
      <c r="A150" s="4" t="s">
        <v>80</v>
      </c>
      <c r="B150" s="4" t="s">
        <v>182</v>
      </c>
      <c r="C150" s="106" t="s">
        <v>293</v>
      </c>
      <c r="D150" s="107"/>
      <c r="E150" s="107"/>
      <c r="F150" s="4" t="s">
        <v>331</v>
      </c>
      <c r="G150" s="18">
        <v>1</v>
      </c>
      <c r="H150" s="74">
        <v>0</v>
      </c>
      <c r="I150" s="18">
        <f>G150*AO150</f>
        <v>0</v>
      </c>
      <c r="J150" s="18">
        <f>G150*AP150</f>
        <v>0</v>
      </c>
      <c r="K150" s="18">
        <f>G150*H150</f>
        <v>0</v>
      </c>
      <c r="L150" s="30"/>
      <c r="Z150" s="36">
        <f>IF(AQ150="5",BJ150,0)</f>
        <v>0</v>
      </c>
      <c r="AB150" s="36">
        <f>IF(AQ150="1",BH150,0)</f>
        <v>0</v>
      </c>
      <c r="AC150" s="36">
        <f>IF(AQ150="1",BI150,0)</f>
        <v>0</v>
      </c>
      <c r="AD150" s="36">
        <f>IF(AQ150="7",BH150,0)</f>
        <v>0</v>
      </c>
      <c r="AE150" s="36">
        <f>IF(AQ150="7",BI150,0)</f>
        <v>0</v>
      </c>
      <c r="AF150" s="36">
        <f>IF(AQ150="2",BH150,0)</f>
        <v>0</v>
      </c>
      <c r="AG150" s="36">
        <f>IF(AQ150="2",BI150,0)</f>
        <v>0</v>
      </c>
      <c r="AH150" s="36">
        <f>IF(AQ150="0",BJ150,0)</f>
        <v>0</v>
      </c>
      <c r="AI150" s="31"/>
      <c r="AJ150" s="18">
        <f>IF(AN150=0,K150,0)</f>
        <v>0</v>
      </c>
      <c r="AK150" s="18">
        <f>IF(AN150=15,K150,0)</f>
        <v>0</v>
      </c>
      <c r="AL150" s="18">
        <f>IF(AN150=21,K150,0)</f>
        <v>0</v>
      </c>
      <c r="AN150" s="36">
        <v>21</v>
      </c>
      <c r="AO150" s="36">
        <f>H150*0</f>
        <v>0</v>
      </c>
      <c r="AP150" s="36">
        <f>H150*(1-0)</f>
        <v>0</v>
      </c>
      <c r="AQ150" s="30" t="s">
        <v>13</v>
      </c>
      <c r="AV150" s="36">
        <f>AW150+AX150</f>
        <v>0</v>
      </c>
      <c r="AW150" s="36">
        <f>G150*AO150</f>
        <v>0</v>
      </c>
      <c r="AX150" s="36">
        <f>G150*AP150</f>
        <v>0</v>
      </c>
      <c r="AY150" s="37" t="s">
        <v>368</v>
      </c>
      <c r="AZ150" s="37" t="s">
        <v>378</v>
      </c>
      <c r="BA150" s="31" t="s">
        <v>380</v>
      </c>
      <c r="BC150" s="36">
        <f>AW150+AX150</f>
        <v>0</v>
      </c>
      <c r="BD150" s="36">
        <f>H150/(100-BE150)*100</f>
        <v>0</v>
      </c>
      <c r="BE150" s="36">
        <v>0</v>
      </c>
      <c r="BF150" s="36">
        <f>150</f>
        <v>150</v>
      </c>
      <c r="BH150" s="18">
        <f>G150*AO150</f>
        <v>0</v>
      </c>
      <c r="BI150" s="18">
        <f>G150*AP150</f>
        <v>0</v>
      </c>
      <c r="BJ150" s="18">
        <f>G150*H150</f>
        <v>0</v>
      </c>
    </row>
    <row r="151" spans="1:62" ht="12.75">
      <c r="A151" s="4" t="s">
        <v>81</v>
      </c>
      <c r="B151" s="4" t="s">
        <v>183</v>
      </c>
      <c r="C151" s="106" t="s">
        <v>294</v>
      </c>
      <c r="D151" s="107"/>
      <c r="E151" s="107"/>
      <c r="F151" s="4" t="s">
        <v>329</v>
      </c>
      <c r="G151" s="18">
        <v>1173.83</v>
      </c>
      <c r="H151" s="74">
        <v>0</v>
      </c>
      <c r="I151" s="18">
        <f>G151*AO151</f>
        <v>0</v>
      </c>
      <c r="J151" s="18">
        <f>G151*AP151</f>
        <v>0</v>
      </c>
      <c r="K151" s="18">
        <f>G151*H151</f>
        <v>0</v>
      </c>
      <c r="L151" s="30"/>
      <c r="Z151" s="36">
        <f>IF(AQ151="5",BJ151,0)</f>
        <v>0</v>
      </c>
      <c r="AB151" s="36">
        <f>IF(AQ151="1",BH151,0)</f>
        <v>0</v>
      </c>
      <c r="AC151" s="36">
        <f>IF(AQ151="1",BI151,0)</f>
        <v>0</v>
      </c>
      <c r="AD151" s="36">
        <f>IF(AQ151="7",BH151,0)</f>
        <v>0</v>
      </c>
      <c r="AE151" s="36">
        <f>IF(AQ151="7",BI151,0)</f>
        <v>0</v>
      </c>
      <c r="AF151" s="36">
        <f>IF(AQ151="2",BH151,0)</f>
        <v>0</v>
      </c>
      <c r="AG151" s="36">
        <f>IF(AQ151="2",BI151,0)</f>
        <v>0</v>
      </c>
      <c r="AH151" s="36">
        <f>IF(AQ151="0",BJ151,0)</f>
        <v>0</v>
      </c>
      <c r="AI151" s="31"/>
      <c r="AJ151" s="18">
        <f>IF(AN151=0,K151,0)</f>
        <v>0</v>
      </c>
      <c r="AK151" s="18">
        <f>IF(AN151=15,K151,0)</f>
        <v>0</v>
      </c>
      <c r="AL151" s="18">
        <f>IF(AN151=21,K151,0)</f>
        <v>0</v>
      </c>
      <c r="AN151" s="36">
        <v>21</v>
      </c>
      <c r="AO151" s="36">
        <f>H151*0</f>
        <v>0</v>
      </c>
      <c r="AP151" s="36">
        <f>H151*(1-0)</f>
        <v>0</v>
      </c>
      <c r="AQ151" s="30" t="s">
        <v>13</v>
      </c>
      <c r="AV151" s="36">
        <f>AW151+AX151</f>
        <v>0</v>
      </c>
      <c r="AW151" s="36">
        <f>G151*AO151</f>
        <v>0</v>
      </c>
      <c r="AX151" s="36">
        <f>G151*AP151</f>
        <v>0</v>
      </c>
      <c r="AY151" s="37" t="s">
        <v>368</v>
      </c>
      <c r="AZ151" s="37" t="s">
        <v>378</v>
      </c>
      <c r="BA151" s="31" t="s">
        <v>380</v>
      </c>
      <c r="BC151" s="36">
        <f>AW151+AX151</f>
        <v>0</v>
      </c>
      <c r="BD151" s="36">
        <f>H151/(100-BE151)*100</f>
        <v>0</v>
      </c>
      <c r="BE151" s="36">
        <v>0</v>
      </c>
      <c r="BF151" s="36">
        <f>151</f>
        <v>151</v>
      </c>
      <c r="BH151" s="18">
        <f>G151*AO151</f>
        <v>0</v>
      </c>
      <c r="BI151" s="18">
        <f>G151*AP151</f>
        <v>0</v>
      </c>
      <c r="BJ151" s="18">
        <f>G151*H151</f>
        <v>0</v>
      </c>
    </row>
    <row r="152" spans="1:47" ht="12.75">
      <c r="A152" s="5"/>
      <c r="B152" s="14" t="s">
        <v>100</v>
      </c>
      <c r="C152" s="110" t="s">
        <v>295</v>
      </c>
      <c r="D152" s="111"/>
      <c r="E152" s="111"/>
      <c r="F152" s="5" t="s">
        <v>6</v>
      </c>
      <c r="G152" s="5" t="s">
        <v>6</v>
      </c>
      <c r="H152" s="5" t="s">
        <v>6</v>
      </c>
      <c r="I152" s="39">
        <f>SUM(I153:I155)</f>
        <v>0</v>
      </c>
      <c r="J152" s="39">
        <f>SUM(J153:J155)</f>
        <v>0</v>
      </c>
      <c r="K152" s="39">
        <f>SUM(K153:K155)</f>
        <v>0</v>
      </c>
      <c r="L152" s="31"/>
      <c r="AI152" s="31"/>
      <c r="AS152" s="39">
        <f>SUM(AJ153:AJ155)</f>
        <v>0</v>
      </c>
      <c r="AT152" s="39">
        <f>SUM(AK153:AK155)</f>
        <v>0</v>
      </c>
      <c r="AU152" s="39">
        <f>SUM(AL153:AL155)</f>
        <v>0</v>
      </c>
    </row>
    <row r="153" spans="1:62" ht="12.75">
      <c r="A153" s="4" t="s">
        <v>82</v>
      </c>
      <c r="B153" s="4" t="s">
        <v>184</v>
      </c>
      <c r="C153" s="106" t="s">
        <v>296</v>
      </c>
      <c r="D153" s="107"/>
      <c r="E153" s="107"/>
      <c r="F153" s="4" t="s">
        <v>328</v>
      </c>
      <c r="G153" s="18">
        <v>2308.79</v>
      </c>
      <c r="H153" s="74">
        <v>0</v>
      </c>
      <c r="I153" s="18">
        <f>G153*AO153</f>
        <v>0</v>
      </c>
      <c r="J153" s="18">
        <f>G153*AP153</f>
        <v>0</v>
      </c>
      <c r="K153" s="18">
        <f>G153*H153</f>
        <v>0</v>
      </c>
      <c r="L153" s="30" t="s">
        <v>348</v>
      </c>
      <c r="Z153" s="36">
        <f>IF(AQ153="5",BJ153,0)</f>
        <v>0</v>
      </c>
      <c r="AB153" s="36">
        <f>IF(AQ153="1",BH153,0)</f>
        <v>0</v>
      </c>
      <c r="AC153" s="36">
        <f>IF(AQ153="1",BI153,0)</f>
        <v>0</v>
      </c>
      <c r="AD153" s="36">
        <f>IF(AQ153="7",BH153,0)</f>
        <v>0</v>
      </c>
      <c r="AE153" s="36">
        <f>IF(AQ153="7",BI153,0)</f>
        <v>0</v>
      </c>
      <c r="AF153" s="36">
        <f>IF(AQ153="2",BH153,0)</f>
        <v>0</v>
      </c>
      <c r="AG153" s="36">
        <f>IF(AQ153="2",BI153,0)</f>
        <v>0</v>
      </c>
      <c r="AH153" s="36">
        <f>IF(AQ153="0",BJ153,0)</f>
        <v>0</v>
      </c>
      <c r="AI153" s="31"/>
      <c r="AJ153" s="18">
        <f>IF(AN153=0,K153,0)</f>
        <v>0</v>
      </c>
      <c r="AK153" s="18">
        <f>IF(AN153=15,K153,0)</f>
        <v>0</v>
      </c>
      <c r="AL153" s="18">
        <f>IF(AN153=21,K153,0)</f>
        <v>0</v>
      </c>
      <c r="AN153" s="36">
        <v>21</v>
      </c>
      <c r="AO153" s="36">
        <f>H153*0.000261096611649508</f>
        <v>0</v>
      </c>
      <c r="AP153" s="36">
        <f>H153*(1-0.000261096611649508)</f>
        <v>0</v>
      </c>
      <c r="AQ153" s="30" t="s">
        <v>7</v>
      </c>
      <c r="AV153" s="36">
        <f>AW153+AX153</f>
        <v>0</v>
      </c>
      <c r="AW153" s="36">
        <f>G153*AO153</f>
        <v>0</v>
      </c>
      <c r="AX153" s="36">
        <f>G153*AP153</f>
        <v>0</v>
      </c>
      <c r="AY153" s="37" t="s">
        <v>369</v>
      </c>
      <c r="AZ153" s="37" t="s">
        <v>379</v>
      </c>
      <c r="BA153" s="31" t="s">
        <v>380</v>
      </c>
      <c r="BC153" s="36">
        <f>AW153+AX153</f>
        <v>0</v>
      </c>
      <c r="BD153" s="36">
        <f>H153/(100-BE153)*100</f>
        <v>0</v>
      </c>
      <c r="BE153" s="36">
        <v>0</v>
      </c>
      <c r="BF153" s="36">
        <f>153</f>
        <v>153</v>
      </c>
      <c r="BH153" s="18">
        <f>G153*AO153</f>
        <v>0</v>
      </c>
      <c r="BI153" s="18">
        <f>G153*AP153</f>
        <v>0</v>
      </c>
      <c r="BJ153" s="18">
        <f>G153*H153</f>
        <v>0</v>
      </c>
    </row>
    <row r="154" spans="1:62" ht="12.75">
      <c r="A154" s="4" t="s">
        <v>83</v>
      </c>
      <c r="B154" s="4" t="s">
        <v>185</v>
      </c>
      <c r="C154" s="106" t="s">
        <v>297</v>
      </c>
      <c r="D154" s="107"/>
      <c r="E154" s="107"/>
      <c r="F154" s="4" t="s">
        <v>328</v>
      </c>
      <c r="G154" s="18">
        <v>4617.58</v>
      </c>
      <c r="H154" s="74">
        <v>0</v>
      </c>
      <c r="I154" s="18">
        <f>G154*AO154</f>
        <v>0</v>
      </c>
      <c r="J154" s="18">
        <f>G154*AP154</f>
        <v>0</v>
      </c>
      <c r="K154" s="18">
        <f>G154*H154</f>
        <v>0</v>
      </c>
      <c r="L154" s="30" t="s">
        <v>348</v>
      </c>
      <c r="Z154" s="36">
        <f>IF(AQ154="5",BJ154,0)</f>
        <v>0</v>
      </c>
      <c r="AB154" s="36">
        <f>IF(AQ154="1",BH154,0)</f>
        <v>0</v>
      </c>
      <c r="AC154" s="36">
        <f>IF(AQ154="1",BI154,0)</f>
        <v>0</v>
      </c>
      <c r="AD154" s="36">
        <f>IF(AQ154="7",BH154,0)</f>
        <v>0</v>
      </c>
      <c r="AE154" s="36">
        <f>IF(AQ154="7",BI154,0)</f>
        <v>0</v>
      </c>
      <c r="AF154" s="36">
        <f>IF(AQ154="2",BH154,0)</f>
        <v>0</v>
      </c>
      <c r="AG154" s="36">
        <f>IF(AQ154="2",BI154,0)</f>
        <v>0</v>
      </c>
      <c r="AH154" s="36">
        <f>IF(AQ154="0",BJ154,0)</f>
        <v>0</v>
      </c>
      <c r="AI154" s="31"/>
      <c r="AJ154" s="18">
        <f>IF(AN154=0,K154,0)</f>
        <v>0</v>
      </c>
      <c r="AK154" s="18">
        <f>IF(AN154=15,K154,0)</f>
        <v>0</v>
      </c>
      <c r="AL154" s="18">
        <f>IF(AN154=21,K154,0)</f>
        <v>0</v>
      </c>
      <c r="AN154" s="36">
        <v>21</v>
      </c>
      <c r="AO154" s="36">
        <f>H154*0.904761893098896</f>
        <v>0</v>
      </c>
      <c r="AP154" s="36">
        <f>H154*(1-0.904761893098896)</f>
        <v>0</v>
      </c>
      <c r="AQ154" s="30" t="s">
        <v>7</v>
      </c>
      <c r="AV154" s="36">
        <f>AW154+AX154</f>
        <v>0</v>
      </c>
      <c r="AW154" s="36">
        <f>G154*AO154</f>
        <v>0</v>
      </c>
      <c r="AX154" s="36">
        <f>G154*AP154</f>
        <v>0</v>
      </c>
      <c r="AY154" s="37" t="s">
        <v>369</v>
      </c>
      <c r="AZ154" s="37" t="s">
        <v>379</v>
      </c>
      <c r="BA154" s="31" t="s">
        <v>380</v>
      </c>
      <c r="BC154" s="36">
        <f>AW154+AX154</f>
        <v>0</v>
      </c>
      <c r="BD154" s="36">
        <f>H154/(100-BE154)*100</f>
        <v>0</v>
      </c>
      <c r="BE154" s="36">
        <v>0</v>
      </c>
      <c r="BF154" s="36">
        <f>154</f>
        <v>154</v>
      </c>
      <c r="BH154" s="18">
        <f>G154*AO154</f>
        <v>0</v>
      </c>
      <c r="BI154" s="18">
        <f>G154*AP154</f>
        <v>0</v>
      </c>
      <c r="BJ154" s="18">
        <f>G154*H154</f>
        <v>0</v>
      </c>
    </row>
    <row r="155" spans="1:62" ht="12.75">
      <c r="A155" s="4" t="s">
        <v>84</v>
      </c>
      <c r="B155" s="4" t="s">
        <v>186</v>
      </c>
      <c r="C155" s="106" t="s">
        <v>298</v>
      </c>
      <c r="D155" s="107"/>
      <c r="E155" s="107"/>
      <c r="F155" s="4" t="s">
        <v>328</v>
      </c>
      <c r="G155" s="18">
        <v>2308.79</v>
      </c>
      <c r="H155" s="74">
        <v>0</v>
      </c>
      <c r="I155" s="18">
        <f>G155*AO155</f>
        <v>0</v>
      </c>
      <c r="J155" s="18">
        <f>G155*AP155</f>
        <v>0</v>
      </c>
      <c r="K155" s="18">
        <f>G155*H155</f>
        <v>0</v>
      </c>
      <c r="L155" s="30" t="s">
        <v>348</v>
      </c>
      <c r="Z155" s="36">
        <f>IF(AQ155="5",BJ155,0)</f>
        <v>0</v>
      </c>
      <c r="AB155" s="36">
        <f>IF(AQ155="1",BH155,0)</f>
        <v>0</v>
      </c>
      <c r="AC155" s="36">
        <f>IF(AQ155="1",BI155,0)</f>
        <v>0</v>
      </c>
      <c r="AD155" s="36">
        <f>IF(AQ155="7",BH155,0)</f>
        <v>0</v>
      </c>
      <c r="AE155" s="36">
        <f>IF(AQ155="7",BI155,0)</f>
        <v>0</v>
      </c>
      <c r="AF155" s="36">
        <f>IF(AQ155="2",BH155,0)</f>
        <v>0</v>
      </c>
      <c r="AG155" s="36">
        <f>IF(AQ155="2",BI155,0)</f>
        <v>0</v>
      </c>
      <c r="AH155" s="36">
        <f>IF(AQ155="0",BJ155,0)</f>
        <v>0</v>
      </c>
      <c r="AI155" s="31"/>
      <c r="AJ155" s="18">
        <f>IF(AN155=0,K155,0)</f>
        <v>0</v>
      </c>
      <c r="AK155" s="18">
        <f>IF(AN155=15,K155,0)</f>
        <v>0</v>
      </c>
      <c r="AL155" s="18">
        <f>IF(AN155=21,K155,0)</f>
        <v>0</v>
      </c>
      <c r="AN155" s="36">
        <v>21</v>
      </c>
      <c r="AO155" s="36">
        <f>H155*0</f>
        <v>0</v>
      </c>
      <c r="AP155" s="36">
        <f>H155*(1-0)</f>
        <v>0</v>
      </c>
      <c r="AQ155" s="30" t="s">
        <v>7</v>
      </c>
      <c r="AV155" s="36">
        <f>AW155+AX155</f>
        <v>0</v>
      </c>
      <c r="AW155" s="36">
        <f>G155*AO155</f>
        <v>0</v>
      </c>
      <c r="AX155" s="36">
        <f>G155*AP155</f>
        <v>0</v>
      </c>
      <c r="AY155" s="37" t="s">
        <v>369</v>
      </c>
      <c r="AZ155" s="37" t="s">
        <v>379</v>
      </c>
      <c r="BA155" s="31" t="s">
        <v>380</v>
      </c>
      <c r="BC155" s="36">
        <f>AW155+AX155</f>
        <v>0</v>
      </c>
      <c r="BD155" s="36">
        <f>H155/(100-BE155)*100</f>
        <v>0</v>
      </c>
      <c r="BE155" s="36">
        <v>0</v>
      </c>
      <c r="BF155" s="36">
        <f>155</f>
        <v>155</v>
      </c>
      <c r="BH155" s="18">
        <f>G155*AO155</f>
        <v>0</v>
      </c>
      <c r="BI155" s="18">
        <f>G155*AP155</f>
        <v>0</v>
      </c>
      <c r="BJ155" s="18">
        <f>G155*H155</f>
        <v>0</v>
      </c>
    </row>
    <row r="156" spans="1:47" ht="12.75">
      <c r="A156" s="5"/>
      <c r="B156" s="14" t="s">
        <v>187</v>
      </c>
      <c r="C156" s="110" t="s">
        <v>299</v>
      </c>
      <c r="D156" s="111"/>
      <c r="E156" s="111"/>
      <c r="F156" s="5" t="s">
        <v>6</v>
      </c>
      <c r="G156" s="5" t="s">
        <v>6</v>
      </c>
      <c r="H156" s="5" t="s">
        <v>6</v>
      </c>
      <c r="I156" s="39">
        <f>SUM(I157:I158)</f>
        <v>0</v>
      </c>
      <c r="J156" s="39">
        <f>SUM(J157:J158)</f>
        <v>0</v>
      </c>
      <c r="K156" s="39">
        <f>SUM(K157:K158)</f>
        <v>0</v>
      </c>
      <c r="L156" s="31"/>
      <c r="AI156" s="31"/>
      <c r="AS156" s="39">
        <f>SUM(AJ157:AJ158)</f>
        <v>0</v>
      </c>
      <c r="AT156" s="39">
        <f>SUM(AK157:AK158)</f>
        <v>0</v>
      </c>
      <c r="AU156" s="39">
        <f>SUM(AL157:AL158)</f>
        <v>0</v>
      </c>
    </row>
    <row r="157" spans="1:62" ht="12.75">
      <c r="A157" s="4" t="s">
        <v>85</v>
      </c>
      <c r="B157" s="4" t="s">
        <v>188</v>
      </c>
      <c r="C157" s="106" t="s">
        <v>300</v>
      </c>
      <c r="D157" s="107"/>
      <c r="E157" s="107"/>
      <c r="F157" s="4" t="s">
        <v>329</v>
      </c>
      <c r="G157" s="18">
        <v>104.66</v>
      </c>
      <c r="H157" s="74">
        <v>0</v>
      </c>
      <c r="I157" s="18">
        <f>G157*AO157</f>
        <v>0</v>
      </c>
      <c r="J157" s="18">
        <f>G157*AP157</f>
        <v>0</v>
      </c>
      <c r="K157" s="18">
        <f>G157*H157</f>
        <v>0</v>
      </c>
      <c r="L157" s="30" t="s">
        <v>348</v>
      </c>
      <c r="Z157" s="36">
        <f>IF(AQ157="5",BJ157,0)</f>
        <v>0</v>
      </c>
      <c r="AB157" s="36">
        <f>IF(AQ157="1",BH157,0)</f>
        <v>0</v>
      </c>
      <c r="AC157" s="36">
        <f>IF(AQ157="1",BI157,0)</f>
        <v>0</v>
      </c>
      <c r="AD157" s="36">
        <f>IF(AQ157="7",BH157,0)</f>
        <v>0</v>
      </c>
      <c r="AE157" s="36">
        <f>IF(AQ157="7",BI157,0)</f>
        <v>0</v>
      </c>
      <c r="AF157" s="36">
        <f>IF(AQ157="2",BH157,0)</f>
        <v>0</v>
      </c>
      <c r="AG157" s="36">
        <f>IF(AQ157="2",BI157,0)</f>
        <v>0</v>
      </c>
      <c r="AH157" s="36">
        <f>IF(AQ157="0",BJ157,0)</f>
        <v>0</v>
      </c>
      <c r="AI157" s="31"/>
      <c r="AJ157" s="18">
        <f>IF(AN157=0,K157,0)</f>
        <v>0</v>
      </c>
      <c r="AK157" s="18">
        <f>IF(AN157=15,K157,0)</f>
        <v>0</v>
      </c>
      <c r="AL157" s="18">
        <f>IF(AN157=21,K157,0)</f>
        <v>0</v>
      </c>
      <c r="AN157" s="36">
        <v>21</v>
      </c>
      <c r="AO157" s="36">
        <f>H157*0</f>
        <v>0</v>
      </c>
      <c r="AP157" s="36">
        <f>H157*(1-0)</f>
        <v>0</v>
      </c>
      <c r="AQ157" s="30" t="s">
        <v>7</v>
      </c>
      <c r="AV157" s="36">
        <f>AW157+AX157</f>
        <v>0</v>
      </c>
      <c r="AW157" s="36">
        <f>G157*AO157</f>
        <v>0</v>
      </c>
      <c r="AX157" s="36">
        <f>G157*AP157</f>
        <v>0</v>
      </c>
      <c r="AY157" s="37" t="s">
        <v>370</v>
      </c>
      <c r="AZ157" s="37" t="s">
        <v>379</v>
      </c>
      <c r="BA157" s="31" t="s">
        <v>380</v>
      </c>
      <c r="BC157" s="36">
        <f>AW157+AX157</f>
        <v>0</v>
      </c>
      <c r="BD157" s="36">
        <f>H157/(100-BE157)*100</f>
        <v>0</v>
      </c>
      <c r="BE157" s="36">
        <v>0</v>
      </c>
      <c r="BF157" s="36">
        <f>157</f>
        <v>157</v>
      </c>
      <c r="BH157" s="18">
        <f>G157*AO157</f>
        <v>0</v>
      </c>
      <c r="BI157" s="18">
        <f>G157*AP157</f>
        <v>0</v>
      </c>
      <c r="BJ157" s="18">
        <f>G157*H157</f>
        <v>0</v>
      </c>
    </row>
    <row r="158" spans="1:62" ht="12.75">
      <c r="A158" s="4" t="s">
        <v>86</v>
      </c>
      <c r="B158" s="4" t="s">
        <v>189</v>
      </c>
      <c r="C158" s="106" t="s">
        <v>301</v>
      </c>
      <c r="D158" s="107"/>
      <c r="E158" s="107"/>
      <c r="F158" s="4" t="s">
        <v>329</v>
      </c>
      <c r="G158" s="18">
        <v>180.53</v>
      </c>
      <c r="H158" s="74">
        <v>0</v>
      </c>
      <c r="I158" s="18">
        <f>G158*AO158</f>
        <v>0</v>
      </c>
      <c r="J158" s="18">
        <f>G158*AP158</f>
        <v>0</v>
      </c>
      <c r="K158" s="18">
        <f>G158*H158</f>
        <v>0</v>
      </c>
      <c r="L158" s="30" t="s">
        <v>348</v>
      </c>
      <c r="Z158" s="36">
        <f>IF(AQ158="5",BJ158,0)</f>
        <v>0</v>
      </c>
      <c r="AB158" s="36">
        <f>IF(AQ158="1",BH158,0)</f>
        <v>0</v>
      </c>
      <c r="AC158" s="36">
        <f>IF(AQ158="1",BI158,0)</f>
        <v>0</v>
      </c>
      <c r="AD158" s="36">
        <f>IF(AQ158="7",BH158,0)</f>
        <v>0</v>
      </c>
      <c r="AE158" s="36">
        <f>IF(AQ158="7",BI158,0)</f>
        <v>0</v>
      </c>
      <c r="AF158" s="36">
        <f>IF(AQ158="2",BH158,0)</f>
        <v>0</v>
      </c>
      <c r="AG158" s="36">
        <f>IF(AQ158="2",BI158,0)</f>
        <v>0</v>
      </c>
      <c r="AH158" s="36">
        <f>IF(AQ158="0",BJ158,0)</f>
        <v>0</v>
      </c>
      <c r="AI158" s="31"/>
      <c r="AJ158" s="18">
        <f>IF(AN158=0,K158,0)</f>
        <v>0</v>
      </c>
      <c r="AK158" s="18">
        <f>IF(AN158=15,K158,0)</f>
        <v>0</v>
      </c>
      <c r="AL158" s="18">
        <f>IF(AN158=21,K158,0)</f>
        <v>0</v>
      </c>
      <c r="AN158" s="36">
        <v>21</v>
      </c>
      <c r="AO158" s="36">
        <f>H158*0</f>
        <v>0</v>
      </c>
      <c r="AP158" s="36">
        <f>H158*(1-0)</f>
        <v>0</v>
      </c>
      <c r="AQ158" s="30" t="s">
        <v>7</v>
      </c>
      <c r="AV158" s="36">
        <f>AW158+AX158</f>
        <v>0</v>
      </c>
      <c r="AW158" s="36">
        <f>G158*AO158</f>
        <v>0</v>
      </c>
      <c r="AX158" s="36">
        <f>G158*AP158</f>
        <v>0</v>
      </c>
      <c r="AY158" s="37" t="s">
        <v>370</v>
      </c>
      <c r="AZ158" s="37" t="s">
        <v>379</v>
      </c>
      <c r="BA158" s="31" t="s">
        <v>380</v>
      </c>
      <c r="BC158" s="36">
        <f>AW158+AX158</f>
        <v>0</v>
      </c>
      <c r="BD158" s="36">
        <f>H158/(100-BE158)*100</f>
        <v>0</v>
      </c>
      <c r="BE158" s="36">
        <v>0</v>
      </c>
      <c r="BF158" s="36">
        <f>158</f>
        <v>158</v>
      </c>
      <c r="BH158" s="18">
        <f>G158*AO158</f>
        <v>0</v>
      </c>
      <c r="BI158" s="18">
        <f>G158*AP158</f>
        <v>0</v>
      </c>
      <c r="BJ158" s="18">
        <f>G158*H158</f>
        <v>0</v>
      </c>
    </row>
    <row r="159" spans="1:47" ht="12.75">
      <c r="A159" s="5"/>
      <c r="B159" s="14" t="s">
        <v>190</v>
      </c>
      <c r="C159" s="110" t="s">
        <v>302</v>
      </c>
      <c r="D159" s="111"/>
      <c r="E159" s="111"/>
      <c r="F159" s="5" t="s">
        <v>6</v>
      </c>
      <c r="G159" s="5" t="s">
        <v>6</v>
      </c>
      <c r="H159" s="5" t="s">
        <v>6</v>
      </c>
      <c r="I159" s="39">
        <f>SUM(I160:I160)</f>
        <v>0</v>
      </c>
      <c r="J159" s="39">
        <f>SUM(J160:J160)</f>
        <v>0</v>
      </c>
      <c r="K159" s="39">
        <f>SUM(K160:K160)</f>
        <v>0</v>
      </c>
      <c r="L159" s="31"/>
      <c r="AI159" s="31"/>
      <c r="AS159" s="39">
        <f>SUM(AJ160:AJ160)</f>
        <v>0</v>
      </c>
      <c r="AT159" s="39">
        <f>SUM(AK160:AK160)</f>
        <v>0</v>
      </c>
      <c r="AU159" s="39">
        <f>SUM(AL160:AL160)</f>
        <v>0</v>
      </c>
    </row>
    <row r="160" spans="1:62" ht="12.75">
      <c r="A160" s="4" t="s">
        <v>87</v>
      </c>
      <c r="B160" s="4" t="s">
        <v>191</v>
      </c>
      <c r="C160" s="106" t="s">
        <v>303</v>
      </c>
      <c r="D160" s="107"/>
      <c r="E160" s="107"/>
      <c r="F160" s="4" t="s">
        <v>328</v>
      </c>
      <c r="G160" s="18">
        <v>408.332</v>
      </c>
      <c r="H160" s="74">
        <v>0</v>
      </c>
      <c r="I160" s="18">
        <f>G160*AO160</f>
        <v>0</v>
      </c>
      <c r="J160" s="18">
        <f>G160*AP160</f>
        <v>0</v>
      </c>
      <c r="K160" s="18">
        <f>G160*H160</f>
        <v>0</v>
      </c>
      <c r="L160" s="30"/>
      <c r="Z160" s="36">
        <f>IF(AQ160="5",BJ160,0)</f>
        <v>0</v>
      </c>
      <c r="AB160" s="36">
        <f>IF(AQ160="1",BH160,0)</f>
        <v>0</v>
      </c>
      <c r="AC160" s="36">
        <f>IF(AQ160="1",BI160,0)</f>
        <v>0</v>
      </c>
      <c r="AD160" s="36">
        <f>IF(AQ160="7",BH160,0)</f>
        <v>0</v>
      </c>
      <c r="AE160" s="36">
        <f>IF(AQ160="7",BI160,0)</f>
        <v>0</v>
      </c>
      <c r="AF160" s="36">
        <f>IF(AQ160="2",BH160,0)</f>
        <v>0</v>
      </c>
      <c r="AG160" s="36">
        <f>IF(AQ160="2",BI160,0)</f>
        <v>0</v>
      </c>
      <c r="AH160" s="36">
        <f>IF(AQ160="0",BJ160,0)</f>
        <v>0</v>
      </c>
      <c r="AI160" s="31"/>
      <c r="AJ160" s="18">
        <f>IF(AN160=0,K160,0)</f>
        <v>0</v>
      </c>
      <c r="AK160" s="18">
        <f>IF(AN160=15,K160,0)</f>
        <v>0</v>
      </c>
      <c r="AL160" s="18">
        <f>IF(AN160=21,K160,0)</f>
        <v>0</v>
      </c>
      <c r="AN160" s="36">
        <v>21</v>
      </c>
      <c r="AO160" s="36">
        <f>H160*0</f>
        <v>0</v>
      </c>
      <c r="AP160" s="36">
        <f>H160*(1-0)</f>
        <v>0</v>
      </c>
      <c r="AQ160" s="30" t="s">
        <v>7</v>
      </c>
      <c r="AV160" s="36">
        <f>AW160+AX160</f>
        <v>0</v>
      </c>
      <c r="AW160" s="36">
        <f>G160*AO160</f>
        <v>0</v>
      </c>
      <c r="AX160" s="36">
        <f>G160*AP160</f>
        <v>0</v>
      </c>
      <c r="AY160" s="37" t="s">
        <v>371</v>
      </c>
      <c r="AZ160" s="37" t="s">
        <v>379</v>
      </c>
      <c r="BA160" s="31" t="s">
        <v>380</v>
      </c>
      <c r="BC160" s="36">
        <f>AW160+AX160</f>
        <v>0</v>
      </c>
      <c r="BD160" s="36">
        <f>H160/(100-BE160)*100</f>
        <v>0</v>
      </c>
      <c r="BE160" s="36">
        <v>0</v>
      </c>
      <c r="BF160" s="36">
        <f>160</f>
        <v>160</v>
      </c>
      <c r="BH160" s="18">
        <f>G160*AO160</f>
        <v>0</v>
      </c>
      <c r="BI160" s="18">
        <f>G160*AP160</f>
        <v>0</v>
      </c>
      <c r="BJ160" s="18">
        <f>G160*H160</f>
        <v>0</v>
      </c>
    </row>
    <row r="161" spans="1:47" ht="12.75">
      <c r="A161" s="5"/>
      <c r="B161" s="14" t="s">
        <v>192</v>
      </c>
      <c r="C161" s="110" t="s">
        <v>304</v>
      </c>
      <c r="D161" s="111"/>
      <c r="E161" s="111"/>
      <c r="F161" s="5" t="s">
        <v>6</v>
      </c>
      <c r="G161" s="5" t="s">
        <v>6</v>
      </c>
      <c r="H161" s="5" t="s">
        <v>6</v>
      </c>
      <c r="I161" s="39">
        <f>SUM(I162:I163)</f>
        <v>0</v>
      </c>
      <c r="J161" s="39">
        <f>SUM(J162:J163)</f>
        <v>0</v>
      </c>
      <c r="K161" s="39">
        <f>SUM(K162:K163)</f>
        <v>0</v>
      </c>
      <c r="L161" s="31"/>
      <c r="AI161" s="31"/>
      <c r="AS161" s="39">
        <f>SUM(AJ162:AJ163)</f>
        <v>0</v>
      </c>
      <c r="AT161" s="39">
        <f>SUM(AK162:AK163)</f>
        <v>0</v>
      </c>
      <c r="AU161" s="39">
        <f>SUM(AL162:AL163)</f>
        <v>0</v>
      </c>
    </row>
    <row r="162" spans="1:62" ht="12.75">
      <c r="A162" s="4" t="s">
        <v>88</v>
      </c>
      <c r="B162" s="4" t="s">
        <v>193</v>
      </c>
      <c r="C162" s="106" t="s">
        <v>305</v>
      </c>
      <c r="D162" s="107"/>
      <c r="E162" s="107"/>
      <c r="F162" s="4" t="s">
        <v>325</v>
      </c>
      <c r="G162" s="18">
        <v>61.03</v>
      </c>
      <c r="H162" s="74">
        <v>0</v>
      </c>
      <c r="I162" s="18">
        <f>G162*AO162</f>
        <v>0</v>
      </c>
      <c r="J162" s="18">
        <f>G162*AP162</f>
        <v>0</v>
      </c>
      <c r="K162" s="18">
        <f>G162*H162</f>
        <v>0</v>
      </c>
      <c r="L162" s="30" t="s">
        <v>348</v>
      </c>
      <c r="Z162" s="36">
        <f>IF(AQ162="5",BJ162,0)</f>
        <v>0</v>
      </c>
      <c r="AB162" s="36">
        <f>IF(AQ162="1",BH162,0)</f>
        <v>0</v>
      </c>
      <c r="AC162" s="36">
        <f>IF(AQ162="1",BI162,0)</f>
        <v>0</v>
      </c>
      <c r="AD162" s="36">
        <f>IF(AQ162="7",BH162,0)</f>
        <v>0</v>
      </c>
      <c r="AE162" s="36">
        <f>IF(AQ162="7",BI162,0)</f>
        <v>0</v>
      </c>
      <c r="AF162" s="36">
        <f>IF(AQ162="2",BH162,0)</f>
        <v>0</v>
      </c>
      <c r="AG162" s="36">
        <f>IF(AQ162="2",BI162,0)</f>
        <v>0</v>
      </c>
      <c r="AH162" s="36">
        <f>IF(AQ162="0",BJ162,0)</f>
        <v>0</v>
      </c>
      <c r="AI162" s="31"/>
      <c r="AJ162" s="18">
        <f>IF(AN162=0,K162,0)</f>
        <v>0</v>
      </c>
      <c r="AK162" s="18">
        <f>IF(AN162=15,K162,0)</f>
        <v>0</v>
      </c>
      <c r="AL162" s="18">
        <f>IF(AN162=21,K162,0)</f>
        <v>0</v>
      </c>
      <c r="AN162" s="36">
        <v>21</v>
      </c>
      <c r="AO162" s="36">
        <f>H162*0.0302090843547224</f>
        <v>0</v>
      </c>
      <c r="AP162" s="36">
        <f>H162*(1-0.0302090843547224)</f>
        <v>0</v>
      </c>
      <c r="AQ162" s="30" t="s">
        <v>7</v>
      </c>
      <c r="AV162" s="36">
        <f>AW162+AX162</f>
        <v>0</v>
      </c>
      <c r="AW162" s="36">
        <f>G162*AO162</f>
        <v>0</v>
      </c>
      <c r="AX162" s="36">
        <f>G162*AP162</f>
        <v>0</v>
      </c>
      <c r="AY162" s="37" t="s">
        <v>372</v>
      </c>
      <c r="AZ162" s="37" t="s">
        <v>379</v>
      </c>
      <c r="BA162" s="31" t="s">
        <v>380</v>
      </c>
      <c r="BC162" s="36">
        <f>AW162+AX162</f>
        <v>0</v>
      </c>
      <c r="BD162" s="36">
        <f>H162/(100-BE162)*100</f>
        <v>0</v>
      </c>
      <c r="BE162" s="36">
        <v>0</v>
      </c>
      <c r="BF162" s="36">
        <f>162</f>
        <v>162</v>
      </c>
      <c r="BH162" s="18">
        <f>G162*AO162</f>
        <v>0</v>
      </c>
      <c r="BI162" s="18">
        <f>G162*AP162</f>
        <v>0</v>
      </c>
      <c r="BJ162" s="18">
        <f>G162*H162</f>
        <v>0</v>
      </c>
    </row>
    <row r="163" spans="1:62" ht="12.75">
      <c r="A163" s="4" t="s">
        <v>89</v>
      </c>
      <c r="B163" s="4" t="s">
        <v>194</v>
      </c>
      <c r="C163" s="106" t="s">
        <v>306</v>
      </c>
      <c r="D163" s="107"/>
      <c r="E163" s="107"/>
      <c r="F163" s="4" t="s">
        <v>329</v>
      </c>
      <c r="G163" s="18">
        <v>76.8</v>
      </c>
      <c r="H163" s="74">
        <v>0</v>
      </c>
      <c r="I163" s="18">
        <f>G163*AO163</f>
        <v>0</v>
      </c>
      <c r="J163" s="18">
        <f>G163*AP163</f>
        <v>0</v>
      </c>
      <c r="K163" s="18">
        <f>G163*H163</f>
        <v>0</v>
      </c>
      <c r="L163" s="30" t="s">
        <v>348</v>
      </c>
      <c r="Z163" s="36">
        <f>IF(AQ163="5",BJ163,0)</f>
        <v>0</v>
      </c>
      <c r="AB163" s="36">
        <f>IF(AQ163="1",BH163,0)</f>
        <v>0</v>
      </c>
      <c r="AC163" s="36">
        <f>IF(AQ163="1",BI163,0)</f>
        <v>0</v>
      </c>
      <c r="AD163" s="36">
        <f>IF(AQ163="7",BH163,0)</f>
        <v>0</v>
      </c>
      <c r="AE163" s="36">
        <f>IF(AQ163="7",BI163,0)</f>
        <v>0</v>
      </c>
      <c r="AF163" s="36">
        <f>IF(AQ163="2",BH163,0)</f>
        <v>0</v>
      </c>
      <c r="AG163" s="36">
        <f>IF(AQ163="2",BI163,0)</f>
        <v>0</v>
      </c>
      <c r="AH163" s="36">
        <f>IF(AQ163="0",BJ163,0)</f>
        <v>0</v>
      </c>
      <c r="AI163" s="31"/>
      <c r="AJ163" s="18">
        <f>IF(AN163=0,K163,0)</f>
        <v>0</v>
      </c>
      <c r="AK163" s="18">
        <f>IF(AN163=15,K163,0)</f>
        <v>0</v>
      </c>
      <c r="AL163" s="18">
        <f>IF(AN163=21,K163,0)</f>
        <v>0</v>
      </c>
      <c r="AN163" s="36">
        <v>21</v>
      </c>
      <c r="AO163" s="36">
        <f>H163*0.0391681109185442</f>
        <v>0</v>
      </c>
      <c r="AP163" s="36">
        <f>H163*(1-0.0391681109185442)</f>
        <v>0</v>
      </c>
      <c r="AQ163" s="30" t="s">
        <v>7</v>
      </c>
      <c r="AV163" s="36">
        <f>AW163+AX163</f>
        <v>0</v>
      </c>
      <c r="AW163" s="36">
        <f>G163*AO163</f>
        <v>0</v>
      </c>
      <c r="AX163" s="36">
        <f>G163*AP163</f>
        <v>0</v>
      </c>
      <c r="AY163" s="37" t="s">
        <v>372</v>
      </c>
      <c r="AZ163" s="37" t="s">
        <v>379</v>
      </c>
      <c r="BA163" s="31" t="s">
        <v>380</v>
      </c>
      <c r="BC163" s="36">
        <f>AW163+AX163</f>
        <v>0</v>
      </c>
      <c r="BD163" s="36">
        <f>H163/(100-BE163)*100</f>
        <v>0</v>
      </c>
      <c r="BE163" s="36">
        <v>0</v>
      </c>
      <c r="BF163" s="36">
        <f>163</f>
        <v>163</v>
      </c>
      <c r="BH163" s="18">
        <f>G163*AO163</f>
        <v>0</v>
      </c>
      <c r="BI163" s="18">
        <f>G163*AP163</f>
        <v>0</v>
      </c>
      <c r="BJ163" s="18">
        <f>G163*H163</f>
        <v>0</v>
      </c>
    </row>
    <row r="164" spans="1:47" ht="12.75">
      <c r="A164" s="5"/>
      <c r="B164" s="14" t="s">
        <v>195</v>
      </c>
      <c r="C164" s="110" t="s">
        <v>307</v>
      </c>
      <c r="D164" s="111"/>
      <c r="E164" s="111"/>
      <c r="F164" s="5" t="s">
        <v>6</v>
      </c>
      <c r="G164" s="5" t="s">
        <v>6</v>
      </c>
      <c r="H164" s="5" t="s">
        <v>6</v>
      </c>
      <c r="I164" s="39">
        <f>SUM(I165:I165)</f>
        <v>0</v>
      </c>
      <c r="J164" s="39">
        <f>SUM(J165:J165)</f>
        <v>0</v>
      </c>
      <c r="K164" s="39">
        <f>SUM(K165:K165)</f>
        <v>0</v>
      </c>
      <c r="L164" s="31"/>
      <c r="AI164" s="31"/>
      <c r="AS164" s="39">
        <f>SUM(AJ165:AJ165)</f>
        <v>0</v>
      </c>
      <c r="AT164" s="39">
        <f>SUM(AK165:AK165)</f>
        <v>0</v>
      </c>
      <c r="AU164" s="39">
        <f>SUM(AL165:AL165)</f>
        <v>0</v>
      </c>
    </row>
    <row r="165" spans="1:62" ht="12.75">
      <c r="A165" s="4" t="s">
        <v>90</v>
      </c>
      <c r="B165" s="4" t="s">
        <v>196</v>
      </c>
      <c r="C165" s="106" t="s">
        <v>308</v>
      </c>
      <c r="D165" s="107"/>
      <c r="E165" s="107"/>
      <c r="F165" s="4" t="s">
        <v>327</v>
      </c>
      <c r="G165" s="18">
        <v>146.76159</v>
      </c>
      <c r="H165" s="74">
        <v>0</v>
      </c>
      <c r="I165" s="18">
        <f>G165*AO165</f>
        <v>0</v>
      </c>
      <c r="J165" s="18">
        <f>G165*AP165</f>
        <v>0</v>
      </c>
      <c r="K165" s="18">
        <f>G165*H165</f>
        <v>0</v>
      </c>
      <c r="L165" s="30" t="s">
        <v>348</v>
      </c>
      <c r="Z165" s="36">
        <f>IF(AQ165="5",BJ165,0)</f>
        <v>0</v>
      </c>
      <c r="AB165" s="36">
        <f>IF(AQ165="1",BH165,0)</f>
        <v>0</v>
      </c>
      <c r="AC165" s="36">
        <f>IF(AQ165="1",BI165,0)</f>
        <v>0</v>
      </c>
      <c r="AD165" s="36">
        <f>IF(AQ165="7",BH165,0)</f>
        <v>0</v>
      </c>
      <c r="AE165" s="36">
        <f>IF(AQ165="7",BI165,0)</f>
        <v>0</v>
      </c>
      <c r="AF165" s="36">
        <f>IF(AQ165="2",BH165,0)</f>
        <v>0</v>
      </c>
      <c r="AG165" s="36">
        <f>IF(AQ165="2",BI165,0)</f>
        <v>0</v>
      </c>
      <c r="AH165" s="36">
        <f>IF(AQ165="0",BJ165,0)</f>
        <v>0</v>
      </c>
      <c r="AI165" s="31"/>
      <c r="AJ165" s="18">
        <f>IF(AN165=0,K165,0)</f>
        <v>0</v>
      </c>
      <c r="AK165" s="18">
        <f>IF(AN165=15,K165,0)</f>
        <v>0</v>
      </c>
      <c r="AL165" s="18">
        <f>IF(AN165=21,K165,0)</f>
        <v>0</v>
      </c>
      <c r="AN165" s="36">
        <v>21</v>
      </c>
      <c r="AO165" s="36">
        <f>H165*0</f>
        <v>0</v>
      </c>
      <c r="AP165" s="36">
        <f>H165*(1-0)</f>
        <v>0</v>
      </c>
      <c r="AQ165" s="30" t="s">
        <v>11</v>
      </c>
      <c r="AV165" s="36">
        <f>AW165+AX165</f>
        <v>0</v>
      </c>
      <c r="AW165" s="36">
        <f>G165*AO165</f>
        <v>0</v>
      </c>
      <c r="AX165" s="36">
        <f>G165*AP165</f>
        <v>0</v>
      </c>
      <c r="AY165" s="37" t="s">
        <v>373</v>
      </c>
      <c r="AZ165" s="37" t="s">
        <v>379</v>
      </c>
      <c r="BA165" s="31" t="s">
        <v>380</v>
      </c>
      <c r="BC165" s="36">
        <f>AW165+AX165</f>
        <v>0</v>
      </c>
      <c r="BD165" s="36">
        <f>H165/(100-BE165)*100</f>
        <v>0</v>
      </c>
      <c r="BE165" s="36">
        <v>0</v>
      </c>
      <c r="BF165" s="36">
        <f>165</f>
        <v>165</v>
      </c>
      <c r="BH165" s="18">
        <f>G165*AO165</f>
        <v>0</v>
      </c>
      <c r="BI165" s="18">
        <f>G165*AP165</f>
        <v>0</v>
      </c>
      <c r="BJ165" s="18">
        <f>G165*H165</f>
        <v>0</v>
      </c>
    </row>
    <row r="166" spans="1:47" ht="12.75">
      <c r="A166" s="5"/>
      <c r="B166" s="14" t="s">
        <v>197</v>
      </c>
      <c r="C166" s="110" t="s">
        <v>309</v>
      </c>
      <c r="D166" s="111"/>
      <c r="E166" s="111"/>
      <c r="F166" s="5" t="s">
        <v>6</v>
      </c>
      <c r="G166" s="5" t="s">
        <v>6</v>
      </c>
      <c r="H166" s="5" t="s">
        <v>6</v>
      </c>
      <c r="I166" s="39">
        <f>SUM(I167:I176)</f>
        <v>0</v>
      </c>
      <c r="J166" s="39">
        <f>SUM(J167:J176)</f>
        <v>0</v>
      </c>
      <c r="K166" s="39">
        <f>SUM(K167:K176)</f>
        <v>0</v>
      </c>
      <c r="L166" s="31"/>
      <c r="AI166" s="31"/>
      <c r="AS166" s="39">
        <f>SUM(AJ167:AJ176)</f>
        <v>0</v>
      </c>
      <c r="AT166" s="39">
        <f>SUM(AK167:AK176)</f>
        <v>0</v>
      </c>
      <c r="AU166" s="39">
        <f>SUM(AL167:AL176)</f>
        <v>0</v>
      </c>
    </row>
    <row r="167" spans="1:62" ht="12.75">
      <c r="A167" s="4" t="s">
        <v>91</v>
      </c>
      <c r="B167" s="4" t="s">
        <v>198</v>
      </c>
      <c r="C167" s="106" t="s">
        <v>310</v>
      </c>
      <c r="D167" s="107"/>
      <c r="E167" s="107"/>
      <c r="F167" s="4" t="s">
        <v>327</v>
      </c>
      <c r="G167" s="18">
        <v>199.1415</v>
      </c>
      <c r="H167" s="74">
        <v>0</v>
      </c>
      <c r="I167" s="18">
        <f aca="true" t="shared" si="44" ref="I167:I176">G167*AO167</f>
        <v>0</v>
      </c>
      <c r="J167" s="18">
        <f aca="true" t="shared" si="45" ref="J167:J176">G167*AP167</f>
        <v>0</v>
      </c>
      <c r="K167" s="18">
        <f aca="true" t="shared" si="46" ref="K167:K176">G167*H167</f>
        <v>0</v>
      </c>
      <c r="L167" s="30" t="s">
        <v>348</v>
      </c>
      <c r="Z167" s="36">
        <f aca="true" t="shared" si="47" ref="Z167:Z176">IF(AQ167="5",BJ167,0)</f>
        <v>0</v>
      </c>
      <c r="AB167" s="36">
        <f aca="true" t="shared" si="48" ref="AB167:AB176">IF(AQ167="1",BH167,0)</f>
        <v>0</v>
      </c>
      <c r="AC167" s="36">
        <f aca="true" t="shared" si="49" ref="AC167:AC176">IF(AQ167="1",BI167,0)</f>
        <v>0</v>
      </c>
      <c r="AD167" s="36">
        <f aca="true" t="shared" si="50" ref="AD167:AD176">IF(AQ167="7",BH167,0)</f>
        <v>0</v>
      </c>
      <c r="AE167" s="36">
        <f aca="true" t="shared" si="51" ref="AE167:AE176">IF(AQ167="7",BI167,0)</f>
        <v>0</v>
      </c>
      <c r="AF167" s="36">
        <f aca="true" t="shared" si="52" ref="AF167:AF176">IF(AQ167="2",BH167,0)</f>
        <v>0</v>
      </c>
      <c r="AG167" s="36">
        <f aca="true" t="shared" si="53" ref="AG167:AG176">IF(AQ167="2",BI167,0)</f>
        <v>0</v>
      </c>
      <c r="AH167" s="36">
        <f aca="true" t="shared" si="54" ref="AH167:AH176">IF(AQ167="0",BJ167,0)</f>
        <v>0</v>
      </c>
      <c r="AI167" s="31"/>
      <c r="AJ167" s="18">
        <f aca="true" t="shared" si="55" ref="AJ167:AJ176">IF(AN167=0,K167,0)</f>
        <v>0</v>
      </c>
      <c r="AK167" s="18">
        <f aca="true" t="shared" si="56" ref="AK167:AK176">IF(AN167=15,K167,0)</f>
        <v>0</v>
      </c>
      <c r="AL167" s="18">
        <f aca="true" t="shared" si="57" ref="AL167:AL176">IF(AN167=21,K167,0)</f>
        <v>0</v>
      </c>
      <c r="AN167" s="36">
        <v>21</v>
      </c>
      <c r="AO167" s="36">
        <f aca="true" t="shared" si="58" ref="AO167:AO176">H167*0</f>
        <v>0</v>
      </c>
      <c r="AP167" s="36">
        <f aca="true" t="shared" si="59" ref="AP167:AP176">H167*(1-0)</f>
        <v>0</v>
      </c>
      <c r="AQ167" s="30" t="s">
        <v>11</v>
      </c>
      <c r="AV167" s="36">
        <f aca="true" t="shared" si="60" ref="AV167:AV176">AW167+AX167</f>
        <v>0</v>
      </c>
      <c r="AW167" s="36">
        <f aca="true" t="shared" si="61" ref="AW167:AW176">G167*AO167</f>
        <v>0</v>
      </c>
      <c r="AX167" s="36">
        <f aca="true" t="shared" si="62" ref="AX167:AX176">G167*AP167</f>
        <v>0</v>
      </c>
      <c r="AY167" s="37" t="s">
        <v>374</v>
      </c>
      <c r="AZ167" s="37" t="s">
        <v>379</v>
      </c>
      <c r="BA167" s="31" t="s">
        <v>380</v>
      </c>
      <c r="BC167" s="36">
        <f aca="true" t="shared" si="63" ref="BC167:BC176">AW167+AX167</f>
        <v>0</v>
      </c>
      <c r="BD167" s="36">
        <f aca="true" t="shared" si="64" ref="BD167:BD176">H167/(100-BE167)*100</f>
        <v>0</v>
      </c>
      <c r="BE167" s="36">
        <v>0</v>
      </c>
      <c r="BF167" s="36">
        <f>167</f>
        <v>167</v>
      </c>
      <c r="BH167" s="18">
        <f aca="true" t="shared" si="65" ref="BH167:BH176">G167*AO167</f>
        <v>0</v>
      </c>
      <c r="BI167" s="18">
        <f aca="true" t="shared" si="66" ref="BI167:BI176">G167*AP167</f>
        <v>0</v>
      </c>
      <c r="BJ167" s="18">
        <f aca="true" t="shared" si="67" ref="BJ167:BJ176">G167*H167</f>
        <v>0</v>
      </c>
    </row>
    <row r="168" spans="1:62" ht="12.75">
      <c r="A168" s="4" t="s">
        <v>92</v>
      </c>
      <c r="B168" s="4" t="s">
        <v>199</v>
      </c>
      <c r="C168" s="106" t="s">
        <v>311</v>
      </c>
      <c r="D168" s="107"/>
      <c r="E168" s="107"/>
      <c r="F168" s="4" t="s">
        <v>327</v>
      </c>
      <c r="G168" s="18">
        <v>3982.83</v>
      </c>
      <c r="H168" s="74">
        <v>0</v>
      </c>
      <c r="I168" s="18">
        <f t="shared" si="44"/>
        <v>0</v>
      </c>
      <c r="J168" s="18">
        <f t="shared" si="45"/>
        <v>0</v>
      </c>
      <c r="K168" s="18">
        <f t="shared" si="46"/>
        <v>0</v>
      </c>
      <c r="L168" s="30" t="s">
        <v>348</v>
      </c>
      <c r="Z168" s="36">
        <f t="shared" si="47"/>
        <v>0</v>
      </c>
      <c r="AB168" s="36">
        <f t="shared" si="48"/>
        <v>0</v>
      </c>
      <c r="AC168" s="36">
        <f t="shared" si="49"/>
        <v>0</v>
      </c>
      <c r="AD168" s="36">
        <f t="shared" si="50"/>
        <v>0</v>
      </c>
      <c r="AE168" s="36">
        <f t="shared" si="51"/>
        <v>0</v>
      </c>
      <c r="AF168" s="36">
        <f t="shared" si="52"/>
        <v>0</v>
      </c>
      <c r="AG168" s="36">
        <f t="shared" si="53"/>
        <v>0</v>
      </c>
      <c r="AH168" s="36">
        <f t="shared" si="54"/>
        <v>0</v>
      </c>
      <c r="AI168" s="31"/>
      <c r="AJ168" s="18">
        <f t="shared" si="55"/>
        <v>0</v>
      </c>
      <c r="AK168" s="18">
        <f t="shared" si="56"/>
        <v>0</v>
      </c>
      <c r="AL168" s="18">
        <f t="shared" si="57"/>
        <v>0</v>
      </c>
      <c r="AN168" s="36">
        <v>21</v>
      </c>
      <c r="AO168" s="36">
        <f t="shared" si="58"/>
        <v>0</v>
      </c>
      <c r="AP168" s="36">
        <f t="shared" si="59"/>
        <v>0</v>
      </c>
      <c r="AQ168" s="30" t="s">
        <v>11</v>
      </c>
      <c r="AV168" s="36">
        <f t="shared" si="60"/>
        <v>0</v>
      </c>
      <c r="AW168" s="36">
        <f t="shared" si="61"/>
        <v>0</v>
      </c>
      <c r="AX168" s="36">
        <f t="shared" si="62"/>
        <v>0</v>
      </c>
      <c r="AY168" s="37" t="s">
        <v>374</v>
      </c>
      <c r="AZ168" s="37" t="s">
        <v>379</v>
      </c>
      <c r="BA168" s="31" t="s">
        <v>380</v>
      </c>
      <c r="BC168" s="36">
        <f t="shared" si="63"/>
        <v>0</v>
      </c>
      <c r="BD168" s="36">
        <f t="shared" si="64"/>
        <v>0</v>
      </c>
      <c r="BE168" s="36">
        <v>0</v>
      </c>
      <c r="BF168" s="36">
        <f>168</f>
        <v>168</v>
      </c>
      <c r="BH168" s="18">
        <f t="shared" si="65"/>
        <v>0</v>
      </c>
      <c r="BI168" s="18">
        <f t="shared" si="66"/>
        <v>0</v>
      </c>
      <c r="BJ168" s="18">
        <f t="shared" si="67"/>
        <v>0</v>
      </c>
    </row>
    <row r="169" spans="1:62" ht="12.75">
      <c r="A169" s="4" t="s">
        <v>93</v>
      </c>
      <c r="B169" s="4" t="s">
        <v>200</v>
      </c>
      <c r="C169" s="106" t="s">
        <v>312</v>
      </c>
      <c r="D169" s="107"/>
      <c r="E169" s="107"/>
      <c r="F169" s="4" t="s">
        <v>327</v>
      </c>
      <c r="G169" s="18">
        <v>199.1415</v>
      </c>
      <c r="H169" s="74">
        <v>0</v>
      </c>
      <c r="I169" s="18">
        <f t="shared" si="44"/>
        <v>0</v>
      </c>
      <c r="J169" s="18">
        <f t="shared" si="45"/>
        <v>0</v>
      </c>
      <c r="K169" s="18">
        <f t="shared" si="46"/>
        <v>0</v>
      </c>
      <c r="L169" s="30" t="s">
        <v>348</v>
      </c>
      <c r="Z169" s="36">
        <f t="shared" si="47"/>
        <v>0</v>
      </c>
      <c r="AB169" s="36">
        <f t="shared" si="48"/>
        <v>0</v>
      </c>
      <c r="AC169" s="36">
        <f t="shared" si="49"/>
        <v>0</v>
      </c>
      <c r="AD169" s="36">
        <f t="shared" si="50"/>
        <v>0</v>
      </c>
      <c r="AE169" s="36">
        <f t="shared" si="51"/>
        <v>0</v>
      </c>
      <c r="AF169" s="36">
        <f t="shared" si="52"/>
        <v>0</v>
      </c>
      <c r="AG169" s="36">
        <f t="shared" si="53"/>
        <v>0</v>
      </c>
      <c r="AH169" s="36">
        <f t="shared" si="54"/>
        <v>0</v>
      </c>
      <c r="AI169" s="31"/>
      <c r="AJ169" s="18">
        <f t="shared" si="55"/>
        <v>0</v>
      </c>
      <c r="AK169" s="18">
        <f t="shared" si="56"/>
        <v>0</v>
      </c>
      <c r="AL169" s="18">
        <f t="shared" si="57"/>
        <v>0</v>
      </c>
      <c r="AN169" s="36">
        <v>21</v>
      </c>
      <c r="AO169" s="36">
        <f t="shared" si="58"/>
        <v>0</v>
      </c>
      <c r="AP169" s="36">
        <f t="shared" si="59"/>
        <v>0</v>
      </c>
      <c r="AQ169" s="30" t="s">
        <v>11</v>
      </c>
      <c r="AV169" s="36">
        <f t="shared" si="60"/>
        <v>0</v>
      </c>
      <c r="AW169" s="36">
        <f t="shared" si="61"/>
        <v>0</v>
      </c>
      <c r="AX169" s="36">
        <f t="shared" si="62"/>
        <v>0</v>
      </c>
      <c r="AY169" s="37" t="s">
        <v>374</v>
      </c>
      <c r="AZ169" s="37" t="s">
        <v>379</v>
      </c>
      <c r="BA169" s="31" t="s">
        <v>380</v>
      </c>
      <c r="BC169" s="36">
        <f t="shared" si="63"/>
        <v>0</v>
      </c>
      <c r="BD169" s="36">
        <f t="shared" si="64"/>
        <v>0</v>
      </c>
      <c r="BE169" s="36">
        <v>0</v>
      </c>
      <c r="BF169" s="36">
        <f>169</f>
        <v>169</v>
      </c>
      <c r="BH169" s="18">
        <f t="shared" si="65"/>
        <v>0</v>
      </c>
      <c r="BI169" s="18">
        <f t="shared" si="66"/>
        <v>0</v>
      </c>
      <c r="BJ169" s="18">
        <f t="shared" si="67"/>
        <v>0</v>
      </c>
    </row>
    <row r="170" spans="1:62" ht="12.75">
      <c r="A170" s="4" t="s">
        <v>94</v>
      </c>
      <c r="B170" s="4" t="s">
        <v>201</v>
      </c>
      <c r="C170" s="106" t="s">
        <v>313</v>
      </c>
      <c r="D170" s="107"/>
      <c r="E170" s="107"/>
      <c r="F170" s="4" t="s">
        <v>327</v>
      </c>
      <c r="G170" s="18">
        <v>398.283</v>
      </c>
      <c r="H170" s="74">
        <v>0</v>
      </c>
      <c r="I170" s="18">
        <f t="shared" si="44"/>
        <v>0</v>
      </c>
      <c r="J170" s="18">
        <f t="shared" si="45"/>
        <v>0</v>
      </c>
      <c r="K170" s="18">
        <f t="shared" si="46"/>
        <v>0</v>
      </c>
      <c r="L170" s="30" t="s">
        <v>348</v>
      </c>
      <c r="Z170" s="36">
        <f t="shared" si="47"/>
        <v>0</v>
      </c>
      <c r="AB170" s="36">
        <f t="shared" si="48"/>
        <v>0</v>
      </c>
      <c r="AC170" s="36">
        <f t="shared" si="49"/>
        <v>0</v>
      </c>
      <c r="AD170" s="36">
        <f t="shared" si="50"/>
        <v>0</v>
      </c>
      <c r="AE170" s="36">
        <f t="shared" si="51"/>
        <v>0</v>
      </c>
      <c r="AF170" s="36">
        <f t="shared" si="52"/>
        <v>0</v>
      </c>
      <c r="AG170" s="36">
        <f t="shared" si="53"/>
        <v>0</v>
      </c>
      <c r="AH170" s="36">
        <f t="shared" si="54"/>
        <v>0</v>
      </c>
      <c r="AI170" s="31"/>
      <c r="AJ170" s="18">
        <f t="shared" si="55"/>
        <v>0</v>
      </c>
      <c r="AK170" s="18">
        <f t="shared" si="56"/>
        <v>0</v>
      </c>
      <c r="AL170" s="18">
        <f t="shared" si="57"/>
        <v>0</v>
      </c>
      <c r="AN170" s="36">
        <v>21</v>
      </c>
      <c r="AO170" s="36">
        <f t="shared" si="58"/>
        <v>0</v>
      </c>
      <c r="AP170" s="36">
        <f t="shared" si="59"/>
        <v>0</v>
      </c>
      <c r="AQ170" s="30" t="s">
        <v>11</v>
      </c>
      <c r="AV170" s="36">
        <f t="shared" si="60"/>
        <v>0</v>
      </c>
      <c r="AW170" s="36">
        <f t="shared" si="61"/>
        <v>0</v>
      </c>
      <c r="AX170" s="36">
        <f t="shared" si="62"/>
        <v>0</v>
      </c>
      <c r="AY170" s="37" t="s">
        <v>374</v>
      </c>
      <c r="AZ170" s="37" t="s">
        <v>379</v>
      </c>
      <c r="BA170" s="31" t="s">
        <v>380</v>
      </c>
      <c r="BC170" s="36">
        <f t="shared" si="63"/>
        <v>0</v>
      </c>
      <c r="BD170" s="36">
        <f t="shared" si="64"/>
        <v>0</v>
      </c>
      <c r="BE170" s="36">
        <v>0</v>
      </c>
      <c r="BF170" s="36">
        <f>170</f>
        <v>170</v>
      </c>
      <c r="BH170" s="18">
        <f t="shared" si="65"/>
        <v>0</v>
      </c>
      <c r="BI170" s="18">
        <f t="shared" si="66"/>
        <v>0</v>
      </c>
      <c r="BJ170" s="18">
        <f t="shared" si="67"/>
        <v>0</v>
      </c>
    </row>
    <row r="171" spans="1:62" ht="12.75">
      <c r="A171" s="4" t="s">
        <v>95</v>
      </c>
      <c r="B171" s="4" t="s">
        <v>202</v>
      </c>
      <c r="C171" s="106" t="s">
        <v>314</v>
      </c>
      <c r="D171" s="107"/>
      <c r="E171" s="107"/>
      <c r="F171" s="4" t="s">
        <v>327</v>
      </c>
      <c r="G171" s="18">
        <v>199.1415</v>
      </c>
      <c r="H171" s="74">
        <v>0</v>
      </c>
      <c r="I171" s="18">
        <f t="shared" si="44"/>
        <v>0</v>
      </c>
      <c r="J171" s="18">
        <f t="shared" si="45"/>
        <v>0</v>
      </c>
      <c r="K171" s="18">
        <f t="shared" si="46"/>
        <v>0</v>
      </c>
      <c r="L171" s="30" t="s">
        <v>348</v>
      </c>
      <c r="Z171" s="36">
        <f t="shared" si="47"/>
        <v>0</v>
      </c>
      <c r="AB171" s="36">
        <f t="shared" si="48"/>
        <v>0</v>
      </c>
      <c r="AC171" s="36">
        <f t="shared" si="49"/>
        <v>0</v>
      </c>
      <c r="AD171" s="36">
        <f t="shared" si="50"/>
        <v>0</v>
      </c>
      <c r="AE171" s="36">
        <f t="shared" si="51"/>
        <v>0</v>
      </c>
      <c r="AF171" s="36">
        <f t="shared" si="52"/>
        <v>0</v>
      </c>
      <c r="AG171" s="36">
        <f t="shared" si="53"/>
        <v>0</v>
      </c>
      <c r="AH171" s="36">
        <f t="shared" si="54"/>
        <v>0</v>
      </c>
      <c r="AI171" s="31"/>
      <c r="AJ171" s="18">
        <f t="shared" si="55"/>
        <v>0</v>
      </c>
      <c r="AK171" s="18">
        <f t="shared" si="56"/>
        <v>0</v>
      </c>
      <c r="AL171" s="18">
        <f t="shared" si="57"/>
        <v>0</v>
      </c>
      <c r="AN171" s="36">
        <v>21</v>
      </c>
      <c r="AO171" s="36">
        <f t="shared" si="58"/>
        <v>0</v>
      </c>
      <c r="AP171" s="36">
        <f t="shared" si="59"/>
        <v>0</v>
      </c>
      <c r="AQ171" s="30" t="s">
        <v>11</v>
      </c>
      <c r="AV171" s="36">
        <f t="shared" si="60"/>
        <v>0</v>
      </c>
      <c r="AW171" s="36">
        <f t="shared" si="61"/>
        <v>0</v>
      </c>
      <c r="AX171" s="36">
        <f t="shared" si="62"/>
        <v>0</v>
      </c>
      <c r="AY171" s="37" t="s">
        <v>374</v>
      </c>
      <c r="AZ171" s="37" t="s">
        <v>379</v>
      </c>
      <c r="BA171" s="31" t="s">
        <v>380</v>
      </c>
      <c r="BC171" s="36">
        <f t="shared" si="63"/>
        <v>0</v>
      </c>
      <c r="BD171" s="36">
        <f t="shared" si="64"/>
        <v>0</v>
      </c>
      <c r="BE171" s="36">
        <v>0</v>
      </c>
      <c r="BF171" s="36">
        <f>171</f>
        <v>171</v>
      </c>
      <c r="BH171" s="18">
        <f t="shared" si="65"/>
        <v>0</v>
      </c>
      <c r="BI171" s="18">
        <f t="shared" si="66"/>
        <v>0</v>
      </c>
      <c r="BJ171" s="18">
        <f t="shared" si="67"/>
        <v>0</v>
      </c>
    </row>
    <row r="172" spans="1:62" ht="12.75">
      <c r="A172" s="4" t="s">
        <v>96</v>
      </c>
      <c r="B172" s="4" t="s">
        <v>203</v>
      </c>
      <c r="C172" s="106" t="s">
        <v>315</v>
      </c>
      <c r="D172" s="107"/>
      <c r="E172" s="107"/>
      <c r="F172" s="4" t="s">
        <v>327</v>
      </c>
      <c r="G172" s="18">
        <v>5177.679</v>
      </c>
      <c r="H172" s="74">
        <v>0</v>
      </c>
      <c r="I172" s="18">
        <f t="shared" si="44"/>
        <v>0</v>
      </c>
      <c r="J172" s="18">
        <f t="shared" si="45"/>
        <v>0</v>
      </c>
      <c r="K172" s="18">
        <f t="shared" si="46"/>
        <v>0</v>
      </c>
      <c r="L172" s="30" t="s">
        <v>348</v>
      </c>
      <c r="Z172" s="36">
        <f t="shared" si="47"/>
        <v>0</v>
      </c>
      <c r="AB172" s="36">
        <f t="shared" si="48"/>
        <v>0</v>
      </c>
      <c r="AC172" s="36">
        <f t="shared" si="49"/>
        <v>0</v>
      </c>
      <c r="AD172" s="36">
        <f t="shared" si="50"/>
        <v>0</v>
      </c>
      <c r="AE172" s="36">
        <f t="shared" si="51"/>
        <v>0</v>
      </c>
      <c r="AF172" s="36">
        <f t="shared" si="52"/>
        <v>0</v>
      </c>
      <c r="AG172" s="36">
        <f t="shared" si="53"/>
        <v>0</v>
      </c>
      <c r="AH172" s="36">
        <f t="shared" si="54"/>
        <v>0</v>
      </c>
      <c r="AI172" s="31"/>
      <c r="AJ172" s="18">
        <f t="shared" si="55"/>
        <v>0</v>
      </c>
      <c r="AK172" s="18">
        <f t="shared" si="56"/>
        <v>0</v>
      </c>
      <c r="AL172" s="18">
        <f t="shared" si="57"/>
        <v>0</v>
      </c>
      <c r="AN172" s="36">
        <v>21</v>
      </c>
      <c r="AO172" s="36">
        <f t="shared" si="58"/>
        <v>0</v>
      </c>
      <c r="AP172" s="36">
        <f t="shared" si="59"/>
        <v>0</v>
      </c>
      <c r="AQ172" s="30" t="s">
        <v>11</v>
      </c>
      <c r="AV172" s="36">
        <f t="shared" si="60"/>
        <v>0</v>
      </c>
      <c r="AW172" s="36">
        <f t="shared" si="61"/>
        <v>0</v>
      </c>
      <c r="AX172" s="36">
        <f t="shared" si="62"/>
        <v>0</v>
      </c>
      <c r="AY172" s="37" t="s">
        <v>374</v>
      </c>
      <c r="AZ172" s="37" t="s">
        <v>379</v>
      </c>
      <c r="BA172" s="31" t="s">
        <v>380</v>
      </c>
      <c r="BC172" s="36">
        <f t="shared" si="63"/>
        <v>0</v>
      </c>
      <c r="BD172" s="36">
        <f t="shared" si="64"/>
        <v>0</v>
      </c>
      <c r="BE172" s="36">
        <v>0</v>
      </c>
      <c r="BF172" s="36">
        <f>172</f>
        <v>172</v>
      </c>
      <c r="BH172" s="18">
        <f t="shared" si="65"/>
        <v>0</v>
      </c>
      <c r="BI172" s="18">
        <f t="shared" si="66"/>
        <v>0</v>
      </c>
      <c r="BJ172" s="18">
        <f t="shared" si="67"/>
        <v>0</v>
      </c>
    </row>
    <row r="173" spans="1:62" ht="12.75">
      <c r="A173" s="4" t="s">
        <v>97</v>
      </c>
      <c r="B173" s="4" t="s">
        <v>204</v>
      </c>
      <c r="C173" s="106" t="s">
        <v>316</v>
      </c>
      <c r="D173" s="107"/>
      <c r="E173" s="107"/>
      <c r="F173" s="4" t="s">
        <v>327</v>
      </c>
      <c r="G173" s="18">
        <v>1.0313</v>
      </c>
      <c r="H173" s="74">
        <v>0</v>
      </c>
      <c r="I173" s="18">
        <f t="shared" si="44"/>
        <v>0</v>
      </c>
      <c r="J173" s="18">
        <f t="shared" si="45"/>
        <v>0</v>
      </c>
      <c r="K173" s="18">
        <f t="shared" si="46"/>
        <v>0</v>
      </c>
      <c r="L173" s="30" t="s">
        <v>348</v>
      </c>
      <c r="Z173" s="36">
        <f t="shared" si="47"/>
        <v>0</v>
      </c>
      <c r="AB173" s="36">
        <f t="shared" si="48"/>
        <v>0</v>
      </c>
      <c r="AC173" s="36">
        <f t="shared" si="49"/>
        <v>0</v>
      </c>
      <c r="AD173" s="36">
        <f t="shared" si="50"/>
        <v>0</v>
      </c>
      <c r="AE173" s="36">
        <f t="shared" si="51"/>
        <v>0</v>
      </c>
      <c r="AF173" s="36">
        <f t="shared" si="52"/>
        <v>0</v>
      </c>
      <c r="AG173" s="36">
        <f t="shared" si="53"/>
        <v>0</v>
      </c>
      <c r="AH173" s="36">
        <f t="shared" si="54"/>
        <v>0</v>
      </c>
      <c r="AI173" s="31"/>
      <c r="AJ173" s="18">
        <f t="shared" si="55"/>
        <v>0</v>
      </c>
      <c r="AK173" s="18">
        <f t="shared" si="56"/>
        <v>0</v>
      </c>
      <c r="AL173" s="18">
        <f t="shared" si="57"/>
        <v>0</v>
      </c>
      <c r="AN173" s="36">
        <v>21</v>
      </c>
      <c r="AO173" s="36">
        <f t="shared" si="58"/>
        <v>0</v>
      </c>
      <c r="AP173" s="36">
        <f t="shared" si="59"/>
        <v>0</v>
      </c>
      <c r="AQ173" s="30" t="s">
        <v>11</v>
      </c>
      <c r="AV173" s="36">
        <f t="shared" si="60"/>
        <v>0</v>
      </c>
      <c r="AW173" s="36">
        <f t="shared" si="61"/>
        <v>0</v>
      </c>
      <c r="AX173" s="36">
        <f t="shared" si="62"/>
        <v>0</v>
      </c>
      <c r="AY173" s="37" t="s">
        <v>374</v>
      </c>
      <c r="AZ173" s="37" t="s">
        <v>379</v>
      </c>
      <c r="BA173" s="31" t="s">
        <v>380</v>
      </c>
      <c r="BC173" s="36">
        <f t="shared" si="63"/>
        <v>0</v>
      </c>
      <c r="BD173" s="36">
        <f t="shared" si="64"/>
        <v>0</v>
      </c>
      <c r="BE173" s="36">
        <v>0</v>
      </c>
      <c r="BF173" s="36">
        <f>173</f>
        <v>173</v>
      </c>
      <c r="BH173" s="18">
        <f t="shared" si="65"/>
        <v>0</v>
      </c>
      <c r="BI173" s="18">
        <f t="shared" si="66"/>
        <v>0</v>
      </c>
      <c r="BJ173" s="18">
        <f t="shared" si="67"/>
        <v>0</v>
      </c>
    </row>
    <row r="174" spans="1:62" ht="12.75">
      <c r="A174" s="4" t="s">
        <v>98</v>
      </c>
      <c r="B174" s="4" t="s">
        <v>205</v>
      </c>
      <c r="C174" s="106" t="s">
        <v>317</v>
      </c>
      <c r="D174" s="107"/>
      <c r="E174" s="107"/>
      <c r="F174" s="4" t="s">
        <v>327</v>
      </c>
      <c r="G174" s="18">
        <v>172.8653</v>
      </c>
      <c r="H174" s="74">
        <v>0</v>
      </c>
      <c r="I174" s="18">
        <f t="shared" si="44"/>
        <v>0</v>
      </c>
      <c r="J174" s="18">
        <f t="shared" si="45"/>
        <v>0</v>
      </c>
      <c r="K174" s="18">
        <f t="shared" si="46"/>
        <v>0</v>
      </c>
      <c r="L174" s="30" t="s">
        <v>348</v>
      </c>
      <c r="Z174" s="36">
        <f t="shared" si="47"/>
        <v>0</v>
      </c>
      <c r="AB174" s="36">
        <f t="shared" si="48"/>
        <v>0</v>
      </c>
      <c r="AC174" s="36">
        <f t="shared" si="49"/>
        <v>0</v>
      </c>
      <c r="AD174" s="36">
        <f t="shared" si="50"/>
        <v>0</v>
      </c>
      <c r="AE174" s="36">
        <f t="shared" si="51"/>
        <v>0</v>
      </c>
      <c r="AF174" s="36">
        <f t="shared" si="52"/>
        <v>0</v>
      </c>
      <c r="AG174" s="36">
        <f t="shared" si="53"/>
        <v>0</v>
      </c>
      <c r="AH174" s="36">
        <f t="shared" si="54"/>
        <v>0</v>
      </c>
      <c r="AI174" s="31"/>
      <c r="AJ174" s="18">
        <f t="shared" si="55"/>
        <v>0</v>
      </c>
      <c r="AK174" s="18">
        <f t="shared" si="56"/>
        <v>0</v>
      </c>
      <c r="AL174" s="18">
        <f t="shared" si="57"/>
        <v>0</v>
      </c>
      <c r="AN174" s="36">
        <v>21</v>
      </c>
      <c r="AO174" s="36">
        <f t="shared" si="58"/>
        <v>0</v>
      </c>
      <c r="AP174" s="36">
        <f t="shared" si="59"/>
        <v>0</v>
      </c>
      <c r="AQ174" s="30" t="s">
        <v>11</v>
      </c>
      <c r="AV174" s="36">
        <f t="shared" si="60"/>
        <v>0</v>
      </c>
      <c r="AW174" s="36">
        <f t="shared" si="61"/>
        <v>0</v>
      </c>
      <c r="AX174" s="36">
        <f t="shared" si="62"/>
        <v>0</v>
      </c>
      <c r="AY174" s="37" t="s">
        <v>374</v>
      </c>
      <c r="AZ174" s="37" t="s">
        <v>379</v>
      </c>
      <c r="BA174" s="31" t="s">
        <v>380</v>
      </c>
      <c r="BC174" s="36">
        <f t="shared" si="63"/>
        <v>0</v>
      </c>
      <c r="BD174" s="36">
        <f t="shared" si="64"/>
        <v>0</v>
      </c>
      <c r="BE174" s="36">
        <v>0</v>
      </c>
      <c r="BF174" s="36">
        <f>174</f>
        <v>174</v>
      </c>
      <c r="BH174" s="18">
        <f t="shared" si="65"/>
        <v>0</v>
      </c>
      <c r="BI174" s="18">
        <f t="shared" si="66"/>
        <v>0</v>
      </c>
      <c r="BJ174" s="18">
        <f t="shared" si="67"/>
        <v>0</v>
      </c>
    </row>
    <row r="175" spans="1:62" ht="12.75">
      <c r="A175" s="4" t="s">
        <v>99</v>
      </c>
      <c r="B175" s="4" t="s">
        <v>206</v>
      </c>
      <c r="C175" s="106" t="s">
        <v>318</v>
      </c>
      <c r="D175" s="107"/>
      <c r="E175" s="107"/>
      <c r="F175" s="4" t="s">
        <v>327</v>
      </c>
      <c r="G175" s="18">
        <v>0.1496</v>
      </c>
      <c r="H175" s="74">
        <v>0</v>
      </c>
      <c r="I175" s="18">
        <f t="shared" si="44"/>
        <v>0</v>
      </c>
      <c r="J175" s="18">
        <f t="shared" si="45"/>
        <v>0</v>
      </c>
      <c r="K175" s="18">
        <f t="shared" si="46"/>
        <v>0</v>
      </c>
      <c r="L175" s="30" t="s">
        <v>348</v>
      </c>
      <c r="Z175" s="36">
        <f t="shared" si="47"/>
        <v>0</v>
      </c>
      <c r="AB175" s="36">
        <f t="shared" si="48"/>
        <v>0</v>
      </c>
      <c r="AC175" s="36">
        <f t="shared" si="49"/>
        <v>0</v>
      </c>
      <c r="AD175" s="36">
        <f t="shared" si="50"/>
        <v>0</v>
      </c>
      <c r="AE175" s="36">
        <f t="shared" si="51"/>
        <v>0</v>
      </c>
      <c r="AF175" s="36">
        <f t="shared" si="52"/>
        <v>0</v>
      </c>
      <c r="AG175" s="36">
        <f t="shared" si="53"/>
        <v>0</v>
      </c>
      <c r="AH175" s="36">
        <f t="shared" si="54"/>
        <v>0</v>
      </c>
      <c r="AI175" s="31"/>
      <c r="AJ175" s="18">
        <f t="shared" si="55"/>
        <v>0</v>
      </c>
      <c r="AK175" s="18">
        <f t="shared" si="56"/>
        <v>0</v>
      </c>
      <c r="AL175" s="18">
        <f t="shared" si="57"/>
        <v>0</v>
      </c>
      <c r="AN175" s="36">
        <v>21</v>
      </c>
      <c r="AO175" s="36">
        <f t="shared" si="58"/>
        <v>0</v>
      </c>
      <c r="AP175" s="36">
        <f t="shared" si="59"/>
        <v>0</v>
      </c>
      <c r="AQ175" s="30" t="s">
        <v>11</v>
      </c>
      <c r="AV175" s="36">
        <f t="shared" si="60"/>
        <v>0</v>
      </c>
      <c r="AW175" s="36">
        <f t="shared" si="61"/>
        <v>0</v>
      </c>
      <c r="AX175" s="36">
        <f t="shared" si="62"/>
        <v>0</v>
      </c>
      <c r="AY175" s="37" t="s">
        <v>374</v>
      </c>
      <c r="AZ175" s="37" t="s">
        <v>379</v>
      </c>
      <c r="BA175" s="31" t="s">
        <v>380</v>
      </c>
      <c r="BC175" s="36">
        <f t="shared" si="63"/>
        <v>0</v>
      </c>
      <c r="BD175" s="36">
        <f t="shared" si="64"/>
        <v>0</v>
      </c>
      <c r="BE175" s="36">
        <v>0</v>
      </c>
      <c r="BF175" s="36">
        <f>175</f>
        <v>175</v>
      </c>
      <c r="BH175" s="18">
        <f t="shared" si="65"/>
        <v>0</v>
      </c>
      <c r="BI175" s="18">
        <f t="shared" si="66"/>
        <v>0</v>
      </c>
      <c r="BJ175" s="18">
        <f t="shared" si="67"/>
        <v>0</v>
      </c>
    </row>
    <row r="176" spans="1:62" ht="12.75">
      <c r="A176" s="7" t="s">
        <v>100</v>
      </c>
      <c r="B176" s="7" t="s">
        <v>207</v>
      </c>
      <c r="C176" s="119" t="s">
        <v>319</v>
      </c>
      <c r="D176" s="120"/>
      <c r="E176" s="120"/>
      <c r="F176" s="7" t="s">
        <v>327</v>
      </c>
      <c r="G176" s="21">
        <v>25.0953</v>
      </c>
      <c r="H176" s="75">
        <v>0</v>
      </c>
      <c r="I176" s="21">
        <f t="shared" si="44"/>
        <v>0</v>
      </c>
      <c r="J176" s="21">
        <f t="shared" si="45"/>
        <v>0</v>
      </c>
      <c r="K176" s="21">
        <f t="shared" si="46"/>
        <v>0</v>
      </c>
      <c r="L176" s="33" t="s">
        <v>348</v>
      </c>
      <c r="Z176" s="36">
        <f t="shared" si="47"/>
        <v>0</v>
      </c>
      <c r="AB176" s="36">
        <f t="shared" si="48"/>
        <v>0</v>
      </c>
      <c r="AC176" s="36">
        <f t="shared" si="49"/>
        <v>0</v>
      </c>
      <c r="AD176" s="36">
        <f t="shared" si="50"/>
        <v>0</v>
      </c>
      <c r="AE176" s="36">
        <f t="shared" si="51"/>
        <v>0</v>
      </c>
      <c r="AF176" s="36">
        <f t="shared" si="52"/>
        <v>0</v>
      </c>
      <c r="AG176" s="36">
        <f t="shared" si="53"/>
        <v>0</v>
      </c>
      <c r="AH176" s="36">
        <f t="shared" si="54"/>
        <v>0</v>
      </c>
      <c r="AI176" s="31"/>
      <c r="AJ176" s="18">
        <f t="shared" si="55"/>
        <v>0</v>
      </c>
      <c r="AK176" s="18">
        <f t="shared" si="56"/>
        <v>0</v>
      </c>
      <c r="AL176" s="18">
        <f t="shared" si="57"/>
        <v>0</v>
      </c>
      <c r="AN176" s="36">
        <v>21</v>
      </c>
      <c r="AO176" s="36">
        <f t="shared" si="58"/>
        <v>0</v>
      </c>
      <c r="AP176" s="36">
        <f t="shared" si="59"/>
        <v>0</v>
      </c>
      <c r="AQ176" s="30" t="s">
        <v>11</v>
      </c>
      <c r="AV176" s="36">
        <f t="shared" si="60"/>
        <v>0</v>
      </c>
      <c r="AW176" s="36">
        <f t="shared" si="61"/>
        <v>0</v>
      </c>
      <c r="AX176" s="36">
        <f t="shared" si="62"/>
        <v>0</v>
      </c>
      <c r="AY176" s="37" t="s">
        <v>374</v>
      </c>
      <c r="AZ176" s="37" t="s">
        <v>379</v>
      </c>
      <c r="BA176" s="31" t="s">
        <v>380</v>
      </c>
      <c r="BC176" s="36">
        <f t="shared" si="63"/>
        <v>0</v>
      </c>
      <c r="BD176" s="36">
        <f t="shared" si="64"/>
        <v>0</v>
      </c>
      <c r="BE176" s="36">
        <v>0</v>
      </c>
      <c r="BF176" s="36">
        <f>176</f>
        <v>176</v>
      </c>
      <c r="BH176" s="18">
        <f t="shared" si="65"/>
        <v>0</v>
      </c>
      <c r="BI176" s="18">
        <f t="shared" si="66"/>
        <v>0</v>
      </c>
      <c r="BJ176" s="18">
        <f t="shared" si="67"/>
        <v>0</v>
      </c>
    </row>
    <row r="177" spans="1:62" ht="12.75">
      <c r="A177" s="5"/>
      <c r="B177" s="14" t="s">
        <v>511</v>
      </c>
      <c r="C177" s="110" t="s">
        <v>512</v>
      </c>
      <c r="D177" s="111"/>
      <c r="E177" s="111"/>
      <c r="F177" s="5" t="s">
        <v>6</v>
      </c>
      <c r="G177" s="5" t="s">
        <v>6</v>
      </c>
      <c r="H177" s="5" t="s">
        <v>6</v>
      </c>
      <c r="I177" s="39">
        <f>SUM(I178:I194)</f>
        <v>0</v>
      </c>
      <c r="J177" s="39">
        <f>SUM(J178:J194)</f>
        <v>0</v>
      </c>
      <c r="K177" s="39">
        <f>SUM(K178:K194)</f>
        <v>0</v>
      </c>
      <c r="L177" s="31"/>
      <c r="Z177" s="36"/>
      <c r="AB177" s="36"/>
      <c r="AC177" s="36"/>
      <c r="AD177" s="36"/>
      <c r="AE177" s="36"/>
      <c r="AF177" s="36"/>
      <c r="AG177" s="36"/>
      <c r="AH177" s="36"/>
      <c r="AI177" s="31"/>
      <c r="AJ177" s="18"/>
      <c r="AK177" s="18"/>
      <c r="AL177" s="18"/>
      <c r="AN177" s="36"/>
      <c r="AO177" s="36"/>
      <c r="AP177" s="36"/>
      <c r="AQ177" s="30"/>
      <c r="AV177" s="36"/>
      <c r="AW177" s="36"/>
      <c r="AX177" s="36"/>
      <c r="AY177" s="37"/>
      <c r="AZ177" s="37"/>
      <c r="BA177" s="31"/>
      <c r="BC177" s="36"/>
      <c r="BD177" s="36"/>
      <c r="BE177" s="36"/>
      <c r="BF177" s="36"/>
      <c r="BH177" s="18"/>
      <c r="BI177" s="18"/>
      <c r="BJ177" s="18"/>
    </row>
    <row r="178" spans="1:62" ht="12.75">
      <c r="A178" s="4" t="s">
        <v>461</v>
      </c>
      <c r="B178" s="4" t="s">
        <v>462</v>
      </c>
      <c r="C178" s="106" t="s">
        <v>463</v>
      </c>
      <c r="D178" s="107"/>
      <c r="E178" s="107"/>
      <c r="F178" s="4" t="s">
        <v>331</v>
      </c>
      <c r="G178" s="18">
        <v>155</v>
      </c>
      <c r="H178" s="74">
        <v>0</v>
      </c>
      <c r="I178" s="18">
        <f aca="true" t="shared" si="68" ref="I178:I194">G178*AQ178</f>
        <v>0</v>
      </c>
      <c r="J178" s="18">
        <f aca="true" t="shared" si="69" ref="J178:J194">G178*AR178</f>
        <v>0</v>
      </c>
      <c r="K178" s="18">
        <f aca="true" t="shared" si="70" ref="K178:K194">G178*H178</f>
        <v>0</v>
      </c>
      <c r="L178" s="30"/>
      <c r="Z178" s="36"/>
      <c r="AB178" s="36"/>
      <c r="AC178" s="36"/>
      <c r="AD178" s="36"/>
      <c r="AE178" s="36"/>
      <c r="AF178" s="36"/>
      <c r="AG178" s="36"/>
      <c r="AH178" s="36"/>
      <c r="AI178" s="31"/>
      <c r="AJ178" s="18"/>
      <c r="AK178" s="18"/>
      <c r="AL178" s="18"/>
      <c r="AN178" s="36"/>
      <c r="AO178" s="36"/>
      <c r="AP178" s="36"/>
      <c r="AQ178" s="30"/>
      <c r="AV178" s="36"/>
      <c r="AW178" s="36"/>
      <c r="AX178" s="36"/>
      <c r="AY178" s="37"/>
      <c r="AZ178" s="37"/>
      <c r="BA178" s="31"/>
      <c r="BC178" s="36"/>
      <c r="BD178" s="36"/>
      <c r="BE178" s="36"/>
      <c r="BF178" s="36"/>
      <c r="BH178" s="18"/>
      <c r="BI178" s="18"/>
      <c r="BJ178" s="18"/>
    </row>
    <row r="179" spans="1:62" ht="12.75">
      <c r="A179" s="4" t="s">
        <v>187</v>
      </c>
      <c r="B179" s="4" t="s">
        <v>464</v>
      </c>
      <c r="C179" s="106" t="s">
        <v>465</v>
      </c>
      <c r="D179" s="107"/>
      <c r="E179" s="107"/>
      <c r="F179" s="4" t="s">
        <v>331</v>
      </c>
      <c r="G179" s="18">
        <v>136</v>
      </c>
      <c r="H179" s="74">
        <v>0</v>
      </c>
      <c r="I179" s="18">
        <f t="shared" si="68"/>
        <v>0</v>
      </c>
      <c r="J179" s="18">
        <f t="shared" si="69"/>
        <v>0</v>
      </c>
      <c r="K179" s="18">
        <f t="shared" si="70"/>
        <v>0</v>
      </c>
      <c r="L179" s="30"/>
      <c r="Z179" s="36"/>
      <c r="AB179" s="36"/>
      <c r="AC179" s="36"/>
      <c r="AD179" s="36"/>
      <c r="AE179" s="36"/>
      <c r="AF179" s="36"/>
      <c r="AG179" s="36"/>
      <c r="AH179" s="36"/>
      <c r="AI179" s="31"/>
      <c r="AJ179" s="18"/>
      <c r="AK179" s="18"/>
      <c r="AL179" s="18"/>
      <c r="AN179" s="36"/>
      <c r="AO179" s="36"/>
      <c r="AP179" s="36"/>
      <c r="AQ179" s="30"/>
      <c r="AV179" s="36"/>
      <c r="AW179" s="36"/>
      <c r="AX179" s="36"/>
      <c r="AY179" s="37"/>
      <c r="AZ179" s="37"/>
      <c r="BA179" s="31"/>
      <c r="BC179" s="36"/>
      <c r="BD179" s="36"/>
      <c r="BE179" s="36"/>
      <c r="BF179" s="36"/>
      <c r="BH179" s="18"/>
      <c r="BI179" s="18"/>
      <c r="BJ179" s="18"/>
    </row>
    <row r="180" spans="1:62" ht="12.75">
      <c r="A180" s="4" t="s">
        <v>192</v>
      </c>
      <c r="B180" s="4" t="s">
        <v>466</v>
      </c>
      <c r="C180" s="106" t="s">
        <v>467</v>
      </c>
      <c r="D180" s="107"/>
      <c r="E180" s="107"/>
      <c r="F180" s="4" t="s">
        <v>331</v>
      </c>
      <c r="G180" s="18">
        <v>291</v>
      </c>
      <c r="H180" s="74">
        <v>0</v>
      </c>
      <c r="I180" s="18">
        <f t="shared" si="68"/>
        <v>0</v>
      </c>
      <c r="J180" s="18">
        <f t="shared" si="69"/>
        <v>0</v>
      </c>
      <c r="K180" s="18">
        <f t="shared" si="70"/>
        <v>0</v>
      </c>
      <c r="L180" s="30"/>
      <c r="Z180" s="36"/>
      <c r="AB180" s="36"/>
      <c r="AC180" s="36"/>
      <c r="AD180" s="36"/>
      <c r="AE180" s="36"/>
      <c r="AF180" s="36"/>
      <c r="AG180" s="36"/>
      <c r="AH180" s="36"/>
      <c r="AI180" s="31"/>
      <c r="AJ180" s="18"/>
      <c r="AK180" s="18"/>
      <c r="AL180" s="18"/>
      <c r="AN180" s="36"/>
      <c r="AO180" s="36"/>
      <c r="AP180" s="36"/>
      <c r="AQ180" s="30"/>
      <c r="AV180" s="36"/>
      <c r="AW180" s="36"/>
      <c r="AX180" s="36"/>
      <c r="AY180" s="37"/>
      <c r="AZ180" s="37"/>
      <c r="BA180" s="31"/>
      <c r="BC180" s="36"/>
      <c r="BD180" s="36"/>
      <c r="BE180" s="36"/>
      <c r="BF180" s="36"/>
      <c r="BH180" s="18"/>
      <c r="BI180" s="18"/>
      <c r="BJ180" s="18"/>
    </row>
    <row r="181" spans="1:62" ht="12.75">
      <c r="A181" s="4" t="s">
        <v>468</v>
      </c>
      <c r="B181" s="4" t="s">
        <v>469</v>
      </c>
      <c r="C181" s="106" t="s">
        <v>470</v>
      </c>
      <c r="D181" s="107"/>
      <c r="E181" s="107"/>
      <c r="F181" s="4" t="s">
        <v>329</v>
      </c>
      <c r="G181" s="18">
        <v>3190</v>
      </c>
      <c r="H181" s="74">
        <v>0</v>
      </c>
      <c r="I181" s="18">
        <f t="shared" si="68"/>
        <v>0</v>
      </c>
      <c r="J181" s="18">
        <f t="shared" si="69"/>
        <v>0</v>
      </c>
      <c r="K181" s="18">
        <f t="shared" si="70"/>
        <v>0</v>
      </c>
      <c r="L181" s="30"/>
      <c r="Z181" s="36"/>
      <c r="AB181" s="36"/>
      <c r="AC181" s="36"/>
      <c r="AD181" s="36"/>
      <c r="AE181" s="36"/>
      <c r="AF181" s="36"/>
      <c r="AG181" s="36"/>
      <c r="AH181" s="36"/>
      <c r="AI181" s="31"/>
      <c r="AJ181" s="18"/>
      <c r="AK181" s="18"/>
      <c r="AL181" s="18"/>
      <c r="AN181" s="36"/>
      <c r="AO181" s="36"/>
      <c r="AP181" s="36"/>
      <c r="AQ181" s="30"/>
      <c r="AV181" s="36"/>
      <c r="AW181" s="36"/>
      <c r="AX181" s="36"/>
      <c r="AY181" s="37"/>
      <c r="AZ181" s="37"/>
      <c r="BA181" s="31"/>
      <c r="BC181" s="36"/>
      <c r="BD181" s="36"/>
      <c r="BE181" s="36"/>
      <c r="BF181" s="36"/>
      <c r="BH181" s="18"/>
      <c r="BI181" s="18"/>
      <c r="BJ181" s="18"/>
    </row>
    <row r="182" spans="1:62" ht="12.75">
      <c r="A182" s="4" t="s">
        <v>471</v>
      </c>
      <c r="B182" s="4" t="s">
        <v>472</v>
      </c>
      <c r="C182" s="106" t="s">
        <v>473</v>
      </c>
      <c r="D182" s="107"/>
      <c r="E182" s="107"/>
      <c r="F182" s="4" t="s">
        <v>331</v>
      </c>
      <c r="G182" s="18">
        <v>59</v>
      </c>
      <c r="H182" s="74">
        <v>0</v>
      </c>
      <c r="I182" s="18">
        <f t="shared" si="68"/>
        <v>0</v>
      </c>
      <c r="J182" s="18">
        <f t="shared" si="69"/>
        <v>0</v>
      </c>
      <c r="K182" s="18">
        <f t="shared" si="70"/>
        <v>0</v>
      </c>
      <c r="L182" s="30"/>
      <c r="Z182" s="36"/>
      <c r="AB182" s="36"/>
      <c r="AC182" s="36"/>
      <c r="AD182" s="36"/>
      <c r="AE182" s="36"/>
      <c r="AF182" s="36"/>
      <c r="AG182" s="36"/>
      <c r="AH182" s="36"/>
      <c r="AI182" s="31"/>
      <c r="AJ182" s="18"/>
      <c r="AK182" s="18"/>
      <c r="AL182" s="18"/>
      <c r="AN182" s="36"/>
      <c r="AO182" s="36"/>
      <c r="AP182" s="36"/>
      <c r="AQ182" s="30"/>
      <c r="AV182" s="36"/>
      <c r="AW182" s="36"/>
      <c r="AX182" s="36"/>
      <c r="AY182" s="37"/>
      <c r="AZ182" s="37"/>
      <c r="BA182" s="31"/>
      <c r="BC182" s="36"/>
      <c r="BD182" s="36"/>
      <c r="BE182" s="36"/>
      <c r="BF182" s="36"/>
      <c r="BH182" s="18"/>
      <c r="BI182" s="18"/>
      <c r="BJ182" s="18"/>
    </row>
    <row r="183" spans="1:62" ht="12.75">
      <c r="A183" s="4" t="s">
        <v>474</v>
      </c>
      <c r="B183" s="4" t="s">
        <v>475</v>
      </c>
      <c r="C183" s="106" t="s">
        <v>476</v>
      </c>
      <c r="D183" s="107"/>
      <c r="E183" s="107"/>
      <c r="F183" s="4" t="s">
        <v>331</v>
      </c>
      <c r="G183" s="18">
        <v>100</v>
      </c>
      <c r="H183" s="74">
        <v>0</v>
      </c>
      <c r="I183" s="18">
        <f t="shared" si="68"/>
        <v>0</v>
      </c>
      <c r="J183" s="18">
        <f t="shared" si="69"/>
        <v>0</v>
      </c>
      <c r="K183" s="18">
        <f t="shared" si="70"/>
        <v>0</v>
      </c>
      <c r="L183" s="30"/>
      <c r="Z183" s="36"/>
      <c r="AB183" s="36"/>
      <c r="AC183" s="36"/>
      <c r="AD183" s="36"/>
      <c r="AE183" s="36"/>
      <c r="AF183" s="36"/>
      <c r="AG183" s="36"/>
      <c r="AH183" s="36"/>
      <c r="AI183" s="31"/>
      <c r="AJ183" s="18"/>
      <c r="AK183" s="18"/>
      <c r="AL183" s="18"/>
      <c r="AN183" s="36"/>
      <c r="AO183" s="36"/>
      <c r="AP183" s="36"/>
      <c r="AQ183" s="30"/>
      <c r="AV183" s="36"/>
      <c r="AW183" s="36"/>
      <c r="AX183" s="36"/>
      <c r="AY183" s="37"/>
      <c r="AZ183" s="37"/>
      <c r="BA183" s="31"/>
      <c r="BC183" s="36"/>
      <c r="BD183" s="36"/>
      <c r="BE183" s="36"/>
      <c r="BF183" s="36"/>
      <c r="BH183" s="18"/>
      <c r="BI183" s="18"/>
      <c r="BJ183" s="18"/>
    </row>
    <row r="184" spans="1:62" ht="12.75">
      <c r="A184" s="4" t="s">
        <v>477</v>
      </c>
      <c r="B184" s="4" t="s">
        <v>478</v>
      </c>
      <c r="C184" s="106" t="s">
        <v>479</v>
      </c>
      <c r="D184" s="107"/>
      <c r="E184" s="107"/>
      <c r="F184" s="4" t="s">
        <v>331</v>
      </c>
      <c r="G184" s="18">
        <v>4</v>
      </c>
      <c r="H184" s="74">
        <v>0</v>
      </c>
      <c r="I184" s="18">
        <f t="shared" si="68"/>
        <v>0</v>
      </c>
      <c r="J184" s="18">
        <f t="shared" si="69"/>
        <v>0</v>
      </c>
      <c r="K184" s="18">
        <f t="shared" si="70"/>
        <v>0</v>
      </c>
      <c r="L184" s="30"/>
      <c r="Z184" s="36"/>
      <c r="AB184" s="36"/>
      <c r="AC184" s="36"/>
      <c r="AD184" s="36"/>
      <c r="AE184" s="36"/>
      <c r="AF184" s="36"/>
      <c r="AG184" s="36"/>
      <c r="AH184" s="36"/>
      <c r="AI184" s="31"/>
      <c r="AJ184" s="18"/>
      <c r="AK184" s="18"/>
      <c r="AL184" s="18"/>
      <c r="AN184" s="36"/>
      <c r="AO184" s="36"/>
      <c r="AP184" s="36"/>
      <c r="AQ184" s="30"/>
      <c r="AV184" s="36"/>
      <c r="AW184" s="36"/>
      <c r="AX184" s="36"/>
      <c r="AY184" s="37"/>
      <c r="AZ184" s="37"/>
      <c r="BA184" s="31"/>
      <c r="BC184" s="36"/>
      <c r="BD184" s="36"/>
      <c r="BE184" s="36"/>
      <c r="BF184" s="36"/>
      <c r="BH184" s="18"/>
      <c r="BI184" s="18"/>
      <c r="BJ184" s="18"/>
    </row>
    <row r="185" spans="1:62" ht="12.75">
      <c r="A185" s="4" t="s">
        <v>480</v>
      </c>
      <c r="B185" s="4" t="s">
        <v>481</v>
      </c>
      <c r="C185" s="106" t="s">
        <v>482</v>
      </c>
      <c r="D185" s="107"/>
      <c r="E185" s="107"/>
      <c r="F185" s="4" t="s">
        <v>331</v>
      </c>
      <c r="G185" s="18">
        <v>33</v>
      </c>
      <c r="H185" s="74">
        <v>0</v>
      </c>
      <c r="I185" s="18">
        <f t="shared" si="68"/>
        <v>0</v>
      </c>
      <c r="J185" s="18">
        <f t="shared" si="69"/>
        <v>0</v>
      </c>
      <c r="K185" s="18">
        <f t="shared" si="70"/>
        <v>0</v>
      </c>
      <c r="L185" s="30"/>
      <c r="Z185" s="36"/>
      <c r="AB185" s="36"/>
      <c r="AC185" s="36"/>
      <c r="AD185" s="36"/>
      <c r="AE185" s="36"/>
      <c r="AF185" s="36"/>
      <c r="AG185" s="36"/>
      <c r="AH185" s="36"/>
      <c r="AI185" s="31"/>
      <c r="AJ185" s="18"/>
      <c r="AK185" s="18"/>
      <c r="AL185" s="18"/>
      <c r="AN185" s="36"/>
      <c r="AO185" s="36"/>
      <c r="AP185" s="36"/>
      <c r="AQ185" s="30"/>
      <c r="AV185" s="36"/>
      <c r="AW185" s="36"/>
      <c r="AX185" s="36"/>
      <c r="AY185" s="37"/>
      <c r="AZ185" s="37"/>
      <c r="BA185" s="31"/>
      <c r="BC185" s="36"/>
      <c r="BD185" s="36"/>
      <c r="BE185" s="36"/>
      <c r="BF185" s="36"/>
      <c r="BH185" s="18"/>
      <c r="BI185" s="18"/>
      <c r="BJ185" s="18"/>
    </row>
    <row r="186" spans="1:62" ht="12.75">
      <c r="A186" s="4" t="s">
        <v>483</v>
      </c>
      <c r="B186" s="4" t="s">
        <v>484</v>
      </c>
      <c r="C186" s="106" t="s">
        <v>485</v>
      </c>
      <c r="D186" s="107"/>
      <c r="E186" s="107"/>
      <c r="F186" s="4" t="s">
        <v>331</v>
      </c>
      <c r="G186" s="18">
        <v>48</v>
      </c>
      <c r="H186" s="74">
        <v>0</v>
      </c>
      <c r="I186" s="18">
        <f t="shared" si="68"/>
        <v>0</v>
      </c>
      <c r="J186" s="18">
        <f t="shared" si="69"/>
        <v>0</v>
      </c>
      <c r="K186" s="18">
        <f t="shared" si="70"/>
        <v>0</v>
      </c>
      <c r="L186" s="30"/>
      <c r="Z186" s="36"/>
      <c r="AB186" s="36"/>
      <c r="AC186" s="36"/>
      <c r="AD186" s="36"/>
      <c r="AE186" s="36"/>
      <c r="AF186" s="36"/>
      <c r="AG186" s="36"/>
      <c r="AH186" s="36"/>
      <c r="AI186" s="31"/>
      <c r="AJ186" s="18"/>
      <c r="AK186" s="18"/>
      <c r="AL186" s="18"/>
      <c r="AN186" s="36"/>
      <c r="AO186" s="36"/>
      <c r="AP186" s="36"/>
      <c r="AQ186" s="30"/>
      <c r="AV186" s="36"/>
      <c r="AW186" s="36"/>
      <c r="AX186" s="36"/>
      <c r="AY186" s="37"/>
      <c r="AZ186" s="37"/>
      <c r="BA186" s="31"/>
      <c r="BC186" s="36"/>
      <c r="BD186" s="36"/>
      <c r="BE186" s="36"/>
      <c r="BF186" s="36"/>
      <c r="BH186" s="18"/>
      <c r="BI186" s="18"/>
      <c r="BJ186" s="18"/>
    </row>
    <row r="187" spans="1:62" ht="12.75">
      <c r="A187" s="4" t="s">
        <v>486</v>
      </c>
      <c r="B187" s="4" t="s">
        <v>487</v>
      </c>
      <c r="C187" s="106" t="s">
        <v>488</v>
      </c>
      <c r="D187" s="107"/>
      <c r="E187" s="107"/>
      <c r="F187" s="4" t="s">
        <v>331</v>
      </c>
      <c r="G187" s="18">
        <v>40</v>
      </c>
      <c r="H187" s="74">
        <v>0</v>
      </c>
      <c r="I187" s="18">
        <f t="shared" si="68"/>
        <v>0</v>
      </c>
      <c r="J187" s="18">
        <f t="shared" si="69"/>
        <v>0</v>
      </c>
      <c r="K187" s="18">
        <f t="shared" si="70"/>
        <v>0</v>
      </c>
      <c r="L187" s="30"/>
      <c r="Z187" s="36"/>
      <c r="AB187" s="36"/>
      <c r="AC187" s="36"/>
      <c r="AD187" s="36"/>
      <c r="AE187" s="36"/>
      <c r="AF187" s="36"/>
      <c r="AG187" s="36"/>
      <c r="AH187" s="36"/>
      <c r="AI187" s="31"/>
      <c r="AJ187" s="18"/>
      <c r="AK187" s="18"/>
      <c r="AL187" s="18"/>
      <c r="AN187" s="36"/>
      <c r="AO187" s="36"/>
      <c r="AP187" s="36"/>
      <c r="AQ187" s="30"/>
      <c r="AV187" s="36"/>
      <c r="AW187" s="36"/>
      <c r="AX187" s="36"/>
      <c r="AY187" s="37"/>
      <c r="AZ187" s="37"/>
      <c r="BA187" s="31"/>
      <c r="BC187" s="36"/>
      <c r="BD187" s="36"/>
      <c r="BE187" s="36"/>
      <c r="BF187" s="36"/>
      <c r="BH187" s="18"/>
      <c r="BI187" s="18"/>
      <c r="BJ187" s="18"/>
    </row>
    <row r="188" spans="1:62" ht="12.75">
      <c r="A188" s="4" t="s">
        <v>489</v>
      </c>
      <c r="B188" s="4" t="s">
        <v>490</v>
      </c>
      <c r="C188" s="106" t="s">
        <v>491</v>
      </c>
      <c r="D188" s="107"/>
      <c r="E188" s="107"/>
      <c r="F188" s="4" t="s">
        <v>331</v>
      </c>
      <c r="G188" s="18">
        <v>16</v>
      </c>
      <c r="H188" s="74">
        <v>0</v>
      </c>
      <c r="I188" s="18">
        <f t="shared" si="68"/>
        <v>0</v>
      </c>
      <c r="J188" s="18">
        <f t="shared" si="69"/>
        <v>0</v>
      </c>
      <c r="K188" s="18">
        <f t="shared" si="70"/>
        <v>0</v>
      </c>
      <c r="L188" s="30"/>
      <c r="Z188" s="36"/>
      <c r="AB188" s="36"/>
      <c r="AC188" s="36"/>
      <c r="AD188" s="36"/>
      <c r="AE188" s="36"/>
      <c r="AF188" s="36"/>
      <c r="AG188" s="36"/>
      <c r="AH188" s="36"/>
      <c r="AI188" s="31"/>
      <c r="AJ188" s="18"/>
      <c r="AK188" s="18"/>
      <c r="AL188" s="18"/>
      <c r="AN188" s="36"/>
      <c r="AO188" s="36"/>
      <c r="AP188" s="36"/>
      <c r="AQ188" s="30"/>
      <c r="AV188" s="36"/>
      <c r="AW188" s="36"/>
      <c r="AX188" s="36"/>
      <c r="AY188" s="37"/>
      <c r="AZ188" s="37"/>
      <c r="BA188" s="31"/>
      <c r="BC188" s="36"/>
      <c r="BD188" s="36"/>
      <c r="BE188" s="36"/>
      <c r="BF188" s="36"/>
      <c r="BH188" s="18"/>
      <c r="BI188" s="18"/>
      <c r="BJ188" s="18"/>
    </row>
    <row r="189" spans="1:62" ht="12.75">
      <c r="A189" s="4" t="s">
        <v>492</v>
      </c>
      <c r="B189" s="4" t="s">
        <v>493</v>
      </c>
      <c r="C189" s="106" t="s">
        <v>494</v>
      </c>
      <c r="D189" s="107"/>
      <c r="E189" s="107"/>
      <c r="F189" s="4" t="s">
        <v>331</v>
      </c>
      <c r="G189" s="18">
        <v>21</v>
      </c>
      <c r="H189" s="74">
        <v>0</v>
      </c>
      <c r="I189" s="18">
        <f t="shared" si="68"/>
        <v>0</v>
      </c>
      <c r="J189" s="18">
        <f t="shared" si="69"/>
        <v>0</v>
      </c>
      <c r="K189" s="18">
        <f t="shared" si="70"/>
        <v>0</v>
      </c>
      <c r="L189" s="30"/>
      <c r="Z189" s="36"/>
      <c r="AB189" s="36"/>
      <c r="AC189" s="36"/>
      <c r="AD189" s="36"/>
      <c r="AE189" s="36"/>
      <c r="AF189" s="36"/>
      <c r="AG189" s="36"/>
      <c r="AH189" s="36"/>
      <c r="AI189" s="31"/>
      <c r="AJ189" s="18"/>
      <c r="AK189" s="18"/>
      <c r="AL189" s="18"/>
      <c r="AN189" s="36"/>
      <c r="AO189" s="36"/>
      <c r="AP189" s="36"/>
      <c r="AQ189" s="30"/>
      <c r="AV189" s="36"/>
      <c r="AW189" s="36"/>
      <c r="AX189" s="36"/>
      <c r="AY189" s="37"/>
      <c r="AZ189" s="37"/>
      <c r="BA189" s="31"/>
      <c r="BC189" s="36"/>
      <c r="BD189" s="36"/>
      <c r="BE189" s="36"/>
      <c r="BF189" s="36"/>
      <c r="BH189" s="18"/>
      <c r="BI189" s="18"/>
      <c r="BJ189" s="18"/>
    </row>
    <row r="190" spans="1:62" ht="12.75">
      <c r="A190" s="4" t="s">
        <v>495</v>
      </c>
      <c r="B190" s="4" t="s">
        <v>496</v>
      </c>
      <c r="C190" s="106" t="s">
        <v>497</v>
      </c>
      <c r="D190" s="107"/>
      <c r="E190" s="107"/>
      <c r="F190" s="4" t="s">
        <v>331</v>
      </c>
      <c r="G190" s="18">
        <v>4</v>
      </c>
      <c r="H190" s="74">
        <v>0</v>
      </c>
      <c r="I190" s="18">
        <f t="shared" si="68"/>
        <v>0</v>
      </c>
      <c r="J190" s="18">
        <f t="shared" si="69"/>
        <v>0</v>
      </c>
      <c r="K190" s="18">
        <f t="shared" si="70"/>
        <v>0</v>
      </c>
      <c r="L190" s="30"/>
      <c r="Z190" s="36"/>
      <c r="AB190" s="36"/>
      <c r="AC190" s="36"/>
      <c r="AD190" s="36"/>
      <c r="AE190" s="36"/>
      <c r="AF190" s="36"/>
      <c r="AG190" s="36"/>
      <c r="AH190" s="36"/>
      <c r="AI190" s="31"/>
      <c r="AJ190" s="18"/>
      <c r="AK190" s="18"/>
      <c r="AL190" s="18"/>
      <c r="AN190" s="36"/>
      <c r="AO190" s="36"/>
      <c r="AP190" s="36"/>
      <c r="AQ190" s="30"/>
      <c r="AV190" s="36"/>
      <c r="AW190" s="36"/>
      <c r="AX190" s="36"/>
      <c r="AY190" s="37"/>
      <c r="AZ190" s="37"/>
      <c r="BA190" s="31"/>
      <c r="BC190" s="36"/>
      <c r="BD190" s="36"/>
      <c r="BE190" s="36"/>
      <c r="BF190" s="36"/>
      <c r="BH190" s="18"/>
      <c r="BI190" s="18"/>
      <c r="BJ190" s="18"/>
    </row>
    <row r="191" spans="1:62" ht="12.75">
      <c r="A191" s="4" t="s">
        <v>498</v>
      </c>
      <c r="B191" s="4" t="s">
        <v>499</v>
      </c>
      <c r="C191" s="106" t="s">
        <v>500</v>
      </c>
      <c r="D191" s="107"/>
      <c r="E191" s="107"/>
      <c r="F191" s="4" t="s">
        <v>331</v>
      </c>
      <c r="G191" s="18">
        <v>285</v>
      </c>
      <c r="H191" s="74">
        <v>0</v>
      </c>
      <c r="I191" s="18">
        <f t="shared" si="68"/>
        <v>0</v>
      </c>
      <c r="J191" s="18">
        <f t="shared" si="69"/>
        <v>0</v>
      </c>
      <c r="K191" s="18">
        <f t="shared" si="70"/>
        <v>0</v>
      </c>
      <c r="L191" s="30"/>
      <c r="Z191" s="36"/>
      <c r="AB191" s="36"/>
      <c r="AC191" s="36"/>
      <c r="AD191" s="36"/>
      <c r="AE191" s="36"/>
      <c r="AF191" s="36"/>
      <c r="AG191" s="36"/>
      <c r="AH191" s="36"/>
      <c r="AI191" s="31"/>
      <c r="AJ191" s="18"/>
      <c r="AK191" s="18"/>
      <c r="AL191" s="18"/>
      <c r="AN191" s="36"/>
      <c r="AO191" s="36"/>
      <c r="AP191" s="36"/>
      <c r="AQ191" s="30"/>
      <c r="AV191" s="36"/>
      <c r="AW191" s="36"/>
      <c r="AX191" s="36"/>
      <c r="AY191" s="37"/>
      <c r="AZ191" s="37"/>
      <c r="BA191" s="31"/>
      <c r="BC191" s="36"/>
      <c r="BD191" s="36"/>
      <c r="BE191" s="36"/>
      <c r="BF191" s="36"/>
      <c r="BH191" s="18"/>
      <c r="BI191" s="18"/>
      <c r="BJ191" s="18"/>
    </row>
    <row r="192" spans="1:62" ht="12.75">
      <c r="A192" s="4" t="s">
        <v>501</v>
      </c>
      <c r="B192" s="4" t="s">
        <v>502</v>
      </c>
      <c r="C192" s="106" t="s">
        <v>503</v>
      </c>
      <c r="D192" s="107"/>
      <c r="E192" s="107"/>
      <c r="F192" s="4" t="s">
        <v>331</v>
      </c>
      <c r="G192" s="18">
        <v>14</v>
      </c>
      <c r="H192" s="74">
        <v>0</v>
      </c>
      <c r="I192" s="18">
        <f t="shared" si="68"/>
        <v>0</v>
      </c>
      <c r="J192" s="18">
        <f t="shared" si="69"/>
        <v>0</v>
      </c>
      <c r="K192" s="18">
        <f t="shared" si="70"/>
        <v>0</v>
      </c>
      <c r="L192" s="30"/>
      <c r="Z192" s="36"/>
      <c r="AB192" s="36"/>
      <c r="AC192" s="36"/>
      <c r="AD192" s="36"/>
      <c r="AE192" s="36"/>
      <c r="AF192" s="36"/>
      <c r="AG192" s="36"/>
      <c r="AH192" s="36"/>
      <c r="AI192" s="31"/>
      <c r="AJ192" s="18"/>
      <c r="AK192" s="18"/>
      <c r="AL192" s="18"/>
      <c r="AN192" s="36"/>
      <c r="AO192" s="36"/>
      <c r="AP192" s="36"/>
      <c r="AQ192" s="30"/>
      <c r="AV192" s="36"/>
      <c r="AW192" s="36"/>
      <c r="AX192" s="36"/>
      <c r="AY192" s="37"/>
      <c r="AZ192" s="37"/>
      <c r="BA192" s="31"/>
      <c r="BC192" s="36"/>
      <c r="BD192" s="36"/>
      <c r="BE192" s="36"/>
      <c r="BF192" s="36"/>
      <c r="BH192" s="18"/>
      <c r="BI192" s="18"/>
      <c r="BJ192" s="18"/>
    </row>
    <row r="193" spans="1:62" ht="12.75">
      <c r="A193" s="4" t="s">
        <v>504</v>
      </c>
      <c r="B193" s="4" t="s">
        <v>505</v>
      </c>
      <c r="C193" s="106" t="s">
        <v>506</v>
      </c>
      <c r="D193" s="107"/>
      <c r="E193" s="107"/>
      <c r="F193" s="4" t="s">
        <v>331</v>
      </c>
      <c r="G193" s="18">
        <v>1</v>
      </c>
      <c r="H193" s="74">
        <v>0</v>
      </c>
      <c r="I193" s="18">
        <f t="shared" si="68"/>
        <v>0</v>
      </c>
      <c r="J193" s="18">
        <f t="shared" si="69"/>
        <v>0</v>
      </c>
      <c r="K193" s="18">
        <f t="shared" si="70"/>
        <v>0</v>
      </c>
      <c r="L193" s="30"/>
      <c r="Z193" s="36"/>
      <c r="AB193" s="36"/>
      <c r="AC193" s="36"/>
      <c r="AD193" s="36"/>
      <c r="AE193" s="36"/>
      <c r="AF193" s="36"/>
      <c r="AG193" s="36"/>
      <c r="AH193" s="36"/>
      <c r="AI193" s="31"/>
      <c r="AJ193" s="18"/>
      <c r="AK193" s="18"/>
      <c r="AL193" s="18"/>
      <c r="AN193" s="36"/>
      <c r="AO193" s="36"/>
      <c r="AP193" s="36"/>
      <c r="AQ193" s="30"/>
      <c r="AV193" s="36"/>
      <c r="AW193" s="36"/>
      <c r="AX193" s="36"/>
      <c r="AY193" s="37"/>
      <c r="AZ193" s="37"/>
      <c r="BA193" s="31"/>
      <c r="BC193" s="36"/>
      <c r="BD193" s="36"/>
      <c r="BE193" s="36"/>
      <c r="BF193" s="36"/>
      <c r="BH193" s="18"/>
      <c r="BI193" s="18"/>
      <c r="BJ193" s="18"/>
    </row>
    <row r="194" spans="1:62" ht="12.75">
      <c r="A194" s="4" t="s">
        <v>507</v>
      </c>
      <c r="B194" s="4" t="s">
        <v>508</v>
      </c>
      <c r="C194" s="106" t="s">
        <v>509</v>
      </c>
      <c r="D194" s="107"/>
      <c r="E194" s="107"/>
      <c r="F194" s="4" t="s">
        <v>510</v>
      </c>
      <c r="G194" s="18">
        <v>1</v>
      </c>
      <c r="H194" s="74">
        <v>0</v>
      </c>
      <c r="I194" s="18">
        <f t="shared" si="68"/>
        <v>0</v>
      </c>
      <c r="J194" s="18">
        <f t="shared" si="69"/>
        <v>0</v>
      </c>
      <c r="K194" s="18">
        <f t="shared" si="70"/>
        <v>0</v>
      </c>
      <c r="L194" s="30"/>
      <c r="Z194" s="36"/>
      <c r="AB194" s="36"/>
      <c r="AC194" s="36"/>
      <c r="AD194" s="36"/>
      <c r="AE194" s="36"/>
      <c r="AF194" s="36"/>
      <c r="AG194" s="36"/>
      <c r="AH194" s="36"/>
      <c r="AI194" s="31"/>
      <c r="AJ194" s="18"/>
      <c r="AK194" s="18"/>
      <c r="AL194" s="18"/>
      <c r="AN194" s="36"/>
      <c r="AO194" s="36"/>
      <c r="AP194" s="36"/>
      <c r="AQ194" s="30"/>
      <c r="AV194" s="36"/>
      <c r="AW194" s="36"/>
      <c r="AX194" s="36"/>
      <c r="AY194" s="37"/>
      <c r="AZ194" s="37"/>
      <c r="BA194" s="31"/>
      <c r="BC194" s="36"/>
      <c r="BD194" s="36"/>
      <c r="BE194" s="36"/>
      <c r="BF194" s="36"/>
      <c r="BH194" s="18"/>
      <c r="BI194" s="18"/>
      <c r="BJ194" s="18"/>
    </row>
    <row r="195" spans="1:12" ht="12.75">
      <c r="A195" s="8"/>
      <c r="B195" s="8"/>
      <c r="C195" s="8"/>
      <c r="D195" s="8"/>
      <c r="E195" s="8"/>
      <c r="F195" s="8"/>
      <c r="G195" s="8"/>
      <c r="H195" s="8"/>
      <c r="I195" s="118" t="s">
        <v>343</v>
      </c>
      <c r="J195" s="118"/>
      <c r="K195" s="40">
        <f>K12+K20+K33+K70+K73+K78+K92+K96+K101+K109+K113+K152+K156+K159+K161+K164+K166+K177</f>
        <v>0</v>
      </c>
      <c r="L195" s="8"/>
    </row>
    <row r="196" ht="11.25" customHeight="1">
      <c r="A196" s="9" t="s">
        <v>101</v>
      </c>
    </row>
    <row r="197" spans="1:12" ht="12.75">
      <c r="A197" s="90"/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</row>
  </sheetData>
  <sheetProtection password="CCFD" sheet="1"/>
  <mergeCells count="213">
    <mergeCell ref="C191:E191"/>
    <mergeCell ref="C192:E192"/>
    <mergeCell ref="C193:E193"/>
    <mergeCell ref="C194:E194"/>
    <mergeCell ref="C185:E185"/>
    <mergeCell ref="C186:E186"/>
    <mergeCell ref="C187:E187"/>
    <mergeCell ref="C188:E188"/>
    <mergeCell ref="C189:E189"/>
    <mergeCell ref="C190:E190"/>
    <mergeCell ref="C179:E179"/>
    <mergeCell ref="C180:E180"/>
    <mergeCell ref="C181:E181"/>
    <mergeCell ref="C182:E182"/>
    <mergeCell ref="C183:E183"/>
    <mergeCell ref="C184:E184"/>
    <mergeCell ref="I195:J195"/>
    <mergeCell ref="A197:L197"/>
    <mergeCell ref="C171:E171"/>
    <mergeCell ref="C172:E172"/>
    <mergeCell ref="C173:E173"/>
    <mergeCell ref="C174:E174"/>
    <mergeCell ref="C175:E175"/>
    <mergeCell ref="C176:E176"/>
    <mergeCell ref="C177:E177"/>
    <mergeCell ref="C178:E178"/>
    <mergeCell ref="C165:E165"/>
    <mergeCell ref="C166:E166"/>
    <mergeCell ref="C167:E167"/>
    <mergeCell ref="C168:E168"/>
    <mergeCell ref="C169:E169"/>
    <mergeCell ref="C170:E170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C147:L147"/>
    <mergeCell ref="C148:E148"/>
    <mergeCell ref="C149:E149"/>
    <mergeCell ref="C150:E150"/>
    <mergeCell ref="C151:E151"/>
    <mergeCell ref="C152:E152"/>
    <mergeCell ref="C141:E141"/>
    <mergeCell ref="C142:E142"/>
    <mergeCell ref="C143:L143"/>
    <mergeCell ref="C144:E144"/>
    <mergeCell ref="C145:L145"/>
    <mergeCell ref="C146:E146"/>
    <mergeCell ref="C135:L135"/>
    <mergeCell ref="C136:E136"/>
    <mergeCell ref="C137:L137"/>
    <mergeCell ref="C138:E138"/>
    <mergeCell ref="C139:L139"/>
    <mergeCell ref="C140:E140"/>
    <mergeCell ref="C129:L129"/>
    <mergeCell ref="C130:E130"/>
    <mergeCell ref="C131:L131"/>
    <mergeCell ref="C132:E132"/>
    <mergeCell ref="C133:L133"/>
    <mergeCell ref="C134:E134"/>
    <mergeCell ref="C123:L123"/>
    <mergeCell ref="C124:E124"/>
    <mergeCell ref="C125:L125"/>
    <mergeCell ref="C126:E126"/>
    <mergeCell ref="C127:L127"/>
    <mergeCell ref="C128:E128"/>
    <mergeCell ref="C117:L117"/>
    <mergeCell ref="C118:E118"/>
    <mergeCell ref="C119:L119"/>
    <mergeCell ref="C120:E120"/>
    <mergeCell ref="C121:L121"/>
    <mergeCell ref="C122:E122"/>
    <mergeCell ref="C111:E111"/>
    <mergeCell ref="C112:E112"/>
    <mergeCell ref="C113:E113"/>
    <mergeCell ref="C114:E114"/>
    <mergeCell ref="C115:L115"/>
    <mergeCell ref="C116:E116"/>
    <mergeCell ref="C105:E105"/>
    <mergeCell ref="C106:E106"/>
    <mergeCell ref="C107:E107"/>
    <mergeCell ref="C108:E108"/>
    <mergeCell ref="C109:E109"/>
    <mergeCell ref="C110:E110"/>
    <mergeCell ref="C99:E99"/>
    <mergeCell ref="C100:E100"/>
    <mergeCell ref="C101:E101"/>
    <mergeCell ref="C102:E102"/>
    <mergeCell ref="C103:E103"/>
    <mergeCell ref="C104:E104"/>
    <mergeCell ref="C93:E93"/>
    <mergeCell ref="C94:E94"/>
    <mergeCell ref="C95:E95"/>
    <mergeCell ref="C96:E96"/>
    <mergeCell ref="C97:E97"/>
    <mergeCell ref="C98:E98"/>
    <mergeCell ref="C87:E87"/>
    <mergeCell ref="C88:E88"/>
    <mergeCell ref="C89:E89"/>
    <mergeCell ref="C90:E90"/>
    <mergeCell ref="C91:E91"/>
    <mergeCell ref="C92:E92"/>
    <mergeCell ref="C81:E81"/>
    <mergeCell ref="C82:E82"/>
    <mergeCell ref="C83:E83"/>
    <mergeCell ref="C84:E84"/>
    <mergeCell ref="C85:E85"/>
    <mergeCell ref="C86:E86"/>
    <mergeCell ref="C75:L75"/>
    <mergeCell ref="C76:E76"/>
    <mergeCell ref="C77:L77"/>
    <mergeCell ref="C78:E78"/>
    <mergeCell ref="C79:E79"/>
    <mergeCell ref="C80:E80"/>
    <mergeCell ref="C69:E69"/>
    <mergeCell ref="C70:E70"/>
    <mergeCell ref="C71:E71"/>
    <mergeCell ref="C72:E72"/>
    <mergeCell ref="C73:E73"/>
    <mergeCell ref="C74:E74"/>
    <mergeCell ref="C63:E63"/>
    <mergeCell ref="C64:E64"/>
    <mergeCell ref="C65:E65"/>
    <mergeCell ref="C66:E66"/>
    <mergeCell ref="C67:E67"/>
    <mergeCell ref="C68:E68"/>
    <mergeCell ref="C57:L57"/>
    <mergeCell ref="C58:E58"/>
    <mergeCell ref="C59:L59"/>
    <mergeCell ref="C60:E60"/>
    <mergeCell ref="C61:E61"/>
    <mergeCell ref="C62:E62"/>
    <mergeCell ref="C51:E51"/>
    <mergeCell ref="C52:E52"/>
    <mergeCell ref="C53:E53"/>
    <mergeCell ref="C54:E54"/>
    <mergeCell ref="C55:E55"/>
    <mergeCell ref="C56:E56"/>
    <mergeCell ref="C45:E45"/>
    <mergeCell ref="C46:E46"/>
    <mergeCell ref="C47:E47"/>
    <mergeCell ref="C48:L48"/>
    <mergeCell ref="C49:E49"/>
    <mergeCell ref="C50:E50"/>
    <mergeCell ref="C39:E39"/>
    <mergeCell ref="C40:E40"/>
    <mergeCell ref="C41:E41"/>
    <mergeCell ref="C42:L42"/>
    <mergeCell ref="C43:E43"/>
    <mergeCell ref="C44:E44"/>
    <mergeCell ref="C33:E33"/>
    <mergeCell ref="C34:E34"/>
    <mergeCell ref="C35:E35"/>
    <mergeCell ref="C36:L36"/>
    <mergeCell ref="C37:E37"/>
    <mergeCell ref="C38:E38"/>
    <mergeCell ref="C27:E27"/>
    <mergeCell ref="C28:E28"/>
    <mergeCell ref="C29:E29"/>
    <mergeCell ref="C30:E30"/>
    <mergeCell ref="C31:L31"/>
    <mergeCell ref="C32:E32"/>
    <mergeCell ref="C21:E21"/>
    <mergeCell ref="C22:E22"/>
    <mergeCell ref="C23:E23"/>
    <mergeCell ref="C24:L24"/>
    <mergeCell ref="C25:E25"/>
    <mergeCell ref="C26:E26"/>
    <mergeCell ref="C15:L15"/>
    <mergeCell ref="C16:E16"/>
    <mergeCell ref="C17:L17"/>
    <mergeCell ref="C18:E18"/>
    <mergeCell ref="C19:L19"/>
    <mergeCell ref="C20:E20"/>
    <mergeCell ref="C10:E10"/>
    <mergeCell ref="I10:K10"/>
    <mergeCell ref="C11:E11"/>
    <mergeCell ref="C12:E12"/>
    <mergeCell ref="C13:E13"/>
    <mergeCell ref="C14:E14"/>
    <mergeCell ref="A8:B9"/>
    <mergeCell ref="C8:C9"/>
    <mergeCell ref="D8:E9"/>
    <mergeCell ref="F8:G9"/>
    <mergeCell ref="H8:H9"/>
    <mergeCell ref="I8:L9"/>
    <mergeCell ref="A6:B7"/>
    <mergeCell ref="C6:C7"/>
    <mergeCell ref="D6:E7"/>
    <mergeCell ref="F6:G7"/>
    <mergeCell ref="H6:H7"/>
    <mergeCell ref="I6:L7"/>
    <mergeCell ref="A4:B5"/>
    <mergeCell ref="C4:C5"/>
    <mergeCell ref="D4:E5"/>
    <mergeCell ref="F4:G5"/>
    <mergeCell ref="H4:H5"/>
    <mergeCell ref="I4:L5"/>
    <mergeCell ref="A1:L1"/>
    <mergeCell ref="A2:B3"/>
    <mergeCell ref="C2:C3"/>
    <mergeCell ref="D2:E3"/>
    <mergeCell ref="F2:G3"/>
    <mergeCell ref="H2:H3"/>
    <mergeCell ref="I2:L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F28" sqref="F28"/>
    </sheetView>
  </sheetViews>
  <sheetFormatPr defaultColWidth="11.57421875" defaultRowHeight="12.75"/>
  <cols>
    <col min="1" max="1" width="16.57421875" style="0" customWidth="1"/>
    <col min="2" max="2" width="41.7109375" style="0" customWidth="1"/>
    <col min="3" max="3" width="11.57421875" style="0" customWidth="1"/>
    <col min="4" max="4" width="22.140625" style="0" customWidth="1"/>
    <col min="5" max="5" width="21.00390625" style="0" customWidth="1"/>
    <col min="6" max="6" width="20.8515625" style="0" customWidth="1"/>
    <col min="7" max="8" width="0" style="0" hidden="1" customWidth="1"/>
  </cols>
  <sheetData>
    <row r="1" spans="1:6" ht="72.75" customHeight="1">
      <c r="A1" s="77" t="s">
        <v>384</v>
      </c>
      <c r="B1" s="78"/>
      <c r="C1" s="78"/>
      <c r="D1" s="78"/>
      <c r="E1" s="78"/>
      <c r="F1" s="78"/>
    </row>
    <row r="2" spans="1:7" ht="12.75">
      <c r="A2" s="79" t="s">
        <v>1</v>
      </c>
      <c r="B2" s="83" t="str">
        <f>'Stavební rozpočet'!C2</f>
        <v>Přestavba objektu</v>
      </c>
      <c r="C2" s="121"/>
      <c r="D2" s="86" t="s">
        <v>333</v>
      </c>
      <c r="E2" s="86" t="str">
        <f>'Stavební rozpočet'!I2</f>
        <v>K2 invest</v>
      </c>
      <c r="F2" s="87"/>
      <c r="G2" s="34"/>
    </row>
    <row r="3" spans="1:7" ht="12.75">
      <c r="A3" s="81"/>
      <c r="B3" s="84"/>
      <c r="C3" s="84"/>
      <c r="D3" s="82"/>
      <c r="E3" s="82"/>
      <c r="F3" s="88"/>
      <c r="G3" s="34"/>
    </row>
    <row r="4" spans="1:7" ht="12.75">
      <c r="A4" s="89" t="s">
        <v>2</v>
      </c>
      <c r="B4" s="90" t="str">
        <f>'Stavební rozpočet'!C4</f>
        <v>zateplení objektu</v>
      </c>
      <c r="C4" s="82"/>
      <c r="D4" s="90" t="s">
        <v>334</v>
      </c>
      <c r="E4" s="90" t="str">
        <f>'Stavební rozpočet'!I4</f>
        <v> </v>
      </c>
      <c r="F4" s="88"/>
      <c r="G4" s="34"/>
    </row>
    <row r="5" spans="1:7" ht="12.75">
      <c r="A5" s="81"/>
      <c r="B5" s="82"/>
      <c r="C5" s="82"/>
      <c r="D5" s="82"/>
      <c r="E5" s="82"/>
      <c r="F5" s="88"/>
      <c r="G5" s="34"/>
    </row>
    <row r="6" spans="1:7" ht="12.75">
      <c r="A6" s="89" t="s">
        <v>3</v>
      </c>
      <c r="B6" s="90" t="str">
        <f>'Stavební rozpočet'!C6</f>
        <v>Na Brně, Hradec Králové parc.č. st. 204/2 kat. úz. Nový Hradec Králové</v>
      </c>
      <c r="C6" s="82"/>
      <c r="D6" s="90" t="s">
        <v>335</v>
      </c>
      <c r="E6" s="90">
        <f>'Stavební rozpočet'!I6</f>
        <v>0</v>
      </c>
      <c r="F6" s="88"/>
      <c r="G6" s="34"/>
    </row>
    <row r="7" spans="1:7" ht="12.75">
      <c r="A7" s="81"/>
      <c r="B7" s="82"/>
      <c r="C7" s="82"/>
      <c r="D7" s="82"/>
      <c r="E7" s="82"/>
      <c r="F7" s="88"/>
      <c r="G7" s="34"/>
    </row>
    <row r="8" spans="1:7" ht="12.75">
      <c r="A8" s="89" t="s">
        <v>336</v>
      </c>
      <c r="B8" s="90" t="str">
        <f>'Stavební rozpočet'!I8</f>
        <v> </v>
      </c>
      <c r="C8" s="82"/>
      <c r="D8" s="91" t="s">
        <v>323</v>
      </c>
      <c r="E8" s="90">
        <f>'Stavební rozpočet'!F8</f>
        <v>0</v>
      </c>
      <c r="F8" s="88"/>
      <c r="G8" s="34"/>
    </row>
    <row r="9" spans="1:7" ht="12.75">
      <c r="A9" s="92"/>
      <c r="B9" s="93"/>
      <c r="C9" s="93"/>
      <c r="D9" s="93"/>
      <c r="E9" s="93"/>
      <c r="F9" s="94"/>
      <c r="G9" s="34"/>
    </row>
    <row r="10" spans="1:7" ht="12.75">
      <c r="A10" s="41" t="s">
        <v>102</v>
      </c>
      <c r="B10" s="122" t="s">
        <v>385</v>
      </c>
      <c r="C10" s="123"/>
      <c r="D10" s="43" t="s">
        <v>386</v>
      </c>
      <c r="E10" s="43" t="s">
        <v>387</v>
      </c>
      <c r="F10" s="43" t="s">
        <v>388</v>
      </c>
      <c r="G10" s="34"/>
    </row>
    <row r="11" spans="1:8" ht="12.75">
      <c r="A11" s="42" t="s">
        <v>37</v>
      </c>
      <c r="B11" s="124" t="s">
        <v>213</v>
      </c>
      <c r="C11" s="125"/>
      <c r="D11" s="45">
        <f>'Stavební rozpočet'!I12</f>
        <v>0</v>
      </c>
      <c r="E11" s="45">
        <f>'Stavební rozpočet'!J12</f>
        <v>0</v>
      </c>
      <c r="F11" s="45">
        <f>'Stavební rozpočet'!K12</f>
        <v>0</v>
      </c>
      <c r="G11" s="36" t="s">
        <v>389</v>
      </c>
      <c r="H11" s="36">
        <f aca="true" t="shared" si="0" ref="H11:H27">IF(G11="F",0,F11)</f>
        <v>0</v>
      </c>
    </row>
    <row r="12" spans="1:8" ht="12.75">
      <c r="A12" s="16" t="s">
        <v>66</v>
      </c>
      <c r="B12" s="91" t="s">
        <v>221</v>
      </c>
      <c r="C12" s="82"/>
      <c r="D12" s="36">
        <f>'Stavební rozpočet'!I20</f>
        <v>0</v>
      </c>
      <c r="E12" s="36">
        <f>'Stavební rozpočet'!J20</f>
        <v>0</v>
      </c>
      <c r="F12" s="36">
        <f>'Stavební rozpočet'!K20</f>
        <v>0</v>
      </c>
      <c r="G12" s="36" t="s">
        <v>389</v>
      </c>
      <c r="H12" s="36">
        <f t="shared" si="0"/>
        <v>0</v>
      </c>
    </row>
    <row r="13" spans="1:8" ht="12.75">
      <c r="A13" s="16" t="s">
        <v>68</v>
      </c>
      <c r="B13" s="91" t="s">
        <v>227</v>
      </c>
      <c r="C13" s="82"/>
      <c r="D13" s="36">
        <f>'Stavební rozpočet'!I33</f>
        <v>0</v>
      </c>
      <c r="E13" s="36">
        <f>'Stavební rozpočet'!J33</f>
        <v>0</v>
      </c>
      <c r="F13" s="36">
        <f>'Stavební rozpočet'!K33</f>
        <v>0</v>
      </c>
      <c r="G13" s="36" t="s">
        <v>389</v>
      </c>
      <c r="H13" s="36">
        <f t="shared" si="0"/>
        <v>0</v>
      </c>
    </row>
    <row r="14" spans="1:8" ht="12.75">
      <c r="A14" s="16" t="s">
        <v>69</v>
      </c>
      <c r="B14" s="91" t="s">
        <v>255</v>
      </c>
      <c r="C14" s="82"/>
      <c r="D14" s="36">
        <f>'Stavební rozpočet'!I70</f>
        <v>0</v>
      </c>
      <c r="E14" s="36">
        <f>'Stavební rozpočet'!J70</f>
        <v>0</v>
      </c>
      <c r="F14" s="36">
        <f>'Stavební rozpočet'!K70</f>
        <v>0</v>
      </c>
      <c r="G14" s="36" t="s">
        <v>389</v>
      </c>
      <c r="H14" s="36">
        <f t="shared" si="0"/>
        <v>0</v>
      </c>
    </row>
    <row r="15" spans="1:8" ht="12.75">
      <c r="A15" s="16" t="s">
        <v>70</v>
      </c>
      <c r="B15" s="91" t="s">
        <v>258</v>
      </c>
      <c r="C15" s="82"/>
      <c r="D15" s="36">
        <f>'Stavební rozpočet'!I73</f>
        <v>0</v>
      </c>
      <c r="E15" s="36">
        <f>'Stavební rozpočet'!J73</f>
        <v>0</v>
      </c>
      <c r="F15" s="36">
        <f>'Stavební rozpočet'!K73</f>
        <v>0</v>
      </c>
      <c r="G15" s="36" t="s">
        <v>389</v>
      </c>
      <c r="H15" s="36">
        <f t="shared" si="0"/>
        <v>0</v>
      </c>
    </row>
    <row r="16" spans="1:8" ht="12.75">
      <c r="A16" s="16" t="s">
        <v>133</v>
      </c>
      <c r="B16" s="91" t="s">
        <v>262</v>
      </c>
      <c r="C16" s="82"/>
      <c r="D16" s="36">
        <f>'Stavební rozpočet'!I78</f>
        <v>0</v>
      </c>
      <c r="E16" s="36">
        <f>'Stavební rozpočet'!J78</f>
        <v>0</v>
      </c>
      <c r="F16" s="36">
        <f>'Stavební rozpočet'!K78</f>
        <v>0</v>
      </c>
      <c r="G16" s="36" t="s">
        <v>389</v>
      </c>
      <c r="H16" s="36">
        <f t="shared" si="0"/>
        <v>0</v>
      </c>
    </row>
    <row r="17" spans="1:8" ht="12.75">
      <c r="A17" s="16" t="s">
        <v>140</v>
      </c>
      <c r="B17" s="91" t="s">
        <v>269</v>
      </c>
      <c r="C17" s="82"/>
      <c r="D17" s="36">
        <f>'Stavební rozpočet'!I92</f>
        <v>0</v>
      </c>
      <c r="E17" s="36">
        <f>'Stavební rozpočet'!J92</f>
        <v>0</v>
      </c>
      <c r="F17" s="36">
        <f>'Stavební rozpočet'!K92</f>
        <v>0</v>
      </c>
      <c r="G17" s="36" t="s">
        <v>389</v>
      </c>
      <c r="H17" s="36">
        <f t="shared" si="0"/>
        <v>0</v>
      </c>
    </row>
    <row r="18" spans="1:8" ht="12.75">
      <c r="A18" s="16" t="s">
        <v>144</v>
      </c>
      <c r="B18" s="91" t="s">
        <v>273</v>
      </c>
      <c r="C18" s="82"/>
      <c r="D18" s="36">
        <f>'Stavební rozpočet'!I96</f>
        <v>0</v>
      </c>
      <c r="E18" s="36">
        <f>'Stavební rozpočet'!J96</f>
        <v>0</v>
      </c>
      <c r="F18" s="36">
        <f>'Stavební rozpočet'!K96</f>
        <v>0</v>
      </c>
      <c r="G18" s="36" t="s">
        <v>389</v>
      </c>
      <c r="H18" s="36">
        <f t="shared" si="0"/>
        <v>0</v>
      </c>
    </row>
    <row r="19" spans="1:8" ht="12.75">
      <c r="A19" s="16" t="s">
        <v>149</v>
      </c>
      <c r="B19" s="91" t="s">
        <v>278</v>
      </c>
      <c r="C19" s="82"/>
      <c r="D19" s="36">
        <f>'Stavební rozpočet'!I101</f>
        <v>0</v>
      </c>
      <c r="E19" s="36">
        <f>'Stavební rozpočet'!J101</f>
        <v>0</v>
      </c>
      <c r="F19" s="36">
        <f>'Stavební rozpočet'!K101</f>
        <v>0</v>
      </c>
      <c r="G19" s="36" t="s">
        <v>389</v>
      </c>
      <c r="H19" s="36">
        <f t="shared" si="0"/>
        <v>0</v>
      </c>
    </row>
    <row r="20" spans="1:8" ht="12.75">
      <c r="A20" s="16" t="s">
        <v>157</v>
      </c>
      <c r="B20" s="91" t="s">
        <v>286</v>
      </c>
      <c r="C20" s="82"/>
      <c r="D20" s="36">
        <f>'Stavební rozpočet'!I109</f>
        <v>0</v>
      </c>
      <c r="E20" s="36">
        <f>'Stavební rozpočet'!J109</f>
        <v>0</v>
      </c>
      <c r="F20" s="36">
        <f>'Stavební rozpočet'!K109</f>
        <v>0</v>
      </c>
      <c r="G20" s="36" t="s">
        <v>389</v>
      </c>
      <c r="H20" s="36">
        <f t="shared" si="0"/>
        <v>0</v>
      </c>
    </row>
    <row r="21" spans="1:8" ht="12.75">
      <c r="A21" s="16" t="s">
        <v>161</v>
      </c>
      <c r="B21" s="91" t="s">
        <v>290</v>
      </c>
      <c r="C21" s="82"/>
      <c r="D21" s="36">
        <f>'Stavební rozpočet'!I113</f>
        <v>0</v>
      </c>
      <c r="E21" s="36">
        <f>'Stavební rozpočet'!J113</f>
        <v>0</v>
      </c>
      <c r="F21" s="36">
        <f>'Stavební rozpočet'!K113</f>
        <v>0</v>
      </c>
      <c r="G21" s="36" t="s">
        <v>389</v>
      </c>
      <c r="H21" s="36">
        <f t="shared" si="0"/>
        <v>0</v>
      </c>
    </row>
    <row r="22" spans="1:8" ht="12.75">
      <c r="A22" s="16" t="s">
        <v>100</v>
      </c>
      <c r="B22" s="91" t="s">
        <v>295</v>
      </c>
      <c r="C22" s="82"/>
      <c r="D22" s="36">
        <f>'Stavební rozpočet'!I152</f>
        <v>0</v>
      </c>
      <c r="E22" s="36">
        <f>'Stavební rozpočet'!J152</f>
        <v>0</v>
      </c>
      <c r="F22" s="36">
        <f>'Stavební rozpočet'!K152</f>
        <v>0</v>
      </c>
      <c r="G22" s="36" t="s">
        <v>389</v>
      </c>
      <c r="H22" s="36">
        <f t="shared" si="0"/>
        <v>0</v>
      </c>
    </row>
    <row r="23" spans="1:8" ht="12.75">
      <c r="A23" s="16" t="s">
        <v>187</v>
      </c>
      <c r="B23" s="91" t="s">
        <v>299</v>
      </c>
      <c r="C23" s="82"/>
      <c r="D23" s="36">
        <f>'Stavební rozpočet'!I156</f>
        <v>0</v>
      </c>
      <c r="E23" s="36">
        <f>'Stavební rozpočet'!J156</f>
        <v>0</v>
      </c>
      <c r="F23" s="36">
        <f>'Stavební rozpočet'!K156</f>
        <v>0</v>
      </c>
      <c r="G23" s="36" t="s">
        <v>389</v>
      </c>
      <c r="H23" s="36">
        <f t="shared" si="0"/>
        <v>0</v>
      </c>
    </row>
    <row r="24" spans="1:8" ht="12.75">
      <c r="A24" s="16" t="s">
        <v>190</v>
      </c>
      <c r="B24" s="91" t="s">
        <v>302</v>
      </c>
      <c r="C24" s="82"/>
      <c r="D24" s="36">
        <f>'Stavební rozpočet'!I159</f>
        <v>0</v>
      </c>
      <c r="E24" s="36">
        <f>'Stavební rozpočet'!J159</f>
        <v>0</v>
      </c>
      <c r="F24" s="36">
        <f>'Stavební rozpočet'!K159</f>
        <v>0</v>
      </c>
      <c r="G24" s="36" t="s">
        <v>389</v>
      </c>
      <c r="H24" s="36">
        <f t="shared" si="0"/>
        <v>0</v>
      </c>
    </row>
    <row r="25" spans="1:8" ht="12.75">
      <c r="A25" s="16" t="s">
        <v>192</v>
      </c>
      <c r="B25" s="91" t="s">
        <v>304</v>
      </c>
      <c r="C25" s="82"/>
      <c r="D25" s="36">
        <f>'Stavební rozpočet'!I161</f>
        <v>0</v>
      </c>
      <c r="E25" s="36">
        <f>'Stavební rozpočet'!J161</f>
        <v>0</v>
      </c>
      <c r="F25" s="36">
        <f>'Stavební rozpočet'!K161</f>
        <v>0</v>
      </c>
      <c r="G25" s="36" t="s">
        <v>389</v>
      </c>
      <c r="H25" s="36">
        <f t="shared" si="0"/>
        <v>0</v>
      </c>
    </row>
    <row r="26" spans="1:8" ht="12.75">
      <c r="A26" s="16" t="s">
        <v>195</v>
      </c>
      <c r="B26" s="91" t="s">
        <v>307</v>
      </c>
      <c r="C26" s="82"/>
      <c r="D26" s="36">
        <f>'Stavební rozpočet'!I164</f>
        <v>0</v>
      </c>
      <c r="E26" s="36">
        <f>'Stavební rozpočet'!J164</f>
        <v>0</v>
      </c>
      <c r="F26" s="36">
        <f>'Stavební rozpočet'!K164</f>
        <v>0</v>
      </c>
      <c r="G26" s="36" t="s">
        <v>389</v>
      </c>
      <c r="H26" s="36">
        <f t="shared" si="0"/>
        <v>0</v>
      </c>
    </row>
    <row r="27" spans="1:8" ht="12.75">
      <c r="A27" s="16" t="s">
        <v>197</v>
      </c>
      <c r="B27" s="91" t="s">
        <v>309</v>
      </c>
      <c r="C27" s="82"/>
      <c r="D27" s="36">
        <f>'Stavební rozpočet'!I166</f>
        <v>0</v>
      </c>
      <c r="E27" s="36">
        <f>'Stavební rozpočet'!J166</f>
        <v>0</v>
      </c>
      <c r="F27" s="36">
        <f>'Stavební rozpočet'!K166</f>
        <v>0</v>
      </c>
      <c r="G27" s="36" t="s">
        <v>389</v>
      </c>
      <c r="H27" s="36">
        <f t="shared" si="0"/>
        <v>0</v>
      </c>
    </row>
    <row r="28" spans="1:6" ht="12.75">
      <c r="A28" t="s">
        <v>511</v>
      </c>
      <c r="B28" t="s">
        <v>512</v>
      </c>
      <c r="D28" s="36">
        <f>'[1]Stavební rozpočet'!G168</f>
        <v>0</v>
      </c>
      <c r="E28" s="36">
        <f>'[1]Stavební rozpočet'!H168</f>
        <v>0</v>
      </c>
      <c r="F28" s="36">
        <f>'Stavební rozpočet'!I177</f>
        <v>0</v>
      </c>
    </row>
    <row r="29" spans="5:6" ht="12.75">
      <c r="E29" s="44" t="s">
        <v>343</v>
      </c>
      <c r="F29" s="46">
        <f>SUM(H11:H27)+F28</f>
        <v>0</v>
      </c>
    </row>
  </sheetData>
  <sheetProtection password="CCFD" sheet="1"/>
  <mergeCells count="35"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A6:A7"/>
    <mergeCell ref="B6:C7"/>
    <mergeCell ref="D6:D7"/>
    <mergeCell ref="E6:F7"/>
    <mergeCell ref="A8:A9"/>
    <mergeCell ref="B8:C9"/>
    <mergeCell ref="D8:D9"/>
    <mergeCell ref="E8:F9"/>
    <mergeCell ref="A1:F1"/>
    <mergeCell ref="A2:A3"/>
    <mergeCell ref="B2:C3"/>
    <mergeCell ref="D2:D3"/>
    <mergeCell ref="E2:F3"/>
    <mergeCell ref="A4:A5"/>
    <mergeCell ref="B4:C5"/>
    <mergeCell ref="D4:D5"/>
    <mergeCell ref="E4:F5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C17" sqref="C17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73"/>
      <c r="B1" s="47"/>
      <c r="C1" s="126" t="s">
        <v>405</v>
      </c>
      <c r="D1" s="78"/>
      <c r="E1" s="78"/>
      <c r="F1" s="78"/>
      <c r="G1" s="78"/>
      <c r="H1" s="78"/>
      <c r="I1" s="78"/>
    </row>
    <row r="2" spans="1:10" ht="12.75">
      <c r="A2" s="79" t="s">
        <v>1</v>
      </c>
      <c r="B2" s="80"/>
      <c r="C2" s="83" t="str">
        <f>'Stavební rozpočet'!C2</f>
        <v>Přestavba objektu</v>
      </c>
      <c r="D2" s="121"/>
      <c r="E2" s="86" t="s">
        <v>333</v>
      </c>
      <c r="F2" s="86" t="str">
        <f>'Stavební rozpočet'!I2</f>
        <v>K2 invest</v>
      </c>
      <c r="G2" s="80"/>
      <c r="H2" s="86" t="s">
        <v>430</v>
      </c>
      <c r="I2" s="127"/>
      <c r="J2" s="34"/>
    </row>
    <row r="3" spans="1:10" ht="12.75">
      <c r="A3" s="81"/>
      <c r="B3" s="82"/>
      <c r="C3" s="84"/>
      <c r="D3" s="84"/>
      <c r="E3" s="82"/>
      <c r="F3" s="82"/>
      <c r="G3" s="82"/>
      <c r="H3" s="82"/>
      <c r="I3" s="88"/>
      <c r="J3" s="34"/>
    </row>
    <row r="4" spans="1:10" ht="12.75">
      <c r="A4" s="89" t="s">
        <v>2</v>
      </c>
      <c r="B4" s="82"/>
      <c r="C4" s="90" t="str">
        <f>'Stavební rozpočet'!C4</f>
        <v>zateplení objektu</v>
      </c>
      <c r="D4" s="82"/>
      <c r="E4" s="90" t="s">
        <v>334</v>
      </c>
      <c r="F4" s="90" t="str">
        <f>'Stavební rozpočet'!I4</f>
        <v> </v>
      </c>
      <c r="G4" s="82"/>
      <c r="H4" s="90" t="s">
        <v>430</v>
      </c>
      <c r="I4" s="128"/>
      <c r="J4" s="34"/>
    </row>
    <row r="5" spans="1:10" ht="12.75">
      <c r="A5" s="81"/>
      <c r="B5" s="82"/>
      <c r="C5" s="82"/>
      <c r="D5" s="82"/>
      <c r="E5" s="82"/>
      <c r="F5" s="82"/>
      <c r="G5" s="82"/>
      <c r="H5" s="82"/>
      <c r="I5" s="88"/>
      <c r="J5" s="34"/>
    </row>
    <row r="6" spans="1:10" ht="12.75">
      <c r="A6" s="89" t="s">
        <v>3</v>
      </c>
      <c r="B6" s="82"/>
      <c r="C6" s="90" t="str">
        <f>'Stavební rozpočet'!C6</f>
        <v>Na Brně, Hradec Králové parc.č. st. 204/2 kat. úz. Nový Hradec Králové</v>
      </c>
      <c r="D6" s="82"/>
      <c r="E6" s="90" t="s">
        <v>335</v>
      </c>
      <c r="F6" s="90">
        <f>'Stavební rozpočet'!I6</f>
        <v>0</v>
      </c>
      <c r="G6" s="82"/>
      <c r="H6" s="90" t="s">
        <v>430</v>
      </c>
      <c r="I6" s="128"/>
      <c r="J6" s="34"/>
    </row>
    <row r="7" spans="1:10" ht="12.75">
      <c r="A7" s="81"/>
      <c r="B7" s="82"/>
      <c r="C7" s="82"/>
      <c r="D7" s="82"/>
      <c r="E7" s="82"/>
      <c r="F7" s="82"/>
      <c r="G7" s="82"/>
      <c r="H7" s="82"/>
      <c r="I7" s="88"/>
      <c r="J7" s="34"/>
    </row>
    <row r="8" spans="1:10" ht="12.75">
      <c r="A8" s="89" t="s">
        <v>321</v>
      </c>
      <c r="B8" s="82"/>
      <c r="C8" s="90">
        <f>'Stavební rozpočet'!F4</f>
        <v>0</v>
      </c>
      <c r="D8" s="82"/>
      <c r="E8" s="90" t="s">
        <v>322</v>
      </c>
      <c r="F8" s="90" t="str">
        <f>'Stavební rozpočet'!F6</f>
        <v> </v>
      </c>
      <c r="G8" s="82"/>
      <c r="H8" s="91" t="s">
        <v>431</v>
      </c>
      <c r="I8" s="128" t="s">
        <v>507</v>
      </c>
      <c r="J8" s="34"/>
    </row>
    <row r="9" spans="1:10" ht="12.75">
      <c r="A9" s="81"/>
      <c r="B9" s="82"/>
      <c r="C9" s="82"/>
      <c r="D9" s="82"/>
      <c r="E9" s="82"/>
      <c r="F9" s="82"/>
      <c r="G9" s="82"/>
      <c r="H9" s="82"/>
      <c r="I9" s="88"/>
      <c r="J9" s="34"/>
    </row>
    <row r="10" spans="1:10" ht="12.75">
      <c r="A10" s="89" t="s">
        <v>4</v>
      </c>
      <c r="B10" s="82"/>
      <c r="C10" s="90" t="str">
        <f>'Stavební rozpočet'!C8</f>
        <v> </v>
      </c>
      <c r="D10" s="82"/>
      <c r="E10" s="90" t="s">
        <v>336</v>
      </c>
      <c r="F10" s="90" t="str">
        <f>'Stavební rozpočet'!I8</f>
        <v> </v>
      </c>
      <c r="G10" s="82"/>
      <c r="H10" s="91" t="s">
        <v>432</v>
      </c>
      <c r="I10" s="131">
        <f>'Stavební rozpočet'!F8</f>
        <v>0</v>
      </c>
      <c r="J10" s="34"/>
    </row>
    <row r="11" spans="1:10" ht="12.75">
      <c r="A11" s="129"/>
      <c r="B11" s="130"/>
      <c r="C11" s="130"/>
      <c r="D11" s="130"/>
      <c r="E11" s="130"/>
      <c r="F11" s="130"/>
      <c r="G11" s="130"/>
      <c r="H11" s="130"/>
      <c r="I11" s="132"/>
      <c r="J11" s="34"/>
    </row>
    <row r="12" spans="1:9" ht="23.25" customHeight="1">
      <c r="A12" s="133" t="s">
        <v>390</v>
      </c>
      <c r="B12" s="134"/>
      <c r="C12" s="134"/>
      <c r="D12" s="134"/>
      <c r="E12" s="134"/>
      <c r="F12" s="134"/>
      <c r="G12" s="134"/>
      <c r="H12" s="134"/>
      <c r="I12" s="134"/>
    </row>
    <row r="13" spans="1:10" ht="26.25" customHeight="1">
      <c r="A13" s="48" t="s">
        <v>391</v>
      </c>
      <c r="B13" s="135" t="s">
        <v>403</v>
      </c>
      <c r="C13" s="136"/>
      <c r="D13" s="48" t="s">
        <v>406</v>
      </c>
      <c r="E13" s="135" t="s">
        <v>415</v>
      </c>
      <c r="F13" s="136"/>
      <c r="G13" s="48" t="s">
        <v>416</v>
      </c>
      <c r="H13" s="135" t="s">
        <v>433</v>
      </c>
      <c r="I13" s="136"/>
      <c r="J13" s="34"/>
    </row>
    <row r="14" spans="1:10" ht="15" customHeight="1">
      <c r="A14" s="49" t="s">
        <v>392</v>
      </c>
      <c r="B14" s="53" t="s">
        <v>404</v>
      </c>
      <c r="C14" s="57">
        <f>SUM('Stavební rozpočet'!AB12:AB176)</f>
        <v>0</v>
      </c>
      <c r="D14" s="137" t="s">
        <v>407</v>
      </c>
      <c r="E14" s="138"/>
      <c r="F14" s="57">
        <f>VORN!I15</f>
        <v>0</v>
      </c>
      <c r="G14" s="137" t="s">
        <v>417</v>
      </c>
      <c r="H14" s="138"/>
      <c r="I14" s="57">
        <f>VORN!I21</f>
        <v>0</v>
      </c>
      <c r="J14" s="34"/>
    </row>
    <row r="15" spans="1:10" ht="15" customHeight="1">
      <c r="A15" s="50"/>
      <c r="B15" s="53" t="s">
        <v>344</v>
      </c>
      <c r="C15" s="57">
        <f>SUM('Stavební rozpočet'!AC12:AC176)</f>
        <v>0</v>
      </c>
      <c r="D15" s="137" t="s">
        <v>408</v>
      </c>
      <c r="E15" s="138"/>
      <c r="F15" s="57">
        <f>VORN!I16</f>
        <v>0</v>
      </c>
      <c r="G15" s="137" t="s">
        <v>418</v>
      </c>
      <c r="H15" s="138"/>
      <c r="I15" s="57">
        <f>VORN!I22</f>
        <v>0</v>
      </c>
      <c r="J15" s="34"/>
    </row>
    <row r="16" spans="1:10" ht="15" customHeight="1">
      <c r="A16" s="49" t="s">
        <v>393</v>
      </c>
      <c r="B16" s="53" t="s">
        <v>404</v>
      </c>
      <c r="C16" s="57">
        <f>SUM('Stavební rozpočet'!AD12:AD176)</f>
        <v>0</v>
      </c>
      <c r="D16" s="137" t="s">
        <v>409</v>
      </c>
      <c r="E16" s="138"/>
      <c r="F16" s="57">
        <f>VORN!I17</f>
        <v>0</v>
      </c>
      <c r="G16" s="137" t="s">
        <v>419</v>
      </c>
      <c r="H16" s="138"/>
      <c r="I16" s="57">
        <f>VORN!I23</f>
        <v>0</v>
      </c>
      <c r="J16" s="34"/>
    </row>
    <row r="17" spans="1:10" ht="15" customHeight="1">
      <c r="A17" s="50"/>
      <c r="B17" s="53" t="s">
        <v>344</v>
      </c>
      <c r="C17" s="57">
        <f>SUM('Stavební rozpočet'!AE12:AE176)+'Stavební rozpočet'!K177</f>
        <v>0</v>
      </c>
      <c r="D17" s="137"/>
      <c r="E17" s="138"/>
      <c r="F17" s="58"/>
      <c r="G17" s="137" t="s">
        <v>420</v>
      </c>
      <c r="H17" s="138"/>
      <c r="I17" s="57">
        <f>VORN!I24</f>
        <v>0</v>
      </c>
      <c r="J17" s="34"/>
    </row>
    <row r="18" spans="1:10" ht="15" customHeight="1">
      <c r="A18" s="49" t="s">
        <v>394</v>
      </c>
      <c r="B18" s="53" t="s">
        <v>404</v>
      </c>
      <c r="C18" s="57">
        <f>SUM('Stavební rozpočet'!AF12:AF176)</f>
        <v>0</v>
      </c>
      <c r="D18" s="137"/>
      <c r="E18" s="138"/>
      <c r="F18" s="58"/>
      <c r="G18" s="137" t="s">
        <v>421</v>
      </c>
      <c r="H18" s="138"/>
      <c r="I18" s="57">
        <f>VORN!I25</f>
        <v>0</v>
      </c>
      <c r="J18" s="34"/>
    </row>
    <row r="19" spans="1:10" ht="15" customHeight="1">
      <c r="A19" s="50"/>
      <c r="B19" s="53" t="s">
        <v>344</v>
      </c>
      <c r="C19" s="57">
        <f>SUM('Stavební rozpočet'!AG12:AG176)</f>
        <v>0</v>
      </c>
      <c r="D19" s="137"/>
      <c r="E19" s="138"/>
      <c r="F19" s="58"/>
      <c r="G19" s="137" t="s">
        <v>422</v>
      </c>
      <c r="H19" s="138"/>
      <c r="I19" s="57">
        <f>VORN!I26</f>
        <v>0</v>
      </c>
      <c r="J19" s="34"/>
    </row>
    <row r="20" spans="1:10" ht="15" customHeight="1">
      <c r="A20" s="139" t="s">
        <v>395</v>
      </c>
      <c r="B20" s="140"/>
      <c r="C20" s="57">
        <f>SUM('Stavební rozpočet'!AH12:AH176)</f>
        <v>0</v>
      </c>
      <c r="D20" s="137"/>
      <c r="E20" s="138"/>
      <c r="F20" s="58"/>
      <c r="G20" s="137"/>
      <c r="H20" s="138"/>
      <c r="I20" s="58"/>
      <c r="J20" s="34"/>
    </row>
    <row r="21" spans="1:10" ht="15" customHeight="1">
      <c r="A21" s="139" t="s">
        <v>396</v>
      </c>
      <c r="B21" s="140"/>
      <c r="C21" s="57">
        <f>SUM('Stavební rozpočet'!Z12:Z176)</f>
        <v>0</v>
      </c>
      <c r="D21" s="137"/>
      <c r="E21" s="138"/>
      <c r="F21" s="58"/>
      <c r="G21" s="137"/>
      <c r="H21" s="138"/>
      <c r="I21" s="58"/>
      <c r="J21" s="34"/>
    </row>
    <row r="22" spans="1:10" ht="16.5" customHeight="1">
      <c r="A22" s="139" t="s">
        <v>397</v>
      </c>
      <c r="B22" s="140"/>
      <c r="C22" s="57">
        <f>SUM(C14:C21)</f>
        <v>0</v>
      </c>
      <c r="D22" s="139" t="s">
        <v>410</v>
      </c>
      <c r="E22" s="140"/>
      <c r="F22" s="57">
        <f>SUM(F14:F21)</f>
        <v>0</v>
      </c>
      <c r="G22" s="139" t="s">
        <v>423</v>
      </c>
      <c r="H22" s="140"/>
      <c r="I22" s="57">
        <f>SUM(I14:I21)</f>
        <v>0</v>
      </c>
      <c r="J22" s="34"/>
    </row>
    <row r="23" spans="1:10" ht="15" customHeight="1">
      <c r="A23" s="8"/>
      <c r="B23" s="8"/>
      <c r="C23" s="55"/>
      <c r="D23" s="139" t="s">
        <v>411</v>
      </c>
      <c r="E23" s="140"/>
      <c r="F23" s="59">
        <v>0</v>
      </c>
      <c r="G23" s="139" t="s">
        <v>424</v>
      </c>
      <c r="H23" s="140"/>
      <c r="I23" s="57">
        <v>0</v>
      </c>
      <c r="J23" s="34"/>
    </row>
    <row r="24" spans="4:10" ht="15" customHeight="1">
      <c r="D24" s="8"/>
      <c r="E24" s="8"/>
      <c r="F24" s="60"/>
      <c r="G24" s="139" t="s">
        <v>425</v>
      </c>
      <c r="H24" s="140"/>
      <c r="I24" s="57">
        <f>vorn_sum</f>
        <v>0</v>
      </c>
      <c r="J24" s="34"/>
    </row>
    <row r="25" spans="6:10" ht="15" customHeight="1">
      <c r="F25" s="61"/>
      <c r="G25" s="139" t="s">
        <v>426</v>
      </c>
      <c r="H25" s="140"/>
      <c r="I25" s="57">
        <v>0</v>
      </c>
      <c r="J25" s="34"/>
    </row>
    <row r="26" spans="1:9" ht="12.75">
      <c r="A26" s="47"/>
      <c r="B26" s="47"/>
      <c r="C26" s="47"/>
      <c r="G26" s="8"/>
      <c r="H26" s="8"/>
      <c r="I26" s="8"/>
    </row>
    <row r="27" spans="1:9" ht="15" customHeight="1">
      <c r="A27" s="141" t="s">
        <v>398</v>
      </c>
      <c r="B27" s="142"/>
      <c r="C27" s="62">
        <f>SUM('Stavební rozpočet'!AJ12:AJ176)</f>
        <v>0</v>
      </c>
      <c r="D27" s="56"/>
      <c r="E27" s="47"/>
      <c r="F27" s="47"/>
      <c r="G27" s="47"/>
      <c r="H27" s="47"/>
      <c r="I27" s="47"/>
    </row>
    <row r="28" spans="1:10" ht="15" customHeight="1">
      <c r="A28" s="141" t="s">
        <v>399</v>
      </c>
      <c r="B28" s="142"/>
      <c r="C28" s="62">
        <f>SUM('Stavební rozpočet'!AK12:AK176)</f>
        <v>0</v>
      </c>
      <c r="D28" s="141" t="s">
        <v>412</v>
      </c>
      <c r="E28" s="142"/>
      <c r="F28" s="62">
        <f>ROUND(C28*(15/100),2)</f>
        <v>0</v>
      </c>
      <c r="G28" s="141" t="s">
        <v>427</v>
      </c>
      <c r="H28" s="142"/>
      <c r="I28" s="62">
        <f>SUM(C27:C29)</f>
        <v>0</v>
      </c>
      <c r="J28" s="34"/>
    </row>
    <row r="29" spans="1:10" ht="15" customHeight="1">
      <c r="A29" s="141" t="s">
        <v>400</v>
      </c>
      <c r="B29" s="142"/>
      <c r="C29" s="62">
        <f>SUM('Stavební rozpočet'!AL12:AL176)+(F22+I22+F23+I23+I24+I25)+'Stavební rozpočet'!K177</f>
        <v>0</v>
      </c>
      <c r="D29" s="141" t="s">
        <v>413</v>
      </c>
      <c r="E29" s="142"/>
      <c r="F29" s="62">
        <f>ROUND(C29*(21/100),2)</f>
        <v>0</v>
      </c>
      <c r="G29" s="141" t="s">
        <v>428</v>
      </c>
      <c r="H29" s="142"/>
      <c r="I29" s="62">
        <f>SUM(F28:F29)+I28</f>
        <v>0</v>
      </c>
      <c r="J29" s="34"/>
    </row>
    <row r="30" spans="1:9" ht="12.75">
      <c r="A30" s="51"/>
      <c r="B30" s="51"/>
      <c r="C30" s="51"/>
      <c r="D30" s="51"/>
      <c r="E30" s="51"/>
      <c r="F30" s="51"/>
      <c r="G30" s="51"/>
      <c r="H30" s="51"/>
      <c r="I30" s="51"/>
    </row>
    <row r="31" spans="1:10" ht="14.25" customHeight="1">
      <c r="A31" s="143" t="s">
        <v>401</v>
      </c>
      <c r="B31" s="144"/>
      <c r="C31" s="145"/>
      <c r="D31" s="143" t="s">
        <v>414</v>
      </c>
      <c r="E31" s="144"/>
      <c r="F31" s="145"/>
      <c r="G31" s="143" t="s">
        <v>429</v>
      </c>
      <c r="H31" s="144"/>
      <c r="I31" s="145"/>
      <c r="J31" s="35"/>
    </row>
    <row r="32" spans="1:10" ht="14.25" customHeight="1">
      <c r="A32" s="146"/>
      <c r="B32" s="147"/>
      <c r="C32" s="148"/>
      <c r="D32" s="146"/>
      <c r="E32" s="147"/>
      <c r="F32" s="148"/>
      <c r="G32" s="146"/>
      <c r="H32" s="147"/>
      <c r="I32" s="148"/>
      <c r="J32" s="35"/>
    </row>
    <row r="33" spans="1:10" ht="14.25" customHeight="1">
      <c r="A33" s="146"/>
      <c r="B33" s="147"/>
      <c r="C33" s="148"/>
      <c r="D33" s="146"/>
      <c r="E33" s="147"/>
      <c r="F33" s="148"/>
      <c r="G33" s="146"/>
      <c r="H33" s="147"/>
      <c r="I33" s="148"/>
      <c r="J33" s="35"/>
    </row>
    <row r="34" spans="1:10" ht="14.25" customHeight="1">
      <c r="A34" s="146"/>
      <c r="B34" s="147"/>
      <c r="C34" s="148"/>
      <c r="D34" s="146"/>
      <c r="E34" s="147"/>
      <c r="F34" s="148"/>
      <c r="G34" s="146"/>
      <c r="H34" s="147"/>
      <c r="I34" s="148"/>
      <c r="J34" s="35"/>
    </row>
    <row r="35" spans="1:10" ht="14.25" customHeight="1">
      <c r="A35" s="149" t="s">
        <v>402</v>
      </c>
      <c r="B35" s="150"/>
      <c r="C35" s="151"/>
      <c r="D35" s="149" t="s">
        <v>402</v>
      </c>
      <c r="E35" s="150"/>
      <c r="F35" s="151"/>
      <c r="G35" s="149" t="s">
        <v>402</v>
      </c>
      <c r="H35" s="150"/>
      <c r="I35" s="151"/>
      <c r="J35" s="35"/>
    </row>
    <row r="36" spans="1:9" ht="11.25" customHeight="1">
      <c r="A36" s="52" t="s">
        <v>101</v>
      </c>
      <c r="B36" s="54"/>
      <c r="C36" s="54"/>
      <c r="D36" s="54"/>
      <c r="E36" s="54"/>
      <c r="F36" s="54"/>
      <c r="G36" s="54"/>
      <c r="H36" s="54"/>
      <c r="I36" s="54"/>
    </row>
    <row r="37" spans="1:9" ht="12.75">
      <c r="A37" s="90"/>
      <c r="B37" s="82"/>
      <c r="C37" s="82"/>
      <c r="D37" s="82"/>
      <c r="E37" s="82"/>
      <c r="F37" s="82"/>
      <c r="G37" s="82"/>
      <c r="H37" s="82"/>
      <c r="I37" s="82"/>
    </row>
  </sheetData>
  <sheetProtection password="CCFD" sheet="1"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3">
      <selection activeCell="I10" sqref="I10:I1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72.75" customHeight="1">
      <c r="A1" s="73"/>
      <c r="B1" s="47"/>
      <c r="C1" s="126" t="s">
        <v>442</v>
      </c>
      <c r="D1" s="78"/>
      <c r="E1" s="78"/>
      <c r="F1" s="78"/>
      <c r="G1" s="78"/>
      <c r="H1" s="78"/>
      <c r="I1" s="78"/>
    </row>
    <row r="2" spans="1:10" ht="12.75">
      <c r="A2" s="79" t="s">
        <v>1</v>
      </c>
      <c r="B2" s="80"/>
      <c r="C2" s="83" t="str">
        <f>'Stavební rozpočet'!C2</f>
        <v>Přestavba objektu</v>
      </c>
      <c r="D2" s="121"/>
      <c r="E2" s="86" t="s">
        <v>333</v>
      </c>
      <c r="F2" s="86" t="str">
        <f>'Stavební rozpočet'!I2</f>
        <v>K2 invest</v>
      </c>
      <c r="G2" s="80"/>
      <c r="H2" s="86" t="s">
        <v>430</v>
      </c>
      <c r="I2" s="127"/>
      <c r="J2" s="34"/>
    </row>
    <row r="3" spans="1:10" ht="12.75">
      <c r="A3" s="81"/>
      <c r="B3" s="82"/>
      <c r="C3" s="84"/>
      <c r="D3" s="84"/>
      <c r="E3" s="82"/>
      <c r="F3" s="82"/>
      <c r="G3" s="82"/>
      <c r="H3" s="82"/>
      <c r="I3" s="88"/>
      <c r="J3" s="34"/>
    </row>
    <row r="4" spans="1:10" ht="12.75">
      <c r="A4" s="89" t="s">
        <v>2</v>
      </c>
      <c r="B4" s="82"/>
      <c r="C4" s="90" t="str">
        <f>'Stavební rozpočet'!C4</f>
        <v>zateplení objektu</v>
      </c>
      <c r="D4" s="82"/>
      <c r="E4" s="90" t="s">
        <v>334</v>
      </c>
      <c r="F4" s="90" t="str">
        <f>'Stavební rozpočet'!I4</f>
        <v> </v>
      </c>
      <c r="G4" s="82"/>
      <c r="H4" s="90" t="s">
        <v>430</v>
      </c>
      <c r="I4" s="128"/>
      <c r="J4" s="34"/>
    </row>
    <row r="5" spans="1:10" ht="12.75">
      <c r="A5" s="81"/>
      <c r="B5" s="82"/>
      <c r="C5" s="82"/>
      <c r="D5" s="82"/>
      <c r="E5" s="82"/>
      <c r="F5" s="82"/>
      <c r="G5" s="82"/>
      <c r="H5" s="82"/>
      <c r="I5" s="88"/>
      <c r="J5" s="34"/>
    </row>
    <row r="6" spans="1:10" ht="12.75">
      <c r="A6" s="89" t="s">
        <v>3</v>
      </c>
      <c r="B6" s="82"/>
      <c r="C6" s="90" t="str">
        <f>'Stavební rozpočet'!C6</f>
        <v>Na Brně, Hradec Králové parc.č. st. 204/2 kat. úz. Nový Hradec Králové</v>
      </c>
      <c r="D6" s="82"/>
      <c r="E6" s="90" t="s">
        <v>335</v>
      </c>
      <c r="F6" s="90">
        <f>'Stavební rozpočet'!I6</f>
        <v>0</v>
      </c>
      <c r="G6" s="82"/>
      <c r="H6" s="90" t="s">
        <v>430</v>
      </c>
      <c r="I6" s="128"/>
      <c r="J6" s="34"/>
    </row>
    <row r="7" spans="1:10" ht="12.75">
      <c r="A7" s="81"/>
      <c r="B7" s="82"/>
      <c r="C7" s="82"/>
      <c r="D7" s="82"/>
      <c r="E7" s="82"/>
      <c r="F7" s="82"/>
      <c r="G7" s="82"/>
      <c r="H7" s="82"/>
      <c r="I7" s="88"/>
      <c r="J7" s="34"/>
    </row>
    <row r="8" spans="1:10" ht="12.75">
      <c r="A8" s="89" t="s">
        <v>321</v>
      </c>
      <c r="B8" s="82"/>
      <c r="C8" s="90">
        <f>'Stavební rozpočet'!F4</f>
        <v>0</v>
      </c>
      <c r="D8" s="82"/>
      <c r="E8" s="90" t="s">
        <v>322</v>
      </c>
      <c r="F8" s="90" t="str">
        <f>'Stavební rozpočet'!F6</f>
        <v> </v>
      </c>
      <c r="G8" s="82"/>
      <c r="H8" s="91" t="s">
        <v>431</v>
      </c>
      <c r="I8" s="128" t="s">
        <v>507</v>
      </c>
      <c r="J8" s="34"/>
    </row>
    <row r="9" spans="1:10" ht="12.75">
      <c r="A9" s="81"/>
      <c r="B9" s="82"/>
      <c r="C9" s="82"/>
      <c r="D9" s="82"/>
      <c r="E9" s="82"/>
      <c r="F9" s="82"/>
      <c r="G9" s="82"/>
      <c r="H9" s="82"/>
      <c r="I9" s="88"/>
      <c r="J9" s="34"/>
    </row>
    <row r="10" spans="1:10" ht="12.75">
      <c r="A10" s="89" t="s">
        <v>4</v>
      </c>
      <c r="B10" s="82"/>
      <c r="C10" s="90" t="str">
        <f>'Stavební rozpočet'!C8</f>
        <v> </v>
      </c>
      <c r="D10" s="82"/>
      <c r="E10" s="90" t="s">
        <v>336</v>
      </c>
      <c r="F10" s="90" t="str">
        <f>'Stavební rozpočet'!I8</f>
        <v> </v>
      </c>
      <c r="G10" s="82"/>
      <c r="H10" s="91" t="s">
        <v>432</v>
      </c>
      <c r="I10" s="131">
        <f>'Stavební rozpočet'!F8</f>
        <v>0</v>
      </c>
      <c r="J10" s="34"/>
    </row>
    <row r="11" spans="1:10" ht="12.75">
      <c r="A11" s="129"/>
      <c r="B11" s="130"/>
      <c r="C11" s="130"/>
      <c r="D11" s="130"/>
      <c r="E11" s="130"/>
      <c r="F11" s="130"/>
      <c r="G11" s="130"/>
      <c r="H11" s="130"/>
      <c r="I11" s="132"/>
      <c r="J11" s="34"/>
    </row>
    <row r="12" spans="1:9" ht="12.75">
      <c r="A12" s="8"/>
      <c r="B12" s="8"/>
      <c r="C12" s="8"/>
      <c r="D12" s="8"/>
      <c r="E12" s="8"/>
      <c r="F12" s="8"/>
      <c r="G12" s="8"/>
      <c r="H12" s="8"/>
      <c r="I12" s="8"/>
    </row>
    <row r="13" spans="1:9" ht="15" customHeight="1">
      <c r="A13" s="152" t="s">
        <v>434</v>
      </c>
      <c r="B13" s="153"/>
      <c r="C13" s="153"/>
      <c r="D13" s="153"/>
      <c r="E13" s="153"/>
      <c r="F13" s="64"/>
      <c r="G13" s="64"/>
      <c r="H13" s="64"/>
      <c r="I13" s="64"/>
    </row>
    <row r="14" spans="1:10" ht="12.75">
      <c r="A14" s="154" t="s">
        <v>435</v>
      </c>
      <c r="B14" s="155"/>
      <c r="C14" s="155"/>
      <c r="D14" s="155"/>
      <c r="E14" s="156"/>
      <c r="F14" s="65" t="s">
        <v>443</v>
      </c>
      <c r="G14" s="65" t="s">
        <v>444</v>
      </c>
      <c r="H14" s="65" t="s">
        <v>445</v>
      </c>
      <c r="I14" s="65" t="s">
        <v>443</v>
      </c>
      <c r="J14" s="35"/>
    </row>
    <row r="15" spans="1:10" ht="12.75">
      <c r="A15" s="157" t="s">
        <v>407</v>
      </c>
      <c r="B15" s="158"/>
      <c r="C15" s="158"/>
      <c r="D15" s="158"/>
      <c r="E15" s="159"/>
      <c r="F15" s="66">
        <v>0</v>
      </c>
      <c r="G15" s="69"/>
      <c r="H15" s="69"/>
      <c r="I15" s="66">
        <f>F15</f>
        <v>0</v>
      </c>
      <c r="J15" s="34"/>
    </row>
    <row r="16" spans="1:10" ht="12.75">
      <c r="A16" s="157" t="s">
        <v>408</v>
      </c>
      <c r="B16" s="158"/>
      <c r="C16" s="158"/>
      <c r="D16" s="158"/>
      <c r="E16" s="159"/>
      <c r="F16" s="66">
        <v>0</v>
      </c>
      <c r="G16" s="69"/>
      <c r="H16" s="69"/>
      <c r="I16" s="66">
        <f>F16</f>
        <v>0</v>
      </c>
      <c r="J16" s="34"/>
    </row>
    <row r="17" spans="1:10" ht="12.75">
      <c r="A17" s="160" t="s">
        <v>409</v>
      </c>
      <c r="B17" s="161"/>
      <c r="C17" s="161"/>
      <c r="D17" s="161"/>
      <c r="E17" s="162"/>
      <c r="F17" s="67">
        <v>0</v>
      </c>
      <c r="G17" s="70"/>
      <c r="H17" s="70"/>
      <c r="I17" s="67">
        <f>F17</f>
        <v>0</v>
      </c>
      <c r="J17" s="34"/>
    </row>
    <row r="18" spans="1:10" ht="12.75">
      <c r="A18" s="163" t="s">
        <v>436</v>
      </c>
      <c r="B18" s="164"/>
      <c r="C18" s="164"/>
      <c r="D18" s="164"/>
      <c r="E18" s="165"/>
      <c r="F18" s="68"/>
      <c r="G18" s="71"/>
      <c r="H18" s="71"/>
      <c r="I18" s="72">
        <f>SUM(I15:I17)</f>
        <v>0</v>
      </c>
      <c r="J18" s="35"/>
    </row>
    <row r="19" spans="1:9" ht="12.75">
      <c r="A19" s="63"/>
      <c r="B19" s="63"/>
      <c r="C19" s="63"/>
      <c r="D19" s="63"/>
      <c r="E19" s="63"/>
      <c r="F19" s="63"/>
      <c r="G19" s="63"/>
      <c r="H19" s="63"/>
      <c r="I19" s="63"/>
    </row>
    <row r="20" spans="1:10" ht="12.75">
      <c r="A20" s="154" t="s">
        <v>433</v>
      </c>
      <c r="B20" s="155"/>
      <c r="C20" s="155"/>
      <c r="D20" s="155"/>
      <c r="E20" s="156"/>
      <c r="F20" s="65" t="s">
        <v>443</v>
      </c>
      <c r="G20" s="65" t="s">
        <v>444</v>
      </c>
      <c r="H20" s="65" t="s">
        <v>445</v>
      </c>
      <c r="I20" s="65" t="s">
        <v>443</v>
      </c>
      <c r="J20" s="35"/>
    </row>
    <row r="21" spans="1:10" ht="12.75">
      <c r="A21" s="157" t="s">
        <v>417</v>
      </c>
      <c r="B21" s="158"/>
      <c r="C21" s="158"/>
      <c r="D21" s="158"/>
      <c r="E21" s="159"/>
      <c r="F21" s="69"/>
      <c r="G21" s="66">
        <v>2</v>
      </c>
      <c r="H21" s="66">
        <f>'Krycí list rozpočtu'!C22</f>
        <v>0</v>
      </c>
      <c r="I21" s="66">
        <f>ROUND((G21/100)*H21,2)</f>
        <v>0</v>
      </c>
      <c r="J21" s="34"/>
    </row>
    <row r="22" spans="1:10" ht="12.75">
      <c r="A22" s="157" t="s">
        <v>418</v>
      </c>
      <c r="B22" s="158"/>
      <c r="C22" s="158"/>
      <c r="D22" s="158"/>
      <c r="E22" s="159"/>
      <c r="F22" s="66">
        <v>0</v>
      </c>
      <c r="G22" s="69"/>
      <c r="H22" s="69"/>
      <c r="I22" s="66">
        <f>F22</f>
        <v>0</v>
      </c>
      <c r="J22" s="34"/>
    </row>
    <row r="23" spans="1:10" ht="12.75">
      <c r="A23" s="157" t="s">
        <v>419</v>
      </c>
      <c r="B23" s="158"/>
      <c r="C23" s="158"/>
      <c r="D23" s="158"/>
      <c r="E23" s="159"/>
      <c r="F23" s="66">
        <v>0</v>
      </c>
      <c r="G23" s="69"/>
      <c r="H23" s="69"/>
      <c r="I23" s="66">
        <f>F23</f>
        <v>0</v>
      </c>
      <c r="J23" s="34"/>
    </row>
    <row r="24" spans="1:10" ht="12.75">
      <c r="A24" s="157" t="s">
        <v>420</v>
      </c>
      <c r="B24" s="158"/>
      <c r="C24" s="158"/>
      <c r="D24" s="158"/>
      <c r="E24" s="159"/>
      <c r="F24" s="66">
        <v>0</v>
      </c>
      <c r="G24" s="69"/>
      <c r="H24" s="69"/>
      <c r="I24" s="66">
        <f>F24</f>
        <v>0</v>
      </c>
      <c r="J24" s="34"/>
    </row>
    <row r="25" spans="1:10" ht="12.75">
      <c r="A25" s="157" t="s">
        <v>421</v>
      </c>
      <c r="B25" s="158"/>
      <c r="C25" s="158"/>
      <c r="D25" s="158"/>
      <c r="E25" s="159"/>
      <c r="F25" s="66">
        <v>0</v>
      </c>
      <c r="G25" s="69"/>
      <c r="H25" s="69"/>
      <c r="I25" s="66">
        <f>F25</f>
        <v>0</v>
      </c>
      <c r="J25" s="34"/>
    </row>
    <row r="26" spans="1:10" ht="12.75">
      <c r="A26" s="160" t="s">
        <v>422</v>
      </c>
      <c r="B26" s="161"/>
      <c r="C26" s="161"/>
      <c r="D26" s="161"/>
      <c r="E26" s="162"/>
      <c r="F26" s="67">
        <v>0</v>
      </c>
      <c r="G26" s="70"/>
      <c r="H26" s="70"/>
      <c r="I26" s="67">
        <f>F26</f>
        <v>0</v>
      </c>
      <c r="J26" s="34"/>
    </row>
    <row r="27" spans="1:10" ht="12.75">
      <c r="A27" s="163" t="s">
        <v>437</v>
      </c>
      <c r="B27" s="164"/>
      <c r="C27" s="164"/>
      <c r="D27" s="164"/>
      <c r="E27" s="165"/>
      <c r="F27" s="68"/>
      <c r="G27" s="71"/>
      <c r="H27" s="71"/>
      <c r="I27" s="72">
        <f>SUM(I21:I26)</f>
        <v>0</v>
      </c>
      <c r="J27" s="35"/>
    </row>
    <row r="28" spans="1:9" ht="12.75">
      <c r="A28" s="63"/>
      <c r="B28" s="63"/>
      <c r="C28" s="63"/>
      <c r="D28" s="63"/>
      <c r="E28" s="63"/>
      <c r="F28" s="63"/>
      <c r="G28" s="63"/>
      <c r="H28" s="63"/>
      <c r="I28" s="63"/>
    </row>
    <row r="29" spans="1:10" ht="15" customHeight="1">
      <c r="A29" s="166" t="s">
        <v>438</v>
      </c>
      <c r="B29" s="167"/>
      <c r="C29" s="167"/>
      <c r="D29" s="167"/>
      <c r="E29" s="168"/>
      <c r="F29" s="169">
        <f>I18+I27</f>
        <v>0</v>
      </c>
      <c r="G29" s="170"/>
      <c r="H29" s="170"/>
      <c r="I29" s="171"/>
      <c r="J29" s="35"/>
    </row>
    <row r="30" spans="1:9" ht="12.75">
      <c r="A30" s="54"/>
      <c r="B30" s="54"/>
      <c r="C30" s="54"/>
      <c r="D30" s="54"/>
      <c r="E30" s="54"/>
      <c r="F30" s="54"/>
      <c r="G30" s="54"/>
      <c r="H30" s="54"/>
      <c r="I30" s="54"/>
    </row>
    <row r="33" spans="1:9" ht="15" customHeight="1">
      <c r="A33" s="152" t="s">
        <v>439</v>
      </c>
      <c r="B33" s="153"/>
      <c r="C33" s="153"/>
      <c r="D33" s="153"/>
      <c r="E33" s="153"/>
      <c r="F33" s="64"/>
      <c r="G33" s="64"/>
      <c r="H33" s="64"/>
      <c r="I33" s="64"/>
    </row>
    <row r="34" spans="1:10" ht="12.75">
      <c r="A34" s="154" t="s">
        <v>440</v>
      </c>
      <c r="B34" s="155"/>
      <c r="C34" s="155"/>
      <c r="D34" s="155"/>
      <c r="E34" s="156"/>
      <c r="F34" s="65" t="s">
        <v>443</v>
      </c>
      <c r="G34" s="65" t="s">
        <v>444</v>
      </c>
      <c r="H34" s="65" t="s">
        <v>445</v>
      </c>
      <c r="I34" s="65" t="s">
        <v>443</v>
      </c>
      <c r="J34" s="35"/>
    </row>
    <row r="35" spans="1:10" ht="12.75">
      <c r="A35" s="160"/>
      <c r="B35" s="161"/>
      <c r="C35" s="161"/>
      <c r="D35" s="161"/>
      <c r="E35" s="162"/>
      <c r="F35" s="67">
        <v>0</v>
      </c>
      <c r="G35" s="70"/>
      <c r="H35" s="70"/>
      <c r="I35" s="67">
        <f>F35</f>
        <v>0</v>
      </c>
      <c r="J35" s="34"/>
    </row>
    <row r="36" spans="1:10" ht="12.75">
      <c r="A36" s="163" t="s">
        <v>441</v>
      </c>
      <c r="B36" s="164"/>
      <c r="C36" s="164"/>
      <c r="D36" s="164"/>
      <c r="E36" s="165"/>
      <c r="F36" s="68"/>
      <c r="G36" s="71"/>
      <c r="H36" s="71"/>
      <c r="I36" s="72">
        <f>SUM(I35:I35)</f>
        <v>0</v>
      </c>
      <c r="J36" s="35"/>
    </row>
    <row r="37" spans="1:9" ht="12.75">
      <c r="A37" s="54"/>
      <c r="B37" s="54"/>
      <c r="C37" s="54"/>
      <c r="D37" s="54"/>
      <c r="E37" s="54"/>
      <c r="F37" s="54"/>
      <c r="G37" s="54"/>
      <c r="H37" s="54"/>
      <c r="I37" s="54"/>
    </row>
  </sheetData>
  <sheetProtection password="CCFD" sheet="1"/>
  <mergeCells count="51">
    <mergeCell ref="A35:E35"/>
    <mergeCell ref="A36:E36"/>
    <mergeCell ref="A26:E26"/>
    <mergeCell ref="A27:E27"/>
    <mergeCell ref="A29:E29"/>
    <mergeCell ref="F29:I29"/>
    <mergeCell ref="A33:E33"/>
    <mergeCell ref="A34:E34"/>
    <mergeCell ref="A20:E20"/>
    <mergeCell ref="A21:E21"/>
    <mergeCell ref="A22:E22"/>
    <mergeCell ref="A23:E23"/>
    <mergeCell ref="A24:E24"/>
    <mergeCell ref="A25:E25"/>
    <mergeCell ref="A13:E13"/>
    <mergeCell ref="A14:E14"/>
    <mergeCell ref="A15:E15"/>
    <mergeCell ref="A16:E16"/>
    <mergeCell ref="A17:E17"/>
    <mergeCell ref="A18:E18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Friedl</dc:creator>
  <cp:keywords/>
  <dc:description/>
  <cp:lastModifiedBy>Pavel Melichar</cp:lastModifiedBy>
  <dcterms:created xsi:type="dcterms:W3CDTF">2020-12-16T13:21:44Z</dcterms:created>
  <dcterms:modified xsi:type="dcterms:W3CDTF">2020-12-27T18:47:57Z</dcterms:modified>
  <cp:category/>
  <cp:version/>
  <cp:contentType/>
  <cp:contentStatus/>
</cp:coreProperties>
</file>