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<sst xmlns="http://schemas.openxmlformats.org/spreadsheetml/2006/main" count="1022" uniqueCount="348">
  <si>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</si>
  <si>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</si>
  <si>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</si>
  <si>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</si>
  <si>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</si>
  <si>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</si>
  <si>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</si>
  <si>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</si>
  <si>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</si>
  <si>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</si>
  <si>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</si>
  <si>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</si>
  <si>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</si>
  <si>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</si>
  <si>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</si>
  <si>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</si>
  <si>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</si>
  <si>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</si>
  <si>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</si>
  <si>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</si>
  <si>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</si>
  <si>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</si>
  <si>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</si>
  <si>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</si>
  <si>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</si>
  <si>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</si>
  <si>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</si>
  <si>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</si>
  <si>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</si>
  <si>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</si>
  <si>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</si>
  <si>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</si>
  <si>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</si>
  <si>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</si>
  <si>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</si>
  <si>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</si>
  <si>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</si>
  <si>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</si>
  <si>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</si>
  <si>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</si>
  <si>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</si>
  <si>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</si>
  <si>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</si>
  <si>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</si>
  <si>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</si>
  <si>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</si>
  <si>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</si>
  <si>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</si>
  <si>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</si>
  <si>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</si>
  <si>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</si>
  <si>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</si>
  <si>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</si>
  <si>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</si>
  <si>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</si>
  <si>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</si>
  <si>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</si>
  <si>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</si>
  <si>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</si>
  <si>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</si>
  <si>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</si>
  <si>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</si>
  <si>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</si>
  <si>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</si>
  <si>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</si>
  <si>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</si>
  <si>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Poznámka:</t>
  </si>
  <si>
    <t>Objekt</t>
  </si>
  <si>
    <t>210</t>
  </si>
  <si>
    <t>731</t>
  </si>
  <si>
    <t>732</t>
  </si>
  <si>
    <t>733</t>
  </si>
  <si>
    <t>734</t>
  </si>
  <si>
    <t>735</t>
  </si>
  <si>
    <t>767</t>
  </si>
  <si>
    <t>783</t>
  </si>
  <si>
    <t>904</t>
  </si>
  <si>
    <t>998</t>
  </si>
  <si>
    <t>Kód</t>
  </si>
  <si>
    <t>M21</t>
  </si>
  <si>
    <t>211-pc2</t>
  </si>
  <si>
    <t>731-pc10</t>
  </si>
  <si>
    <t>107-0010021456</t>
  </si>
  <si>
    <t>107-0010031920</t>
  </si>
  <si>
    <t>107-0020252091</t>
  </si>
  <si>
    <t>732219301R00</t>
  </si>
  <si>
    <t>732339102R00</t>
  </si>
  <si>
    <t>320 - 8260100</t>
  </si>
  <si>
    <t>733113113R00</t>
  </si>
  <si>
    <t>733163102R00</t>
  </si>
  <si>
    <t>733163103R00</t>
  </si>
  <si>
    <t>733163104R00</t>
  </si>
  <si>
    <t>733163105R00</t>
  </si>
  <si>
    <t>733163106R00</t>
  </si>
  <si>
    <t>733190106R00</t>
  </si>
  <si>
    <t>734-001101</t>
  </si>
  <si>
    <t>734-002101</t>
  </si>
  <si>
    <t>734209102RT2</t>
  </si>
  <si>
    <t>734209103R00</t>
  </si>
  <si>
    <t>734209113R00</t>
  </si>
  <si>
    <t>734209114R00</t>
  </si>
  <si>
    <t>734209115R00</t>
  </si>
  <si>
    <t>734209116R00</t>
  </si>
  <si>
    <t>734421130R00</t>
  </si>
  <si>
    <t>734424912R00</t>
  </si>
  <si>
    <t>320 - 6830100</t>
  </si>
  <si>
    <t>342-H-0091IMV</t>
  </si>
  <si>
    <t>342-H-0581</t>
  </si>
  <si>
    <t>3451060206IMV</t>
  </si>
  <si>
    <t>R248X002</t>
  </si>
  <si>
    <t>R250X005</t>
  </si>
  <si>
    <t>R250X006</t>
  </si>
  <si>
    <t>R88IY002</t>
  </si>
  <si>
    <t>735156910R00</t>
  </si>
  <si>
    <t>735156920R00</t>
  </si>
  <si>
    <t>735159111R00</t>
  </si>
  <si>
    <t>48457368</t>
  </si>
  <si>
    <t>48457420.A</t>
  </si>
  <si>
    <t>48457425.A</t>
  </si>
  <si>
    <t>48457579.A</t>
  </si>
  <si>
    <t>48457581.A</t>
  </si>
  <si>
    <t>767-pc1001</t>
  </si>
  <si>
    <t>767 - 10101</t>
  </si>
  <si>
    <t>767 - 10102</t>
  </si>
  <si>
    <t>767 - 10103</t>
  </si>
  <si>
    <t>767 - 10104</t>
  </si>
  <si>
    <t>767 - 20101</t>
  </si>
  <si>
    <t>767 - 20103</t>
  </si>
  <si>
    <t>783434340R00</t>
  </si>
  <si>
    <t>90</t>
  </si>
  <si>
    <t>904  R06</t>
  </si>
  <si>
    <t>904-1</t>
  </si>
  <si>
    <t>904-2</t>
  </si>
  <si>
    <t>H731</t>
  </si>
  <si>
    <t>998731201R00</t>
  </si>
  <si>
    <t>H732</t>
  </si>
  <si>
    <t>998732201R00</t>
  </si>
  <si>
    <t>H733</t>
  </si>
  <si>
    <t>998733201R00</t>
  </si>
  <si>
    <t>H734</t>
  </si>
  <si>
    <t>998734201R00</t>
  </si>
  <si>
    <t>H735</t>
  </si>
  <si>
    <t>998735201R00</t>
  </si>
  <si>
    <t>H767</t>
  </si>
  <si>
    <t>998767201R00</t>
  </si>
  <si>
    <t>Vytápění objektu SO-04 firmy Marwel s.r.o.</t>
  </si>
  <si>
    <t>D 1.4.a - zařízení pro vytápění</t>
  </si>
  <si>
    <t>Plučisko</t>
  </si>
  <si>
    <t>Zkrácený popis</t>
  </si>
  <si>
    <t>Rozměry</t>
  </si>
  <si>
    <t>Elektromontáže</t>
  </si>
  <si>
    <t>dopojení elektro vč. materiálu</t>
  </si>
  <si>
    <t>Kotelny</t>
  </si>
  <si>
    <t>montáž tepelného čerpadla</t>
  </si>
  <si>
    <t>Ostatní materiál</t>
  </si>
  <si>
    <t>Akumulační zásobník 100 l</t>
  </si>
  <si>
    <t>Sestava TČ6,7 kW + vnitř.jednotka + regulátor</t>
  </si>
  <si>
    <t>Silentbloky pro TČ, sada</t>
  </si>
  <si>
    <t>Strojovny</t>
  </si>
  <si>
    <t>Montáž ohříváků vody stojat.kombinovaných do 200 l</t>
  </si>
  <si>
    <t>Montáž nádoby expanzní tlakové 25 l.</t>
  </si>
  <si>
    <t>membránová expanzní nádoba, obj. 25 l, 6 bar</t>
  </si>
  <si>
    <t>Rozvod potrubí</t>
  </si>
  <si>
    <t>Příplatek za zhotovení přípojky DN 15</t>
  </si>
  <si>
    <t>Potrubí z měděných trubek vytápění D 15 x 1,0 mm</t>
  </si>
  <si>
    <t>Potrubí z měděných trubek vytápění D 18 x 1,0 mm</t>
  </si>
  <si>
    <t>Potrubí z měděných trubek vytápění D 22 x 1 ,0mm</t>
  </si>
  <si>
    <t>Potrubí z měděných trubek vytápění D 28 x 1,5 mm</t>
  </si>
  <si>
    <t>Potrubí z měděných trubek vytápění D 35 x 1,5 mm</t>
  </si>
  <si>
    <t>Tlaková zkouška potrubí  DN 32</t>
  </si>
  <si>
    <t>Armatury</t>
  </si>
  <si>
    <t>montáž termostatických hlavic</t>
  </si>
  <si>
    <t>vyregulování termostatických ventilů</t>
  </si>
  <si>
    <t>Montáž armatur závitových,s 1závitem, G 3/8</t>
  </si>
  <si>
    <t>Montáž armatur závitových,s 1závitem, G 1/2</t>
  </si>
  <si>
    <t>Montáž armatur závitových,se 2závity, G 1/2</t>
  </si>
  <si>
    <t>Montáž armatur závitových,se 2závity, G 3/4</t>
  </si>
  <si>
    <t>Montáž armatur závitových,se 2závity, G 1</t>
  </si>
  <si>
    <t>Montáž armatur závitových,se 2závity, G 5/4</t>
  </si>
  <si>
    <t>Tlakoměr deformační 0-10 MPa č. 03313, D 160</t>
  </si>
  <si>
    <t>Kohout tlakoměru čep.K 70-181-716,M20x1,5</t>
  </si>
  <si>
    <t>MK kulový kohout se zajištěním závitový G 3/4"</t>
  </si>
  <si>
    <t>Šroubení pro tělesa VK s dvojitým kulovým uzávěrem</t>
  </si>
  <si>
    <t>Termostatická hlavice D - bílá</t>
  </si>
  <si>
    <t>Smyčkový regulační ventil, závitový DN 20</t>
  </si>
  <si>
    <t>Kul.kohout  nap./vyp., vnitřní/vnější záv. 1/2" x3/4"</t>
  </si>
  <si>
    <t>Kulový kohout, chromovaný 1"   červený</t>
  </si>
  <si>
    <t>Kulový kohout, chromovaný 1 1/4 červený</t>
  </si>
  <si>
    <t>Automatický odvzdušňovací ventil, svislý + zpětný ventil, mosaz 3/8"</t>
  </si>
  <si>
    <t>Otopná tělesa</t>
  </si>
  <si>
    <t>Tlakové zkoušky otopných těles 10-11</t>
  </si>
  <si>
    <t>Tlakové zkoušky otopných těles 20-22</t>
  </si>
  <si>
    <t>Montáž panelových těles do délky 1600 mm</t>
  </si>
  <si>
    <t>Těleso otopné des. typ 10 VK v. 600 dl. 400</t>
  </si>
  <si>
    <t>Těleso otopné des. typ 11 VK v. 600 dl. 500</t>
  </si>
  <si>
    <t>Těleso otopné des. typ 11 VK v. 600 dl. 1000</t>
  </si>
  <si>
    <t>Těleso otopné des. typ 22 VK v. 600 dl. 800</t>
  </si>
  <si>
    <t>Těleso otopné des. typ 22 VK v. 600 dl. 1000</t>
  </si>
  <si>
    <t>Konstrukce doplňkové stavební</t>
  </si>
  <si>
    <t>Konstrukce doplňkové stavební (zámečnické)</t>
  </si>
  <si>
    <t>montáž upevňovacích příchytek</t>
  </si>
  <si>
    <t>upevňovací systém, příchytka potrubí PU 010 - 3/8"</t>
  </si>
  <si>
    <t>upevňovací systém, příchytka potrubí PU 010 - 1/2"</t>
  </si>
  <si>
    <t>upevňovací systém, příchytka potrubí PU 010 - 3/4"</t>
  </si>
  <si>
    <t>upevňovací systém, příchytka potrubí PU 010 - 1"</t>
  </si>
  <si>
    <t>kovová hmoždinka HK-1 pro příchytky</t>
  </si>
  <si>
    <t>vrut m8 x 100 pro příchytky</t>
  </si>
  <si>
    <t>Nátěry</t>
  </si>
  <si>
    <t>Nátěr chlorkaučuk.potrubí do DN 50 mm Z +2x email</t>
  </si>
  <si>
    <t>Hodinové zúčtovací sazby</t>
  </si>
  <si>
    <t>Hodinové zúčtovací sazby (HZS)</t>
  </si>
  <si>
    <t>napuštění a odvzdušnění otopného systému</t>
  </si>
  <si>
    <t>zkouška těsnosti</t>
  </si>
  <si>
    <t>dilatační zkouška</t>
  </si>
  <si>
    <t>topná zkouška</t>
  </si>
  <si>
    <t>Přesuny hmot</t>
  </si>
  <si>
    <t>Přesun hmot pro kotelny, výšky do 6 m</t>
  </si>
  <si>
    <t>Přesun hmot pro strojovny, výšky do 6 m</t>
  </si>
  <si>
    <t>Přesun hmot pro rozvody potrubí, výšky do 6 m</t>
  </si>
  <si>
    <t>Přesun hmot pro armatury, výšky do 6 m</t>
  </si>
  <si>
    <t>Přesun hmot pro otopná tělesa, výšky do 6 m</t>
  </si>
  <si>
    <t>Přesun hmot pro zámečnické konstr., výšky do 6 m</t>
  </si>
  <si>
    <t>Doba výstavby:</t>
  </si>
  <si>
    <t>Začátek výstavby:</t>
  </si>
  <si>
    <t>Konec výstavby:</t>
  </si>
  <si>
    <t>Zpracováno dne:</t>
  </si>
  <si>
    <t>M.j.</t>
  </si>
  <si>
    <t>sb</t>
  </si>
  <si>
    <t>soubor</t>
  </si>
  <si>
    <t>ks</t>
  </si>
  <si>
    <t>kus</t>
  </si>
  <si>
    <t>m</t>
  </si>
  <si>
    <t>h</t>
  </si>
  <si>
    <t>%</t>
  </si>
  <si>
    <t>Množství</t>
  </si>
  <si>
    <t>04.08.2019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</si>
  <si>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</si>
  <si>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</si>
  <si>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</si>
  <si>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</si>
  <si>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</si>
  <si>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</si>
  <si>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</si>
  <si>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</si>
  <si>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</si>
  <si>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</si>
  <si>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Marwel s.r.o. Záříčí</t>
  </si>
  <si>
    <t>Spolprojekt,Jiráskova 839, Kroměříž</t>
  </si>
  <si>
    <t>Bohuslav Řípa</t>
  </si>
  <si>
    <t>Celkem</t>
  </si>
  <si>
    <t>Hmotnost (t)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</si>
  <si>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</si>
  <si>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</si>
  <si>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</si>
  <si>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</si>
  <si>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</si>
  <si>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</si>
  <si>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</si>
  <si>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</si>
  <si>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</si>
  <si>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</si>
  <si>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</si>
  <si>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</si>
  <si>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M21_</t>
  </si>
  <si>
    <t>731_</t>
  </si>
  <si>
    <t>Z99999_</t>
  </si>
  <si>
    <t>732_</t>
  </si>
  <si>
    <t>733_</t>
  </si>
  <si>
    <t>734_</t>
  </si>
  <si>
    <t>735_</t>
  </si>
  <si>
    <t>767_</t>
  </si>
  <si>
    <t>783_</t>
  </si>
  <si>
    <t>90_</t>
  </si>
  <si>
    <t>H731_</t>
  </si>
  <si>
    <t>H732_</t>
  </si>
  <si>
    <t>H733_</t>
  </si>
  <si>
    <t>H734_</t>
  </si>
  <si>
    <t>H735_</t>
  </si>
  <si>
    <t>H767_</t>
  </si>
  <si>
    <t>210_9_</t>
  </si>
  <si>
    <t>731_73_</t>
  </si>
  <si>
    <t>731_Z_</t>
  </si>
  <si>
    <t>732_73_</t>
  </si>
  <si>
    <t>732_Z_</t>
  </si>
  <si>
    <t>733_73_</t>
  </si>
  <si>
    <t>734_73_</t>
  </si>
  <si>
    <t>734_Z_</t>
  </si>
  <si>
    <t>735_73_</t>
  </si>
  <si>
    <t>735_Z_</t>
  </si>
  <si>
    <t>767_76_</t>
  </si>
  <si>
    <t>767_Z_</t>
  </si>
  <si>
    <t>783_78_</t>
  </si>
  <si>
    <t>904_9_</t>
  </si>
  <si>
    <t>998_9_</t>
  </si>
  <si>
    <t>210_</t>
  </si>
  <si>
    <t>904_</t>
  </si>
  <si>
    <t>998_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</si>
  <si>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</si>
  <si>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</si>
  <si>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</si>
  <si>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</si>
  <si>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</si>
  <si>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</si>
  <si>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</si>
  <si>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</si>
  <si>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</si>
  <si>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</si>
  <si>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</si>
  <si>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</si>
  <si>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</si>
  <si>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</si>
  <si>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</si>
  <si>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</si>
  <si>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</si>
  <si>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</si>
  <si>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</si>
  <si>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</si>
  <si>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</si>
  <si>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</si>
  <si>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</si>
  <si>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</si>
  <si>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</si>
  <si>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</si>
  <si>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</si>
  <si>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</si>
  <si>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</si>
  <si>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</si>
  <si>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</si>
  <si>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</si>
  <si>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</si>
  <si>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</si>
  <si>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</si>
  <si>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</si>
  <si>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</si>
  <si>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</si>
  <si>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</si>
  <si>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</si>
  <si>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</si>
  <si>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</si>
  <si>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</si>
  <si>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</si>
  <si>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</si>
  <si>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</si>
  <si>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</si>
  <si>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</si>
  <si>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</si>
  <si>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</si>
  <si>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11515627/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</si>
</sst>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2" fillId="35" borderId="29" xfId="0" applyNumberFormat="1" applyFont="1" applyFill="1" applyBorder="1" applyAlignment="1" applyProtection="1">
      <alignment horizontal="center" vertical="center"/>
      <protection/>
    </xf>
    <xf numFmtId="49" fontId="13" fillId="0" borderId="30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14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4" fillId="0" borderId="29" xfId="0" applyNumberFormat="1" applyFont="1" applyFill="1" applyBorder="1" applyAlignment="1" applyProtection="1">
      <alignment horizontal="right" vertical="center"/>
      <protection/>
    </xf>
    <xf numFmtId="49" fontId="14" fillId="0" borderId="29" xfId="0" applyNumberFormat="1" applyFont="1" applyFill="1" applyBorder="1" applyAlignment="1" applyProtection="1">
      <alignment horizontal="right" vertical="center"/>
      <protection/>
    </xf>
    <xf numFmtId="4" fontId="14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3" fillId="35" borderId="37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/>
    </xf>
    <xf numFmtId="49" fontId="14" fillId="0" borderId="46" xfId="0" applyNumberFormat="1" applyFont="1" applyFill="1" applyBorder="1" applyAlignment="1" applyProtection="1">
      <alignment horizontal="left" vertical="center"/>
      <protection/>
    </xf>
    <xf numFmtId="0" fontId="14" fillId="0" borderId="42" xfId="0" applyNumberFormat="1" applyFont="1" applyFill="1" applyBorder="1" applyAlignment="1" applyProtection="1">
      <alignment horizontal="left" vertical="center"/>
      <protection/>
    </xf>
    <xf numFmtId="0" fontId="14" fillId="0" borderId="47" xfId="0" applyNumberFormat="1" applyFont="1" applyFill="1" applyBorder="1" applyAlignment="1" applyProtection="1">
      <alignment horizontal="left" vertical="center"/>
      <protection/>
    </xf>
    <xf numFmtId="49" fontId="13" fillId="35" borderId="48" xfId="0" applyNumberFormat="1" applyFont="1" applyFill="1" applyBorder="1" applyAlignment="1" applyProtection="1">
      <alignment horizontal="left" vertical="center"/>
      <protection/>
    </xf>
    <xf numFmtId="0" fontId="13" fillId="35" borderId="49" xfId="0" applyNumberFormat="1" applyFont="1" applyFill="1" applyBorder="1" applyAlignment="1" applyProtection="1">
      <alignment horizontal="left" vertical="center"/>
      <protection/>
    </xf>
    <xf numFmtId="49" fontId="14" fillId="0" borderId="50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51" xfId="0" applyNumberFormat="1" applyFont="1" applyFill="1" applyBorder="1" applyAlignment="1" applyProtection="1">
      <alignment horizontal="left" vertical="center"/>
      <protection/>
    </xf>
    <xf numFmtId="49" fontId="13" fillId="0" borderId="48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49" fontId="14" fillId="0" borderId="48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49" xfId="0" applyNumberFormat="1" applyFont="1" applyFill="1" applyBorder="1" applyAlignment="1" applyProtection="1">
      <alignment horizontal="center" vertical="center"/>
      <protection/>
    </xf>
    <xf numFmtId="0" fontId="11" fillId="0" borderId="49" xfId="0" applyNumberFormat="1" applyFont="1" applyFill="1" applyBorder="1" applyAlignment="1" applyProtection="1">
      <alignment horizontal="center" vertical="center"/>
      <protection/>
    </xf>
    <xf numFmtId="49" fontId="15" fillId="0" borderId="48" xfId="0" applyNumberFormat="1" applyFont="1" applyFill="1" applyBorder="1" applyAlignment="1" applyProtection="1">
      <alignment horizontal="left" vertical="center"/>
      <protection/>
    </xf>
    <xf numFmtId="0" fontId="15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49" fontId="9" fillId="33" borderId="12" xfId="0" applyNumberFormat="1" applyFont="1" applyFill="1" applyBorder="1" applyAlignment="1" applyProtection="1">
      <alignment horizontal="right" vertical="center"/>
      <protection locked="0"/>
    </xf>
    <xf numFmtId="49" fontId="10" fillId="34" borderId="0" xfId="0" applyNumberFormat="1" applyFont="1" applyFill="1" applyBorder="1" applyAlignment="1" applyProtection="1">
      <alignment horizontal="right" vertical="center"/>
      <protection locked="0"/>
    </xf>
    <xf numFmtId="49" fontId="9" fillId="33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FF00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3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G14" sqref="G14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7.281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14062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4" ht="12.75">
      <c r="A2" s="85" t="s">
        <v>1</v>
      </c>
      <c r="B2" s="86"/>
      <c r="C2" s="86"/>
      <c r="D2" s="87" t="s">
        <v>145</v>
      </c>
      <c r="E2" s="89" t="s">
        <v>222</v>
      </c>
      <c r="F2" s="86"/>
      <c r="G2" s="89" t="s">
        <v>6</v>
      </c>
      <c r="H2" s="86"/>
      <c r="I2" s="90" t="s">
        <v>241</v>
      </c>
      <c r="J2" s="90" t="s">
        <v>246</v>
      </c>
      <c r="K2" s="86"/>
      <c r="L2" s="86"/>
      <c r="M2" s="91"/>
      <c r="N2" s="35"/>
    </row>
    <row r="3" spans="1:14" ht="12.75">
      <c r="A3" s="82"/>
      <c r="B3" s="75"/>
      <c r="C3" s="75"/>
      <c r="D3" s="88"/>
      <c r="E3" s="75"/>
      <c r="F3" s="75"/>
      <c r="G3" s="75"/>
      <c r="H3" s="75"/>
      <c r="I3" s="75"/>
      <c r="J3" s="75"/>
      <c r="K3" s="75"/>
      <c r="L3" s="75"/>
      <c r="M3" s="80"/>
      <c r="N3" s="35"/>
    </row>
    <row r="4" spans="1:14" ht="12.75">
      <c r="A4" s="76" t="s">
        <v>2</v>
      </c>
      <c r="B4" s="75"/>
      <c r="C4" s="75"/>
      <c r="D4" s="74" t="s">
        <v>146</v>
      </c>
      <c r="E4" s="79" t="s">
        <v>223</v>
      </c>
      <c r="F4" s="75"/>
      <c r="G4" s="79" t="s">
        <v>235</v>
      </c>
      <c r="H4" s="75"/>
      <c r="I4" s="74" t="s">
        <v>242</v>
      </c>
      <c r="J4" s="74" t="s">
        <v>247</v>
      </c>
      <c r="K4" s="75"/>
      <c r="L4" s="75"/>
      <c r="M4" s="80"/>
      <c r="N4" s="35"/>
    </row>
    <row r="5" spans="1:14" ht="12.75">
      <c r="A5" s="82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80"/>
      <c r="N5" s="35"/>
    </row>
    <row r="6" spans="1:14" ht="12.75">
      <c r="A6" s="76" t="s">
        <v>3</v>
      </c>
      <c r="B6" s="75"/>
      <c r="C6" s="75"/>
      <c r="D6" s="74" t="s">
        <v>147</v>
      </c>
      <c r="E6" s="79" t="s">
        <v>224</v>
      </c>
      <c r="F6" s="75"/>
      <c r="G6" s="79" t="s">
        <v>6</v>
      </c>
      <c r="H6" s="75"/>
      <c r="I6" s="74" t="s">
        <v>243</v>
      </c>
      <c r="J6" s="74" t="s">
        <v>6</v>
      </c>
      <c r="K6" s="75"/>
      <c r="L6" s="75"/>
      <c r="M6" s="80"/>
      <c r="N6" s="35"/>
    </row>
    <row r="7" spans="1:14" ht="12.75">
      <c r="A7" s="82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80"/>
      <c r="N7" s="35"/>
    </row>
    <row r="8" spans="1:14" ht="12.75">
      <c r="A8" s="76" t="s">
        <v>4</v>
      </c>
      <c r="B8" s="75"/>
      <c r="C8" s="75"/>
      <c r="D8" s="74" t="s">
        <v>6</v>
      </c>
      <c r="E8" s="79" t="s">
        <v>225</v>
      </c>
      <c r="F8" s="75"/>
      <c r="G8" s="79" t="s">
        <v>235</v>
      </c>
      <c r="H8" s="75"/>
      <c r="I8" s="74" t="s">
        <v>244</v>
      </c>
      <c r="J8" s="74" t="s">
        <v>248</v>
      </c>
      <c r="K8" s="75"/>
      <c r="L8" s="75"/>
      <c r="M8" s="80"/>
      <c r="N8" s="35"/>
    </row>
    <row r="9" spans="1:14" ht="12.7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81"/>
      <c r="N9" s="35"/>
    </row>
    <row r="10" spans="1:14" ht="12.75">
      <c r="A10" s="1" t="s">
        <v>5</v>
      </c>
      <c r="B10" s="11" t="s">
        <v>67</v>
      </c>
      <c r="C10" s="11" t="s">
        <v>78</v>
      </c>
      <c r="D10" s="11" t="s">
        <v>148</v>
      </c>
      <c r="E10" s="11" t="s">
        <v>226</v>
      </c>
      <c r="F10" s="18" t="s">
        <v>234</v>
      </c>
      <c r="G10" s="22" t="s">
        <v>236</v>
      </c>
      <c r="H10" s="69" t="s">
        <v>238</v>
      </c>
      <c r="I10" s="70"/>
      <c r="J10" s="71"/>
      <c r="K10" s="69" t="s">
        <v>250</v>
      </c>
      <c r="L10" s="71"/>
      <c r="M10" s="30" t="s">
        <v>251</v>
      </c>
      <c r="N10" s="36"/>
    </row>
    <row r="11" spans="1:24" ht="12.75">
      <c r="A11" s="2" t="s">
        <v>6</v>
      </c>
      <c r="B11" s="12" t="s">
        <v>6</v>
      </c>
      <c r="C11" s="12" t="s">
        <v>6</v>
      </c>
      <c r="D11" s="16" t="s">
        <v>149</v>
      </c>
      <c r="E11" s="12" t="s">
        <v>6</v>
      </c>
      <c r="F11" s="12" t="s">
        <v>6</v>
      </c>
      <c r="G11" s="23" t="s">
        <v>237</v>
      </c>
      <c r="H11" s="24" t="s">
        <v>239</v>
      </c>
      <c r="I11" s="25" t="s">
        <v>245</v>
      </c>
      <c r="J11" s="26" t="s">
        <v>249</v>
      </c>
      <c r="K11" s="24" t="s">
        <v>236</v>
      </c>
      <c r="L11" s="26" t="s">
        <v>249</v>
      </c>
      <c r="M11" s="31" t="s">
        <v>252</v>
      </c>
      <c r="N11" s="36"/>
      <c r="P11" s="28" t="s">
        <v>253</v>
      </c>
      <c r="Q11" s="28" t="s">
        <v>254</v>
      </c>
      <c r="R11" s="28" t="s">
        <v>255</v>
      </c>
      <c r="S11" s="28" t="s">
        <v>256</v>
      </c>
      <c r="T11" s="28" t="s">
        <v>257</v>
      </c>
      <c r="U11" s="28" t="s">
        <v>258</v>
      </c>
      <c r="V11" s="28" t="s">
        <v>259</v>
      </c>
      <c r="W11" s="28" t="s">
        <v>260</v>
      </c>
      <c r="X11" s="28" t="s">
        <v>261</v>
      </c>
    </row>
    <row r="12" spans="1:13" ht="12.75">
      <c r="A12" s="3"/>
      <c r="B12" s="13" t="s">
        <v>68</v>
      </c>
      <c r="C12" s="13"/>
      <c r="D12" s="13" t="s">
        <v>150</v>
      </c>
      <c r="E12" s="3" t="s">
        <v>6</v>
      </c>
      <c r="F12" s="3" t="s">
        <v>6</v>
      </c>
      <c r="G12" s="118" t="s">
        <v>6</v>
      </c>
      <c r="H12" s="39">
        <f>H13</f>
        <v>0</v>
      </c>
      <c r="I12" s="39">
        <f>I13</f>
        <v>0</v>
      </c>
      <c r="J12" s="39">
        <f>H12+I12</f>
        <v>0</v>
      </c>
      <c r="K12" s="124"/>
      <c r="L12" s="39">
        <f>L13</f>
        <v>0</v>
      </c>
      <c r="M12" s="27"/>
    </row>
    <row r="13" spans="1:37" ht="12.75">
      <c r="A13" s="4"/>
      <c r="B13" s="14" t="s">
        <v>68</v>
      </c>
      <c r="C13" s="14" t="s">
        <v>79</v>
      </c>
      <c r="D13" s="14" t="s">
        <v>150</v>
      </c>
      <c r="E13" s="4" t="s">
        <v>6</v>
      </c>
      <c r="F13" s="4" t="s">
        <v>6</v>
      </c>
      <c r="G13" s="119" t="s">
        <v>6</v>
      </c>
      <c r="H13" s="40">
        <f>SUM(H14:H14)</f>
        <v>0</v>
      </c>
      <c r="I13" s="40">
        <f>SUM(I14:I14)</f>
        <v>0</v>
      </c>
      <c r="J13" s="40">
        <f>H13+I13</f>
        <v>0</v>
      </c>
      <c r="K13" s="125"/>
      <c r="L13" s="40">
        <f>SUM(L14:L14)</f>
        <v>0</v>
      </c>
      <c r="M13" s="28"/>
      <c r="Y13" s="28" t="s">
        <v>68</v>
      </c>
      <c r="AI13" s="40">
        <f>SUM(Z14:Z14)</f>
        <v>0</v>
      </c>
      <c r="AJ13" s="40">
        <f>SUM(AA14:AA14)</f>
        <v>0</v>
      </c>
      <c r="AK13" s="40">
        <f>SUM(AB14:AB14)</f>
        <v>0</v>
      </c>
    </row>
    <row r="14" spans="1:48" ht="12.75">
      <c r="A14" s="5" t="s">
        <v>7</v>
      </c>
      <c r="B14" s="5" t="s">
        <v>68</v>
      </c>
      <c r="C14" s="5" t="s">
        <v>80</v>
      </c>
      <c r="D14" s="5" t="s">
        <v>151</v>
      </c>
      <c r="E14" s="5" t="s">
        <v>227</v>
      </c>
      <c r="F14" s="19">
        <v>1</v>
      </c>
      <c r="G14" s="120">
        <v>0</v>
      </c>
      <c r="H14" s="19">
        <f>F14*AE14</f>
        <v>0</v>
      </c>
      <c r="I14" s="19">
        <f>J14-H14</f>
        <v>0</v>
      </c>
      <c r="J14" s="19">
        <f>F14*G14</f>
        <v>0</v>
      </c>
      <c r="K14" s="120">
        <v>0</v>
      </c>
      <c r="L14" s="19">
        <f>F14*K14</f>
        <v>0</v>
      </c>
      <c r="M14" s="32"/>
      <c r="P14" s="37">
        <f>IF(AG14="5",J14,0)</f>
        <v>0</v>
      </c>
      <c r="R14" s="37">
        <f>IF(AG14="1",H14,0)</f>
        <v>0</v>
      </c>
      <c r="S14" s="37">
        <f>IF(AG14="1",I14,0)</f>
        <v>0</v>
      </c>
      <c r="T14" s="37">
        <f>IF(AG14="7",H14,0)</f>
        <v>0</v>
      </c>
      <c r="U14" s="37">
        <f>IF(AG14="7",I14,0)</f>
        <v>0</v>
      </c>
      <c r="V14" s="37">
        <f>IF(AG14="2",H14,0)</f>
        <v>0</v>
      </c>
      <c r="W14" s="37">
        <f>IF(AG14="2",I14,0)</f>
        <v>0</v>
      </c>
      <c r="X14" s="37">
        <f>IF(AG14="0",J14,0)</f>
        <v>0</v>
      </c>
      <c r="Y14" s="28" t="s">
        <v>68</v>
      </c>
      <c r="Z14" s="19">
        <f>IF(AD14=0,J14,0)</f>
        <v>0</v>
      </c>
      <c r="AA14" s="19">
        <f>IF(AD14=15,J14,0)</f>
        <v>0</v>
      </c>
      <c r="AB14" s="19">
        <f>IF(AD14=21,J14,0)</f>
        <v>0</v>
      </c>
      <c r="AD14" s="37">
        <v>15</v>
      </c>
      <c r="AE14" s="37">
        <f>G14*1</f>
        <v>0</v>
      </c>
      <c r="AF14" s="37">
        <f>G14*(1-1)</f>
        <v>0</v>
      </c>
      <c r="AG14" s="32" t="s">
        <v>8</v>
      </c>
      <c r="AM14" s="37">
        <f>F14*AE14</f>
        <v>0</v>
      </c>
      <c r="AN14" s="37">
        <f>F14*AF14</f>
        <v>0</v>
      </c>
      <c r="AO14" s="38" t="s">
        <v>263</v>
      </c>
      <c r="AP14" s="38" t="s">
        <v>279</v>
      </c>
      <c r="AQ14" s="28" t="s">
        <v>294</v>
      </c>
      <c r="AS14" s="37">
        <f>AM14+AN14</f>
        <v>0</v>
      </c>
      <c r="AT14" s="37">
        <f>G14/(100-AU14)*100</f>
        <v>0</v>
      </c>
      <c r="AU14" s="37">
        <v>0</v>
      </c>
      <c r="AV14" s="37">
        <f>L14</f>
        <v>0</v>
      </c>
    </row>
    <row r="15" spans="1:13" ht="12.75">
      <c r="A15" s="6"/>
      <c r="B15" s="15" t="s">
        <v>69</v>
      </c>
      <c r="C15" s="15"/>
      <c r="D15" s="15" t="s">
        <v>152</v>
      </c>
      <c r="E15" s="6" t="s">
        <v>6</v>
      </c>
      <c r="F15" s="6" t="s">
        <v>6</v>
      </c>
      <c r="G15" s="121" t="s">
        <v>6</v>
      </c>
      <c r="H15" s="41">
        <f>H16+H18</f>
        <v>0</v>
      </c>
      <c r="I15" s="41">
        <f>I16+I18</f>
        <v>0</v>
      </c>
      <c r="J15" s="41">
        <f>H15+I15</f>
        <v>0</v>
      </c>
      <c r="K15" s="126"/>
      <c r="L15" s="41">
        <f>L16+L18</f>
        <v>0</v>
      </c>
      <c r="M15" s="29"/>
    </row>
    <row r="16" spans="1:37" ht="12.75">
      <c r="A16" s="4"/>
      <c r="B16" s="14" t="s">
        <v>69</v>
      </c>
      <c r="C16" s="14" t="s">
        <v>69</v>
      </c>
      <c r="D16" s="14" t="s">
        <v>152</v>
      </c>
      <c r="E16" s="4" t="s">
        <v>6</v>
      </c>
      <c r="F16" s="4" t="s">
        <v>6</v>
      </c>
      <c r="G16" s="119" t="s">
        <v>6</v>
      </c>
      <c r="H16" s="40">
        <f>SUM(H17:H17)</f>
        <v>0</v>
      </c>
      <c r="I16" s="40">
        <f>SUM(I17:I17)</f>
        <v>0</v>
      </c>
      <c r="J16" s="40">
        <f>H16+I16</f>
        <v>0</v>
      </c>
      <c r="K16" s="125"/>
      <c r="L16" s="40">
        <f>SUM(L17:L17)</f>
        <v>0</v>
      </c>
      <c r="M16" s="28"/>
      <c r="Y16" s="28" t="s">
        <v>69</v>
      </c>
      <c r="AI16" s="40">
        <f>SUM(Z17:Z17)</f>
        <v>0</v>
      </c>
      <c r="AJ16" s="40">
        <f>SUM(AA17:AA17)</f>
        <v>0</v>
      </c>
      <c r="AK16" s="40">
        <f>SUM(AB17:AB17)</f>
        <v>0</v>
      </c>
    </row>
    <row r="17" spans="1:48" ht="12.75">
      <c r="A17" s="5" t="s">
        <v>8</v>
      </c>
      <c r="B17" s="5" t="s">
        <v>69</v>
      </c>
      <c r="C17" s="5" t="s">
        <v>81</v>
      </c>
      <c r="D17" s="5" t="s">
        <v>153</v>
      </c>
      <c r="E17" s="5" t="s">
        <v>227</v>
      </c>
      <c r="F17" s="19">
        <v>1</v>
      </c>
      <c r="G17" s="120">
        <v>0</v>
      </c>
      <c r="H17" s="19">
        <f>F17*AE17</f>
        <v>0</v>
      </c>
      <c r="I17" s="19">
        <f>J17-H17</f>
        <v>0</v>
      </c>
      <c r="J17" s="19">
        <f>F17*G17</f>
        <v>0</v>
      </c>
      <c r="K17" s="120">
        <v>0</v>
      </c>
      <c r="L17" s="19">
        <f>F17*K17</f>
        <v>0</v>
      </c>
      <c r="M17" s="32"/>
      <c r="P17" s="37">
        <f>IF(AG17="5",J17,0)</f>
        <v>0</v>
      </c>
      <c r="R17" s="37">
        <f>IF(AG17="1",H17,0)</f>
        <v>0</v>
      </c>
      <c r="S17" s="37">
        <f>IF(AG17="1",I17,0)</f>
        <v>0</v>
      </c>
      <c r="T17" s="37">
        <f>IF(AG17="7",H17,0)</f>
        <v>0</v>
      </c>
      <c r="U17" s="37">
        <f>IF(AG17="7",I17,0)</f>
        <v>0</v>
      </c>
      <c r="V17" s="37">
        <f>IF(AG17="2",H17,0)</f>
        <v>0</v>
      </c>
      <c r="W17" s="37">
        <f>IF(AG17="2",I17,0)</f>
        <v>0</v>
      </c>
      <c r="X17" s="37">
        <f>IF(AG17="0",J17,0)</f>
        <v>0</v>
      </c>
      <c r="Y17" s="28" t="s">
        <v>69</v>
      </c>
      <c r="Z17" s="19">
        <f>IF(AD17=0,J17,0)</f>
        <v>0</v>
      </c>
      <c r="AA17" s="19">
        <f>IF(AD17=15,J17,0)</f>
        <v>0</v>
      </c>
      <c r="AB17" s="19">
        <f>IF(AD17=21,J17,0)</f>
        <v>0</v>
      </c>
      <c r="AD17" s="37">
        <v>15</v>
      </c>
      <c r="AE17" s="37">
        <f>G17*1</f>
        <v>0</v>
      </c>
      <c r="AF17" s="37">
        <f>G17*(1-1)</f>
        <v>0</v>
      </c>
      <c r="AG17" s="32" t="s">
        <v>13</v>
      </c>
      <c r="AM17" s="37">
        <f>F17*AE17</f>
        <v>0</v>
      </c>
      <c r="AN17" s="37">
        <f>F17*AF17</f>
        <v>0</v>
      </c>
      <c r="AO17" s="38" t="s">
        <v>264</v>
      </c>
      <c r="AP17" s="38" t="s">
        <v>280</v>
      </c>
      <c r="AQ17" s="28" t="s">
        <v>264</v>
      </c>
      <c r="AS17" s="37">
        <f>AM17+AN17</f>
        <v>0</v>
      </c>
      <c r="AT17" s="37">
        <f>G17/(100-AU17)*100</f>
        <v>0</v>
      </c>
      <c r="AU17" s="37">
        <v>0</v>
      </c>
      <c r="AV17" s="37">
        <f>L17</f>
        <v>0</v>
      </c>
    </row>
    <row r="18" spans="1:37" ht="12.75">
      <c r="A18" s="4"/>
      <c r="B18" s="14" t="s">
        <v>69</v>
      </c>
      <c r="C18" s="14"/>
      <c r="D18" s="14" t="s">
        <v>154</v>
      </c>
      <c r="E18" s="4" t="s">
        <v>6</v>
      </c>
      <c r="F18" s="4" t="s">
        <v>6</v>
      </c>
      <c r="G18" s="119" t="s">
        <v>6</v>
      </c>
      <c r="H18" s="40">
        <f>SUM(H19:H21)</f>
        <v>0</v>
      </c>
      <c r="I18" s="40">
        <f>SUM(I19:I21)</f>
        <v>0</v>
      </c>
      <c r="J18" s="40">
        <f>H18+I18</f>
        <v>0</v>
      </c>
      <c r="K18" s="125"/>
      <c r="L18" s="40">
        <f>SUM(L19:L21)</f>
        <v>0</v>
      </c>
      <c r="M18" s="28"/>
      <c r="Y18" s="28" t="s">
        <v>69</v>
      </c>
      <c r="AI18" s="40">
        <f>SUM(Z19:Z21)</f>
        <v>0</v>
      </c>
      <c r="AJ18" s="40">
        <f>SUM(AA19:AA21)</f>
        <v>0</v>
      </c>
      <c r="AK18" s="40">
        <f>SUM(AB19:AB21)</f>
        <v>0</v>
      </c>
    </row>
    <row r="19" spans="1:48" ht="12.75">
      <c r="A19" s="7" t="s">
        <v>9</v>
      </c>
      <c r="B19" s="7" t="s">
        <v>69</v>
      </c>
      <c r="C19" s="7" t="s">
        <v>82</v>
      </c>
      <c r="D19" s="7" t="s">
        <v>155</v>
      </c>
      <c r="E19" s="7" t="s">
        <v>227</v>
      </c>
      <c r="F19" s="20">
        <v>1</v>
      </c>
      <c r="G19" s="122">
        <v>0</v>
      </c>
      <c r="H19" s="20">
        <f>F19*AE19</f>
        <v>0</v>
      </c>
      <c r="I19" s="20">
        <f>J19-H19</f>
        <v>0</v>
      </c>
      <c r="J19" s="20">
        <f>F19*G19</f>
        <v>0</v>
      </c>
      <c r="K19" s="122">
        <v>0</v>
      </c>
      <c r="L19" s="20">
        <f>F19*K19</f>
        <v>0</v>
      </c>
      <c r="M19" s="33"/>
      <c r="P19" s="37">
        <f>IF(AG19="5",J19,0)</f>
        <v>0</v>
      </c>
      <c r="R19" s="37">
        <f>IF(AG19="1",H19,0)</f>
        <v>0</v>
      </c>
      <c r="S19" s="37">
        <f>IF(AG19="1",I19,0)</f>
        <v>0</v>
      </c>
      <c r="T19" s="37">
        <f>IF(AG19="7",H19,0)</f>
        <v>0</v>
      </c>
      <c r="U19" s="37">
        <f>IF(AG19="7",I19,0)</f>
        <v>0</v>
      </c>
      <c r="V19" s="37">
        <f>IF(AG19="2",H19,0)</f>
        <v>0</v>
      </c>
      <c r="W19" s="37">
        <f>IF(AG19="2",I19,0)</f>
        <v>0</v>
      </c>
      <c r="X19" s="37">
        <f>IF(AG19="0",J19,0)</f>
        <v>0</v>
      </c>
      <c r="Y19" s="28" t="s">
        <v>69</v>
      </c>
      <c r="Z19" s="20">
        <f>IF(AD19=0,J19,0)</f>
        <v>0</v>
      </c>
      <c r="AA19" s="20">
        <f>IF(AD19=15,J19,0)</f>
        <v>0</v>
      </c>
      <c r="AB19" s="20">
        <f>IF(AD19=21,J19,0)</f>
        <v>0</v>
      </c>
      <c r="AD19" s="37">
        <v>15</v>
      </c>
      <c r="AE19" s="37">
        <f>G19*1</f>
        <v>0</v>
      </c>
      <c r="AF19" s="37">
        <f>G19*(1-1)</f>
        <v>0</v>
      </c>
      <c r="AG19" s="33" t="s">
        <v>262</v>
      </c>
      <c r="AM19" s="37">
        <f>F19*AE19</f>
        <v>0</v>
      </c>
      <c r="AN19" s="37">
        <f>F19*AF19</f>
        <v>0</v>
      </c>
      <c r="AO19" s="38" t="s">
        <v>265</v>
      </c>
      <c r="AP19" s="38" t="s">
        <v>281</v>
      </c>
      <c r="AQ19" s="28" t="s">
        <v>264</v>
      </c>
      <c r="AS19" s="37">
        <f>AM19+AN19</f>
        <v>0</v>
      </c>
      <c r="AT19" s="37">
        <f>G19/(100-AU19)*100</f>
        <v>0</v>
      </c>
      <c r="AU19" s="37">
        <v>0</v>
      </c>
      <c r="AV19" s="37">
        <f>L19</f>
        <v>0</v>
      </c>
    </row>
    <row r="20" spans="1:48" ht="12.75">
      <c r="A20" s="7" t="s">
        <v>10</v>
      </c>
      <c r="B20" s="7" t="s">
        <v>69</v>
      </c>
      <c r="C20" s="7" t="s">
        <v>83</v>
      </c>
      <c r="D20" s="7" t="s">
        <v>156</v>
      </c>
      <c r="E20" s="7" t="s">
        <v>227</v>
      </c>
      <c r="F20" s="20">
        <v>1</v>
      </c>
      <c r="G20" s="122">
        <v>0</v>
      </c>
      <c r="H20" s="20">
        <f>F20*AE20</f>
        <v>0</v>
      </c>
      <c r="I20" s="20">
        <f>J20-H20</f>
        <v>0</v>
      </c>
      <c r="J20" s="20">
        <f>F20*G20</f>
        <v>0</v>
      </c>
      <c r="K20" s="122">
        <v>0</v>
      </c>
      <c r="L20" s="20">
        <f>F20*K20</f>
        <v>0</v>
      </c>
      <c r="M20" s="33"/>
      <c r="P20" s="37">
        <f>IF(AG20="5",J20,0)</f>
        <v>0</v>
      </c>
      <c r="R20" s="37">
        <f>IF(AG20="1",H20,0)</f>
        <v>0</v>
      </c>
      <c r="S20" s="37">
        <f>IF(AG20="1",I20,0)</f>
        <v>0</v>
      </c>
      <c r="T20" s="37">
        <f>IF(AG20="7",H20,0)</f>
        <v>0</v>
      </c>
      <c r="U20" s="37">
        <f>IF(AG20="7",I20,0)</f>
        <v>0</v>
      </c>
      <c r="V20" s="37">
        <f>IF(AG20="2",H20,0)</f>
        <v>0</v>
      </c>
      <c r="W20" s="37">
        <f>IF(AG20="2",I20,0)</f>
        <v>0</v>
      </c>
      <c r="X20" s="37">
        <f>IF(AG20="0",J20,0)</f>
        <v>0</v>
      </c>
      <c r="Y20" s="28" t="s">
        <v>69</v>
      </c>
      <c r="Z20" s="20">
        <f>IF(AD20=0,J20,0)</f>
        <v>0</v>
      </c>
      <c r="AA20" s="20">
        <f>IF(AD20=15,J20,0)</f>
        <v>0</v>
      </c>
      <c r="AB20" s="20">
        <f>IF(AD20=21,J20,0)</f>
        <v>0</v>
      </c>
      <c r="AD20" s="37">
        <v>15</v>
      </c>
      <c r="AE20" s="37">
        <f>G20*1</f>
        <v>0</v>
      </c>
      <c r="AF20" s="37">
        <f>G20*(1-1)</f>
        <v>0</v>
      </c>
      <c r="AG20" s="33" t="s">
        <v>262</v>
      </c>
      <c r="AM20" s="37">
        <f>F20*AE20</f>
        <v>0</v>
      </c>
      <c r="AN20" s="37">
        <f>F20*AF20</f>
        <v>0</v>
      </c>
      <c r="AO20" s="38" t="s">
        <v>265</v>
      </c>
      <c r="AP20" s="38" t="s">
        <v>281</v>
      </c>
      <c r="AQ20" s="28" t="s">
        <v>264</v>
      </c>
      <c r="AS20" s="37">
        <f>AM20+AN20</f>
        <v>0</v>
      </c>
      <c r="AT20" s="37">
        <f>G20/(100-AU20)*100</f>
        <v>0</v>
      </c>
      <c r="AU20" s="37">
        <v>0</v>
      </c>
      <c r="AV20" s="37">
        <f>L20</f>
        <v>0</v>
      </c>
    </row>
    <row r="21" spans="1:48" ht="12.75">
      <c r="A21" s="7" t="s">
        <v>11</v>
      </c>
      <c r="B21" s="7" t="s">
        <v>69</v>
      </c>
      <c r="C21" s="7" t="s">
        <v>84</v>
      </c>
      <c r="D21" s="7" t="s">
        <v>157</v>
      </c>
      <c r="E21" s="7" t="s">
        <v>227</v>
      </c>
      <c r="F21" s="20">
        <v>1</v>
      </c>
      <c r="G21" s="122">
        <v>0</v>
      </c>
      <c r="H21" s="20">
        <f>F21*AE21</f>
        <v>0</v>
      </c>
      <c r="I21" s="20">
        <f>J21-H21</f>
        <v>0</v>
      </c>
      <c r="J21" s="20">
        <f>F21*G21</f>
        <v>0</v>
      </c>
      <c r="K21" s="122">
        <v>0</v>
      </c>
      <c r="L21" s="20">
        <f>F21*K21</f>
        <v>0</v>
      </c>
      <c r="M21" s="33"/>
      <c r="P21" s="37">
        <f>IF(AG21="5",J21,0)</f>
        <v>0</v>
      </c>
      <c r="R21" s="37">
        <f>IF(AG21="1",H21,0)</f>
        <v>0</v>
      </c>
      <c r="S21" s="37">
        <f>IF(AG21="1",I21,0)</f>
        <v>0</v>
      </c>
      <c r="T21" s="37">
        <f>IF(AG21="7",H21,0)</f>
        <v>0</v>
      </c>
      <c r="U21" s="37">
        <f>IF(AG21="7",I21,0)</f>
        <v>0</v>
      </c>
      <c r="V21" s="37">
        <f>IF(AG21="2",H21,0)</f>
        <v>0</v>
      </c>
      <c r="W21" s="37">
        <f>IF(AG21="2",I21,0)</f>
        <v>0</v>
      </c>
      <c r="X21" s="37">
        <f>IF(AG21="0",J21,0)</f>
        <v>0</v>
      </c>
      <c r="Y21" s="28" t="s">
        <v>69</v>
      </c>
      <c r="Z21" s="20">
        <f>IF(AD21=0,J21,0)</f>
        <v>0</v>
      </c>
      <c r="AA21" s="20">
        <f>IF(AD21=15,J21,0)</f>
        <v>0</v>
      </c>
      <c r="AB21" s="20">
        <f>IF(AD21=21,J21,0)</f>
        <v>0</v>
      </c>
      <c r="AD21" s="37">
        <v>15</v>
      </c>
      <c r="AE21" s="37">
        <f>G21*1</f>
        <v>0</v>
      </c>
      <c r="AF21" s="37">
        <f>G21*(1-1)</f>
        <v>0</v>
      </c>
      <c r="AG21" s="33" t="s">
        <v>262</v>
      </c>
      <c r="AM21" s="37">
        <f>F21*AE21</f>
        <v>0</v>
      </c>
      <c r="AN21" s="37">
        <f>F21*AF21</f>
        <v>0</v>
      </c>
      <c r="AO21" s="38" t="s">
        <v>265</v>
      </c>
      <c r="AP21" s="38" t="s">
        <v>281</v>
      </c>
      <c r="AQ21" s="28" t="s">
        <v>264</v>
      </c>
      <c r="AS21" s="37">
        <f>AM21+AN21</f>
        <v>0</v>
      </c>
      <c r="AT21" s="37">
        <f>G21/(100-AU21)*100</f>
        <v>0</v>
      </c>
      <c r="AU21" s="37">
        <v>0</v>
      </c>
      <c r="AV21" s="37">
        <f>L21</f>
        <v>0</v>
      </c>
    </row>
    <row r="22" spans="1:13" ht="12.75">
      <c r="A22" s="6"/>
      <c r="B22" s="15" t="s">
        <v>70</v>
      </c>
      <c r="C22" s="15"/>
      <c r="D22" s="15" t="s">
        <v>158</v>
      </c>
      <c r="E22" s="6" t="s">
        <v>6</v>
      </c>
      <c r="F22" s="6" t="s">
        <v>6</v>
      </c>
      <c r="G22" s="121" t="s">
        <v>6</v>
      </c>
      <c r="H22" s="41">
        <f>H23+H26</f>
        <v>0</v>
      </c>
      <c r="I22" s="41">
        <f>I23+I26</f>
        <v>0</v>
      </c>
      <c r="J22" s="41">
        <f>H22+I22</f>
        <v>0</v>
      </c>
      <c r="K22" s="126"/>
      <c r="L22" s="41">
        <f>L23+L26</f>
        <v>0.00683</v>
      </c>
      <c r="M22" s="29"/>
    </row>
    <row r="23" spans="1:37" ht="12.75">
      <c r="A23" s="4"/>
      <c r="B23" s="14" t="s">
        <v>70</v>
      </c>
      <c r="C23" s="14" t="s">
        <v>70</v>
      </c>
      <c r="D23" s="14" t="s">
        <v>158</v>
      </c>
      <c r="E23" s="4" t="s">
        <v>6</v>
      </c>
      <c r="F23" s="4" t="s">
        <v>6</v>
      </c>
      <c r="G23" s="119" t="s">
        <v>6</v>
      </c>
      <c r="H23" s="40">
        <f>SUM(H24:H25)</f>
        <v>0</v>
      </c>
      <c r="I23" s="40">
        <f>SUM(I24:I25)</f>
        <v>0</v>
      </c>
      <c r="J23" s="40">
        <f>H23+I23</f>
        <v>0</v>
      </c>
      <c r="K23" s="125"/>
      <c r="L23" s="40">
        <f>SUM(L24:L25)</f>
        <v>0.00683</v>
      </c>
      <c r="M23" s="28"/>
      <c r="Y23" s="28" t="s">
        <v>70</v>
      </c>
      <c r="AI23" s="40">
        <f>SUM(Z24:Z25)</f>
        <v>0</v>
      </c>
      <c r="AJ23" s="40">
        <f>SUM(AA24:AA25)</f>
        <v>0</v>
      </c>
      <c r="AK23" s="40">
        <f>SUM(AB24:AB25)</f>
        <v>0</v>
      </c>
    </row>
    <row r="24" spans="1:48" ht="12.75">
      <c r="A24" s="5" t="s">
        <v>12</v>
      </c>
      <c r="B24" s="5" t="s">
        <v>70</v>
      </c>
      <c r="C24" s="5" t="s">
        <v>85</v>
      </c>
      <c r="D24" s="5" t="s">
        <v>159</v>
      </c>
      <c r="E24" s="5" t="s">
        <v>228</v>
      </c>
      <c r="F24" s="19">
        <v>1</v>
      </c>
      <c r="G24" s="120">
        <v>0</v>
      </c>
      <c r="H24" s="19">
        <f>F24*AE24</f>
        <v>0</v>
      </c>
      <c r="I24" s="19">
        <f>J24-H24</f>
        <v>0</v>
      </c>
      <c r="J24" s="19">
        <f>F24*G24</f>
        <v>0</v>
      </c>
      <c r="K24" s="120">
        <v>0.0063</v>
      </c>
      <c r="L24" s="19">
        <f>F24*K24</f>
        <v>0.0063</v>
      </c>
      <c r="M24" s="32"/>
      <c r="P24" s="37">
        <f>IF(AG24="5",J24,0)</f>
        <v>0</v>
      </c>
      <c r="R24" s="37">
        <f>IF(AG24="1",H24,0)</f>
        <v>0</v>
      </c>
      <c r="S24" s="37">
        <f>IF(AG24="1",I24,0)</f>
        <v>0</v>
      </c>
      <c r="T24" s="37">
        <f>IF(AG24="7",H24,0)</f>
        <v>0</v>
      </c>
      <c r="U24" s="37">
        <f>IF(AG24="7",I24,0)</f>
        <v>0</v>
      </c>
      <c r="V24" s="37">
        <f>IF(AG24="2",H24,0)</f>
        <v>0</v>
      </c>
      <c r="W24" s="37">
        <f>IF(AG24="2",I24,0)</f>
        <v>0</v>
      </c>
      <c r="X24" s="37">
        <f>IF(AG24="0",J24,0)</f>
        <v>0</v>
      </c>
      <c r="Y24" s="28" t="s">
        <v>70</v>
      </c>
      <c r="Z24" s="19">
        <f>IF(AD24=0,J24,0)</f>
        <v>0</v>
      </c>
      <c r="AA24" s="19">
        <f>IF(AD24=15,J24,0)</f>
        <v>0</v>
      </c>
      <c r="AB24" s="19">
        <f>IF(AD24=21,J24,0)</f>
        <v>0</v>
      </c>
      <c r="AD24" s="37">
        <v>15</v>
      </c>
      <c r="AE24" s="37">
        <f>G24*0.151454261141517</f>
        <v>0</v>
      </c>
      <c r="AF24" s="37">
        <f>G24*(1-0.151454261141517)</f>
        <v>0</v>
      </c>
      <c r="AG24" s="32" t="s">
        <v>13</v>
      </c>
      <c r="AM24" s="37">
        <f>F24*AE24</f>
        <v>0</v>
      </c>
      <c r="AN24" s="37">
        <f>F24*AF24</f>
        <v>0</v>
      </c>
      <c r="AO24" s="38" t="s">
        <v>266</v>
      </c>
      <c r="AP24" s="38" t="s">
        <v>282</v>
      </c>
      <c r="AQ24" s="28" t="s">
        <v>266</v>
      </c>
      <c r="AS24" s="37">
        <f>AM24+AN24</f>
        <v>0</v>
      </c>
      <c r="AT24" s="37">
        <f>G24/(100-AU24)*100</f>
        <v>0</v>
      </c>
      <c r="AU24" s="37">
        <v>0</v>
      </c>
      <c r="AV24" s="37">
        <f>L24</f>
        <v>0.0063</v>
      </c>
    </row>
    <row r="25" spans="1:48" ht="12.75">
      <c r="A25" s="5" t="s">
        <v>13</v>
      </c>
      <c r="B25" s="5" t="s">
        <v>70</v>
      </c>
      <c r="C25" s="5" t="s">
        <v>86</v>
      </c>
      <c r="D25" s="5" t="s">
        <v>160</v>
      </c>
      <c r="E25" s="5" t="s">
        <v>228</v>
      </c>
      <c r="F25" s="19">
        <v>1</v>
      </c>
      <c r="G25" s="120">
        <v>0</v>
      </c>
      <c r="H25" s="19">
        <f>F25*AE25</f>
        <v>0</v>
      </c>
      <c r="I25" s="19">
        <f>J25-H25</f>
        <v>0</v>
      </c>
      <c r="J25" s="19">
        <f>F25*G25</f>
        <v>0</v>
      </c>
      <c r="K25" s="120">
        <v>0.00053</v>
      </c>
      <c r="L25" s="19">
        <f>F25*K25</f>
        <v>0.00053</v>
      </c>
      <c r="M25" s="32"/>
      <c r="P25" s="37">
        <f>IF(AG25="5",J25,0)</f>
        <v>0</v>
      </c>
      <c r="R25" s="37">
        <f>IF(AG25="1",H25,0)</f>
        <v>0</v>
      </c>
      <c r="S25" s="37">
        <f>IF(AG25="1",I25,0)</f>
        <v>0</v>
      </c>
      <c r="T25" s="37">
        <f>IF(AG25="7",H25,0)</f>
        <v>0</v>
      </c>
      <c r="U25" s="37">
        <f>IF(AG25="7",I25,0)</f>
        <v>0</v>
      </c>
      <c r="V25" s="37">
        <f>IF(AG25="2",H25,0)</f>
        <v>0</v>
      </c>
      <c r="W25" s="37">
        <f>IF(AG25="2",I25,0)</f>
        <v>0</v>
      </c>
      <c r="X25" s="37">
        <f>IF(AG25="0",J25,0)</f>
        <v>0</v>
      </c>
      <c r="Y25" s="28" t="s">
        <v>70</v>
      </c>
      <c r="Z25" s="19">
        <f>IF(AD25=0,J25,0)</f>
        <v>0</v>
      </c>
      <c r="AA25" s="19">
        <f>IF(AD25=15,J25,0)</f>
        <v>0</v>
      </c>
      <c r="AB25" s="19">
        <f>IF(AD25=21,J25,0)</f>
        <v>0</v>
      </c>
      <c r="AD25" s="37">
        <v>15</v>
      </c>
      <c r="AE25" s="37">
        <f>G25*0.515981308411215</f>
        <v>0</v>
      </c>
      <c r="AF25" s="37">
        <f>G25*(1-0.515981308411215)</f>
        <v>0</v>
      </c>
      <c r="AG25" s="32" t="s">
        <v>13</v>
      </c>
      <c r="AM25" s="37">
        <f>F25*AE25</f>
        <v>0</v>
      </c>
      <c r="AN25" s="37">
        <f>F25*AF25</f>
        <v>0</v>
      </c>
      <c r="AO25" s="38" t="s">
        <v>266</v>
      </c>
      <c r="AP25" s="38" t="s">
        <v>282</v>
      </c>
      <c r="AQ25" s="28" t="s">
        <v>266</v>
      </c>
      <c r="AS25" s="37">
        <f>AM25+AN25</f>
        <v>0</v>
      </c>
      <c r="AT25" s="37">
        <f>G25/(100-AU25)*100</f>
        <v>0</v>
      </c>
      <c r="AU25" s="37">
        <v>0</v>
      </c>
      <c r="AV25" s="37">
        <f>L25</f>
        <v>0.00053</v>
      </c>
    </row>
    <row r="26" spans="1:37" ht="12.75">
      <c r="A26" s="4"/>
      <c r="B26" s="14" t="s">
        <v>70</v>
      </c>
      <c r="C26" s="14"/>
      <c r="D26" s="14" t="s">
        <v>154</v>
      </c>
      <c r="E26" s="4" t="s">
        <v>6</v>
      </c>
      <c r="F26" s="4" t="s">
        <v>6</v>
      </c>
      <c r="G26" s="119" t="s">
        <v>6</v>
      </c>
      <c r="H26" s="40">
        <f>SUM(H27:H27)</f>
        <v>0</v>
      </c>
      <c r="I26" s="40">
        <f>SUM(I27:I27)</f>
        <v>0</v>
      </c>
      <c r="J26" s="40">
        <f>H26+I26</f>
        <v>0</v>
      </c>
      <c r="K26" s="125"/>
      <c r="L26" s="40">
        <f>SUM(L27:L27)</f>
        <v>0</v>
      </c>
      <c r="M26" s="28"/>
      <c r="Y26" s="28" t="s">
        <v>70</v>
      </c>
      <c r="AI26" s="40">
        <f>SUM(Z27:Z27)</f>
        <v>0</v>
      </c>
      <c r="AJ26" s="40">
        <f>SUM(AA27:AA27)</f>
        <v>0</v>
      </c>
      <c r="AK26" s="40">
        <f>SUM(AB27:AB27)</f>
        <v>0</v>
      </c>
    </row>
    <row r="27" spans="1:48" ht="12.75">
      <c r="A27" s="7" t="s">
        <v>14</v>
      </c>
      <c r="B27" s="7" t="s">
        <v>70</v>
      </c>
      <c r="C27" s="7" t="s">
        <v>87</v>
      </c>
      <c r="D27" s="7" t="s">
        <v>161</v>
      </c>
      <c r="E27" s="7" t="s">
        <v>229</v>
      </c>
      <c r="F27" s="20">
        <v>1</v>
      </c>
      <c r="G27" s="122">
        <v>0</v>
      </c>
      <c r="H27" s="20">
        <f>F27*AE27</f>
        <v>0</v>
      </c>
      <c r="I27" s="20">
        <f>J27-H27</f>
        <v>0</v>
      </c>
      <c r="J27" s="20">
        <f>F27*G27</f>
        <v>0</v>
      </c>
      <c r="K27" s="122">
        <v>0</v>
      </c>
      <c r="L27" s="20">
        <f>F27*K27</f>
        <v>0</v>
      </c>
      <c r="M27" s="33"/>
      <c r="P27" s="37">
        <f>IF(AG27="5",J27,0)</f>
        <v>0</v>
      </c>
      <c r="R27" s="37">
        <f>IF(AG27="1",H27,0)</f>
        <v>0</v>
      </c>
      <c r="S27" s="37">
        <f>IF(AG27="1",I27,0)</f>
        <v>0</v>
      </c>
      <c r="T27" s="37">
        <f>IF(AG27="7",H27,0)</f>
        <v>0</v>
      </c>
      <c r="U27" s="37">
        <f>IF(AG27="7",I27,0)</f>
        <v>0</v>
      </c>
      <c r="V27" s="37">
        <f>IF(AG27="2",H27,0)</f>
        <v>0</v>
      </c>
      <c r="W27" s="37">
        <f>IF(AG27="2",I27,0)</f>
        <v>0</v>
      </c>
      <c r="X27" s="37">
        <f>IF(AG27="0",J27,0)</f>
        <v>0</v>
      </c>
      <c r="Y27" s="28" t="s">
        <v>70</v>
      </c>
      <c r="Z27" s="20">
        <f>IF(AD27=0,J27,0)</f>
        <v>0</v>
      </c>
      <c r="AA27" s="20">
        <f>IF(AD27=15,J27,0)</f>
        <v>0</v>
      </c>
      <c r="AB27" s="20">
        <f>IF(AD27=21,J27,0)</f>
        <v>0</v>
      </c>
      <c r="AD27" s="37">
        <v>15</v>
      </c>
      <c r="AE27" s="37">
        <f>G27*1</f>
        <v>0</v>
      </c>
      <c r="AF27" s="37">
        <f>G27*(1-1)</f>
        <v>0</v>
      </c>
      <c r="AG27" s="33" t="s">
        <v>262</v>
      </c>
      <c r="AM27" s="37">
        <f>F27*AE27</f>
        <v>0</v>
      </c>
      <c r="AN27" s="37">
        <f>F27*AF27</f>
        <v>0</v>
      </c>
      <c r="AO27" s="38" t="s">
        <v>265</v>
      </c>
      <c r="AP27" s="38" t="s">
        <v>283</v>
      </c>
      <c r="AQ27" s="28" t="s">
        <v>266</v>
      </c>
      <c r="AS27" s="37">
        <f>AM27+AN27</f>
        <v>0</v>
      </c>
      <c r="AT27" s="37">
        <f>G27/(100-AU27)*100</f>
        <v>0</v>
      </c>
      <c r="AU27" s="37">
        <v>0</v>
      </c>
      <c r="AV27" s="37">
        <f>L27</f>
        <v>0</v>
      </c>
    </row>
    <row r="28" spans="1:13" ht="12.75">
      <c r="A28" s="6"/>
      <c r="B28" s="15" t="s">
        <v>71</v>
      </c>
      <c r="C28" s="15"/>
      <c r="D28" s="15" t="s">
        <v>162</v>
      </c>
      <c r="E28" s="6" t="s">
        <v>6</v>
      </c>
      <c r="F28" s="6" t="s">
        <v>6</v>
      </c>
      <c r="G28" s="121" t="s">
        <v>6</v>
      </c>
      <c r="H28" s="41">
        <f>H29</f>
        <v>0</v>
      </c>
      <c r="I28" s="41">
        <f>I29</f>
        <v>0</v>
      </c>
      <c r="J28" s="41">
        <f>H28+I28</f>
        <v>0</v>
      </c>
      <c r="K28" s="126"/>
      <c r="L28" s="41">
        <f>L29</f>
        <v>0.13474</v>
      </c>
      <c r="M28" s="29"/>
    </row>
    <row r="29" spans="1:37" ht="12.75">
      <c r="A29" s="4"/>
      <c r="B29" s="14" t="s">
        <v>71</v>
      </c>
      <c r="C29" s="14" t="s">
        <v>71</v>
      </c>
      <c r="D29" s="14" t="s">
        <v>162</v>
      </c>
      <c r="E29" s="4" t="s">
        <v>6</v>
      </c>
      <c r="F29" s="4" t="s">
        <v>6</v>
      </c>
      <c r="G29" s="119" t="s">
        <v>6</v>
      </c>
      <c r="H29" s="40">
        <f>SUM(H30:H36)</f>
        <v>0</v>
      </c>
      <c r="I29" s="40">
        <f>SUM(I30:I36)</f>
        <v>0</v>
      </c>
      <c r="J29" s="40">
        <f>H29+I29</f>
        <v>0</v>
      </c>
      <c r="K29" s="125"/>
      <c r="L29" s="40">
        <f>SUM(L30:L36)</f>
        <v>0.13474</v>
      </c>
      <c r="M29" s="28"/>
      <c r="Y29" s="28" t="s">
        <v>71</v>
      </c>
      <c r="AI29" s="40">
        <f>SUM(Z30:Z36)</f>
        <v>0</v>
      </c>
      <c r="AJ29" s="40">
        <f>SUM(AA30:AA36)</f>
        <v>0</v>
      </c>
      <c r="AK29" s="40">
        <f>SUM(AB30:AB36)</f>
        <v>0</v>
      </c>
    </row>
    <row r="30" spans="1:48" ht="12.75">
      <c r="A30" s="5" t="s">
        <v>15</v>
      </c>
      <c r="B30" s="5" t="s">
        <v>71</v>
      </c>
      <c r="C30" s="5" t="s">
        <v>88</v>
      </c>
      <c r="D30" s="5" t="s">
        <v>163</v>
      </c>
      <c r="E30" s="5" t="s">
        <v>230</v>
      </c>
      <c r="F30" s="19">
        <v>11</v>
      </c>
      <c r="G30" s="120">
        <v>0</v>
      </c>
      <c r="H30" s="19">
        <f aca="true" t="shared" si="0" ref="H30:H36">F30*AE30</f>
        <v>0</v>
      </c>
      <c r="I30" s="19">
        <f aca="true" t="shared" si="1" ref="I30:I36">J30-H30</f>
        <v>0</v>
      </c>
      <c r="J30" s="19">
        <f aca="true" t="shared" si="2" ref="J30:J36">F30*G30</f>
        <v>0</v>
      </c>
      <c r="K30" s="120">
        <v>0</v>
      </c>
      <c r="L30" s="19">
        <f aca="true" t="shared" si="3" ref="L30:L36">F30*K30</f>
        <v>0</v>
      </c>
      <c r="M30" s="32"/>
      <c r="P30" s="37">
        <f aca="true" t="shared" si="4" ref="P30:P36">IF(AG30="5",J30,0)</f>
        <v>0</v>
      </c>
      <c r="R30" s="37">
        <f aca="true" t="shared" si="5" ref="R30:R36">IF(AG30="1",H30,0)</f>
        <v>0</v>
      </c>
      <c r="S30" s="37">
        <f aca="true" t="shared" si="6" ref="S30:S36">IF(AG30="1",I30,0)</f>
        <v>0</v>
      </c>
      <c r="T30" s="37">
        <f aca="true" t="shared" si="7" ref="T30:T36">IF(AG30="7",H30,0)</f>
        <v>0</v>
      </c>
      <c r="U30" s="37">
        <f aca="true" t="shared" si="8" ref="U30:U36">IF(AG30="7",I30,0)</f>
        <v>0</v>
      </c>
      <c r="V30" s="37">
        <f aca="true" t="shared" si="9" ref="V30:V36">IF(AG30="2",H30,0)</f>
        <v>0</v>
      </c>
      <c r="W30" s="37">
        <f aca="true" t="shared" si="10" ref="W30:W36">IF(AG30="2",I30,0)</f>
        <v>0</v>
      </c>
      <c r="X30" s="37">
        <f aca="true" t="shared" si="11" ref="X30:X36">IF(AG30="0",J30,0)</f>
        <v>0</v>
      </c>
      <c r="Y30" s="28" t="s">
        <v>71</v>
      </c>
      <c r="Z30" s="19">
        <f aca="true" t="shared" si="12" ref="Z30:Z36">IF(AD30=0,J30,0)</f>
        <v>0</v>
      </c>
      <c r="AA30" s="19">
        <f aca="true" t="shared" si="13" ref="AA30:AA36">IF(AD30=15,J30,0)</f>
        <v>0</v>
      </c>
      <c r="AB30" s="19">
        <f aca="true" t="shared" si="14" ref="AB30:AB36">IF(AD30=21,J30,0)</f>
        <v>0</v>
      </c>
      <c r="AD30" s="37">
        <v>15</v>
      </c>
      <c r="AE30" s="37">
        <f>G30*0</f>
        <v>0</v>
      </c>
      <c r="AF30" s="37">
        <f>G30*(1-0)</f>
        <v>0</v>
      </c>
      <c r="AG30" s="32" t="s">
        <v>13</v>
      </c>
      <c r="AM30" s="37">
        <f aca="true" t="shared" si="15" ref="AM30:AM36">F30*AE30</f>
        <v>0</v>
      </c>
      <c r="AN30" s="37">
        <f aca="true" t="shared" si="16" ref="AN30:AN36">F30*AF30</f>
        <v>0</v>
      </c>
      <c r="AO30" s="38" t="s">
        <v>267</v>
      </c>
      <c r="AP30" s="38" t="s">
        <v>284</v>
      </c>
      <c r="AQ30" s="28" t="s">
        <v>267</v>
      </c>
      <c r="AS30" s="37">
        <f aca="true" t="shared" si="17" ref="AS30:AS36">AM30+AN30</f>
        <v>0</v>
      </c>
      <c r="AT30" s="37">
        <f aca="true" t="shared" si="18" ref="AT30:AT36">G30/(100-AU30)*100</f>
        <v>0</v>
      </c>
      <c r="AU30" s="37">
        <v>0</v>
      </c>
      <c r="AV30" s="37">
        <f aca="true" t="shared" si="19" ref="AV30:AV36">L30</f>
        <v>0</v>
      </c>
    </row>
    <row r="31" spans="1:48" ht="12.75">
      <c r="A31" s="5" t="s">
        <v>16</v>
      </c>
      <c r="B31" s="5" t="s">
        <v>71</v>
      </c>
      <c r="C31" s="5" t="s">
        <v>89</v>
      </c>
      <c r="D31" s="5" t="s">
        <v>164</v>
      </c>
      <c r="E31" s="5" t="s">
        <v>231</v>
      </c>
      <c r="F31" s="19">
        <v>51</v>
      </c>
      <c r="G31" s="120">
        <v>0</v>
      </c>
      <c r="H31" s="19">
        <f t="shared" si="0"/>
        <v>0</v>
      </c>
      <c r="I31" s="19">
        <f t="shared" si="1"/>
        <v>0</v>
      </c>
      <c r="J31" s="19">
        <f t="shared" si="2"/>
        <v>0</v>
      </c>
      <c r="K31" s="120">
        <v>0.00076</v>
      </c>
      <c r="L31" s="19">
        <f t="shared" si="3"/>
        <v>0.03876</v>
      </c>
      <c r="M31" s="32"/>
      <c r="P31" s="37">
        <f t="shared" si="4"/>
        <v>0</v>
      </c>
      <c r="R31" s="37">
        <f t="shared" si="5"/>
        <v>0</v>
      </c>
      <c r="S31" s="37">
        <f t="shared" si="6"/>
        <v>0</v>
      </c>
      <c r="T31" s="37">
        <f t="shared" si="7"/>
        <v>0</v>
      </c>
      <c r="U31" s="37">
        <f t="shared" si="8"/>
        <v>0</v>
      </c>
      <c r="V31" s="37">
        <f t="shared" si="9"/>
        <v>0</v>
      </c>
      <c r="W31" s="37">
        <f t="shared" si="10"/>
        <v>0</v>
      </c>
      <c r="X31" s="37">
        <f t="shared" si="11"/>
        <v>0</v>
      </c>
      <c r="Y31" s="28" t="s">
        <v>71</v>
      </c>
      <c r="Z31" s="19">
        <f t="shared" si="12"/>
        <v>0</v>
      </c>
      <c r="AA31" s="19">
        <f t="shared" si="13"/>
        <v>0</v>
      </c>
      <c r="AB31" s="19">
        <f t="shared" si="14"/>
        <v>0</v>
      </c>
      <c r="AD31" s="37">
        <v>15</v>
      </c>
      <c r="AE31" s="37">
        <f>G31*0.544680134680135</f>
        <v>0</v>
      </c>
      <c r="AF31" s="37">
        <f>G31*(1-0.544680134680135)</f>
        <v>0</v>
      </c>
      <c r="AG31" s="32" t="s">
        <v>13</v>
      </c>
      <c r="AM31" s="37">
        <f t="shared" si="15"/>
        <v>0</v>
      </c>
      <c r="AN31" s="37">
        <f t="shared" si="16"/>
        <v>0</v>
      </c>
      <c r="AO31" s="38" t="s">
        <v>267</v>
      </c>
      <c r="AP31" s="38" t="s">
        <v>284</v>
      </c>
      <c r="AQ31" s="28" t="s">
        <v>267</v>
      </c>
      <c r="AS31" s="37">
        <f t="shared" si="17"/>
        <v>0</v>
      </c>
      <c r="AT31" s="37">
        <f t="shared" si="18"/>
        <v>0</v>
      </c>
      <c r="AU31" s="37">
        <v>0</v>
      </c>
      <c r="AV31" s="37">
        <f t="shared" si="19"/>
        <v>0.03876</v>
      </c>
    </row>
    <row r="32" spans="1:48" ht="12.75">
      <c r="A32" s="5" t="s">
        <v>17</v>
      </c>
      <c r="B32" s="5" t="s">
        <v>71</v>
      </c>
      <c r="C32" s="5" t="s">
        <v>90</v>
      </c>
      <c r="D32" s="5" t="s">
        <v>165</v>
      </c>
      <c r="E32" s="5" t="s">
        <v>231</v>
      </c>
      <c r="F32" s="19">
        <v>39</v>
      </c>
      <c r="G32" s="120">
        <v>0</v>
      </c>
      <c r="H32" s="19">
        <f t="shared" si="0"/>
        <v>0</v>
      </c>
      <c r="I32" s="19">
        <f t="shared" si="1"/>
        <v>0</v>
      </c>
      <c r="J32" s="19">
        <f t="shared" si="2"/>
        <v>0</v>
      </c>
      <c r="K32" s="120">
        <v>0.00088</v>
      </c>
      <c r="L32" s="19">
        <f t="shared" si="3"/>
        <v>0.03432</v>
      </c>
      <c r="M32" s="32"/>
      <c r="P32" s="37">
        <f t="shared" si="4"/>
        <v>0</v>
      </c>
      <c r="R32" s="37">
        <f t="shared" si="5"/>
        <v>0</v>
      </c>
      <c r="S32" s="37">
        <f t="shared" si="6"/>
        <v>0</v>
      </c>
      <c r="T32" s="37">
        <f t="shared" si="7"/>
        <v>0</v>
      </c>
      <c r="U32" s="37">
        <f t="shared" si="8"/>
        <v>0</v>
      </c>
      <c r="V32" s="37">
        <f t="shared" si="9"/>
        <v>0</v>
      </c>
      <c r="W32" s="37">
        <f t="shared" si="10"/>
        <v>0</v>
      </c>
      <c r="X32" s="37">
        <f t="shared" si="11"/>
        <v>0</v>
      </c>
      <c r="Y32" s="28" t="s">
        <v>71</v>
      </c>
      <c r="Z32" s="19">
        <f t="shared" si="12"/>
        <v>0</v>
      </c>
      <c r="AA32" s="19">
        <f t="shared" si="13"/>
        <v>0</v>
      </c>
      <c r="AB32" s="19">
        <f t="shared" si="14"/>
        <v>0</v>
      </c>
      <c r="AD32" s="37">
        <v>15</v>
      </c>
      <c r="AE32" s="37">
        <f>G32*0.592315092854436</f>
        <v>0</v>
      </c>
      <c r="AF32" s="37">
        <f>G32*(1-0.592315092854436)</f>
        <v>0</v>
      </c>
      <c r="AG32" s="32" t="s">
        <v>13</v>
      </c>
      <c r="AM32" s="37">
        <f t="shared" si="15"/>
        <v>0</v>
      </c>
      <c r="AN32" s="37">
        <f t="shared" si="16"/>
        <v>0</v>
      </c>
      <c r="AO32" s="38" t="s">
        <v>267</v>
      </c>
      <c r="AP32" s="38" t="s">
        <v>284</v>
      </c>
      <c r="AQ32" s="28" t="s">
        <v>267</v>
      </c>
      <c r="AS32" s="37">
        <f t="shared" si="17"/>
        <v>0</v>
      </c>
      <c r="AT32" s="37">
        <f t="shared" si="18"/>
        <v>0</v>
      </c>
      <c r="AU32" s="37">
        <v>0</v>
      </c>
      <c r="AV32" s="37">
        <f t="shared" si="19"/>
        <v>0.03432</v>
      </c>
    </row>
    <row r="33" spans="1:48" ht="12.75">
      <c r="A33" s="5" t="s">
        <v>18</v>
      </c>
      <c r="B33" s="5" t="s">
        <v>71</v>
      </c>
      <c r="C33" s="5" t="s">
        <v>91</v>
      </c>
      <c r="D33" s="5" t="s">
        <v>166</v>
      </c>
      <c r="E33" s="5" t="s">
        <v>231</v>
      </c>
      <c r="F33" s="19">
        <v>26</v>
      </c>
      <c r="G33" s="120">
        <v>0</v>
      </c>
      <c r="H33" s="19">
        <f t="shared" si="0"/>
        <v>0</v>
      </c>
      <c r="I33" s="19">
        <f t="shared" si="1"/>
        <v>0</v>
      </c>
      <c r="J33" s="19">
        <f t="shared" si="2"/>
        <v>0</v>
      </c>
      <c r="K33" s="120">
        <v>0.00101</v>
      </c>
      <c r="L33" s="19">
        <f t="shared" si="3"/>
        <v>0.026260000000000002</v>
      </c>
      <c r="M33" s="32"/>
      <c r="P33" s="37">
        <f t="shared" si="4"/>
        <v>0</v>
      </c>
      <c r="R33" s="37">
        <f t="shared" si="5"/>
        <v>0</v>
      </c>
      <c r="S33" s="37">
        <f t="shared" si="6"/>
        <v>0</v>
      </c>
      <c r="T33" s="37">
        <f t="shared" si="7"/>
        <v>0</v>
      </c>
      <c r="U33" s="37">
        <f t="shared" si="8"/>
        <v>0</v>
      </c>
      <c r="V33" s="37">
        <f t="shared" si="9"/>
        <v>0</v>
      </c>
      <c r="W33" s="37">
        <f t="shared" si="10"/>
        <v>0</v>
      </c>
      <c r="X33" s="37">
        <f t="shared" si="11"/>
        <v>0</v>
      </c>
      <c r="Y33" s="28" t="s">
        <v>71</v>
      </c>
      <c r="Z33" s="19">
        <f t="shared" si="12"/>
        <v>0</v>
      </c>
      <c r="AA33" s="19">
        <f t="shared" si="13"/>
        <v>0</v>
      </c>
      <c r="AB33" s="19">
        <f t="shared" si="14"/>
        <v>0</v>
      </c>
      <c r="AD33" s="37">
        <v>15</v>
      </c>
      <c r="AE33" s="37">
        <f>G33*0.632468193384224</f>
        <v>0</v>
      </c>
      <c r="AF33" s="37">
        <f>G33*(1-0.632468193384224)</f>
        <v>0</v>
      </c>
      <c r="AG33" s="32" t="s">
        <v>13</v>
      </c>
      <c r="AM33" s="37">
        <f t="shared" si="15"/>
        <v>0</v>
      </c>
      <c r="AN33" s="37">
        <f t="shared" si="16"/>
        <v>0</v>
      </c>
      <c r="AO33" s="38" t="s">
        <v>267</v>
      </c>
      <c r="AP33" s="38" t="s">
        <v>284</v>
      </c>
      <c r="AQ33" s="28" t="s">
        <v>267</v>
      </c>
      <c r="AS33" s="37">
        <f t="shared" si="17"/>
        <v>0</v>
      </c>
      <c r="AT33" s="37">
        <f t="shared" si="18"/>
        <v>0</v>
      </c>
      <c r="AU33" s="37">
        <v>0</v>
      </c>
      <c r="AV33" s="37">
        <f t="shared" si="19"/>
        <v>0.026260000000000002</v>
      </c>
    </row>
    <row r="34" spans="1:48" ht="12.75">
      <c r="A34" s="5" t="s">
        <v>19</v>
      </c>
      <c r="B34" s="5" t="s">
        <v>71</v>
      </c>
      <c r="C34" s="5" t="s">
        <v>92</v>
      </c>
      <c r="D34" s="5" t="s">
        <v>167</v>
      </c>
      <c r="E34" s="5" t="s">
        <v>231</v>
      </c>
      <c r="F34" s="19">
        <v>16</v>
      </c>
      <c r="G34" s="120">
        <v>0</v>
      </c>
      <c r="H34" s="19">
        <f t="shared" si="0"/>
        <v>0</v>
      </c>
      <c r="I34" s="19">
        <f t="shared" si="1"/>
        <v>0</v>
      </c>
      <c r="J34" s="19">
        <f t="shared" si="2"/>
        <v>0</v>
      </c>
      <c r="K34" s="120">
        <v>0.0016</v>
      </c>
      <c r="L34" s="19">
        <f t="shared" si="3"/>
        <v>0.0256</v>
      </c>
      <c r="M34" s="32"/>
      <c r="P34" s="37">
        <f t="shared" si="4"/>
        <v>0</v>
      </c>
      <c r="R34" s="37">
        <f t="shared" si="5"/>
        <v>0</v>
      </c>
      <c r="S34" s="37">
        <f t="shared" si="6"/>
        <v>0</v>
      </c>
      <c r="T34" s="37">
        <f t="shared" si="7"/>
        <v>0</v>
      </c>
      <c r="U34" s="37">
        <f t="shared" si="8"/>
        <v>0</v>
      </c>
      <c r="V34" s="37">
        <f t="shared" si="9"/>
        <v>0</v>
      </c>
      <c r="W34" s="37">
        <f t="shared" si="10"/>
        <v>0</v>
      </c>
      <c r="X34" s="37">
        <f t="shared" si="11"/>
        <v>0</v>
      </c>
      <c r="Y34" s="28" t="s">
        <v>71</v>
      </c>
      <c r="Z34" s="19">
        <f t="shared" si="12"/>
        <v>0</v>
      </c>
      <c r="AA34" s="19">
        <f t="shared" si="13"/>
        <v>0</v>
      </c>
      <c r="AB34" s="19">
        <f t="shared" si="14"/>
        <v>0</v>
      </c>
      <c r="AD34" s="37">
        <v>15</v>
      </c>
      <c r="AE34" s="37">
        <f>G34*0.737426688119583</f>
        <v>0</v>
      </c>
      <c r="AF34" s="37">
        <f>G34*(1-0.737426688119583)</f>
        <v>0</v>
      </c>
      <c r="AG34" s="32" t="s">
        <v>13</v>
      </c>
      <c r="AM34" s="37">
        <f t="shared" si="15"/>
        <v>0</v>
      </c>
      <c r="AN34" s="37">
        <f t="shared" si="16"/>
        <v>0</v>
      </c>
      <c r="AO34" s="38" t="s">
        <v>267</v>
      </c>
      <c r="AP34" s="38" t="s">
        <v>284</v>
      </c>
      <c r="AQ34" s="28" t="s">
        <v>267</v>
      </c>
      <c r="AS34" s="37">
        <f t="shared" si="17"/>
        <v>0</v>
      </c>
      <c r="AT34" s="37">
        <f t="shared" si="18"/>
        <v>0</v>
      </c>
      <c r="AU34" s="37">
        <v>0</v>
      </c>
      <c r="AV34" s="37">
        <f t="shared" si="19"/>
        <v>0.0256</v>
      </c>
    </row>
    <row r="35" spans="1:48" ht="12.75">
      <c r="A35" s="5" t="s">
        <v>20</v>
      </c>
      <c r="B35" s="5" t="s">
        <v>71</v>
      </c>
      <c r="C35" s="5" t="s">
        <v>93</v>
      </c>
      <c r="D35" s="5" t="s">
        <v>168</v>
      </c>
      <c r="E35" s="5" t="s">
        <v>231</v>
      </c>
      <c r="F35" s="19">
        <v>5</v>
      </c>
      <c r="G35" s="120">
        <v>0</v>
      </c>
      <c r="H35" s="19">
        <f t="shared" si="0"/>
        <v>0</v>
      </c>
      <c r="I35" s="19">
        <f t="shared" si="1"/>
        <v>0</v>
      </c>
      <c r="J35" s="19">
        <f t="shared" si="2"/>
        <v>0</v>
      </c>
      <c r="K35" s="120">
        <v>0.00196</v>
      </c>
      <c r="L35" s="19">
        <f t="shared" si="3"/>
        <v>0.0098</v>
      </c>
      <c r="M35" s="32"/>
      <c r="P35" s="37">
        <f t="shared" si="4"/>
        <v>0</v>
      </c>
      <c r="R35" s="37">
        <f t="shared" si="5"/>
        <v>0</v>
      </c>
      <c r="S35" s="37">
        <f t="shared" si="6"/>
        <v>0</v>
      </c>
      <c r="T35" s="37">
        <f t="shared" si="7"/>
        <v>0</v>
      </c>
      <c r="U35" s="37">
        <f t="shared" si="8"/>
        <v>0</v>
      </c>
      <c r="V35" s="37">
        <f t="shared" si="9"/>
        <v>0</v>
      </c>
      <c r="W35" s="37">
        <f t="shared" si="10"/>
        <v>0</v>
      </c>
      <c r="X35" s="37">
        <f t="shared" si="11"/>
        <v>0</v>
      </c>
      <c r="Y35" s="28" t="s">
        <v>71</v>
      </c>
      <c r="Z35" s="19">
        <f t="shared" si="12"/>
        <v>0</v>
      </c>
      <c r="AA35" s="19">
        <f t="shared" si="13"/>
        <v>0</v>
      </c>
      <c r="AB35" s="19">
        <f t="shared" si="14"/>
        <v>0</v>
      </c>
      <c r="AD35" s="37">
        <v>15</v>
      </c>
      <c r="AE35" s="37">
        <f>G35*0.776285647659154</f>
        <v>0</v>
      </c>
      <c r="AF35" s="37">
        <f>G35*(1-0.776285647659154)</f>
        <v>0</v>
      </c>
      <c r="AG35" s="32" t="s">
        <v>13</v>
      </c>
      <c r="AM35" s="37">
        <f t="shared" si="15"/>
        <v>0</v>
      </c>
      <c r="AN35" s="37">
        <f t="shared" si="16"/>
        <v>0</v>
      </c>
      <c r="AO35" s="38" t="s">
        <v>267</v>
      </c>
      <c r="AP35" s="38" t="s">
        <v>284</v>
      </c>
      <c r="AQ35" s="28" t="s">
        <v>267</v>
      </c>
      <c r="AS35" s="37">
        <f t="shared" si="17"/>
        <v>0</v>
      </c>
      <c r="AT35" s="37">
        <f t="shared" si="18"/>
        <v>0</v>
      </c>
      <c r="AU35" s="37">
        <v>0</v>
      </c>
      <c r="AV35" s="37">
        <f t="shared" si="19"/>
        <v>0.0098</v>
      </c>
    </row>
    <row r="36" spans="1:48" ht="12.75">
      <c r="A36" s="5" t="s">
        <v>21</v>
      </c>
      <c r="B36" s="5" t="s">
        <v>71</v>
      </c>
      <c r="C36" s="5" t="s">
        <v>94</v>
      </c>
      <c r="D36" s="5" t="s">
        <v>169</v>
      </c>
      <c r="E36" s="5" t="s">
        <v>231</v>
      </c>
      <c r="F36" s="19">
        <v>137</v>
      </c>
      <c r="G36" s="120">
        <v>0</v>
      </c>
      <c r="H36" s="19">
        <f t="shared" si="0"/>
        <v>0</v>
      </c>
      <c r="I36" s="19">
        <f t="shared" si="1"/>
        <v>0</v>
      </c>
      <c r="J36" s="19">
        <f t="shared" si="2"/>
        <v>0</v>
      </c>
      <c r="K36" s="120">
        <v>0</v>
      </c>
      <c r="L36" s="19">
        <f t="shared" si="3"/>
        <v>0</v>
      </c>
      <c r="M36" s="32"/>
      <c r="P36" s="37">
        <f t="shared" si="4"/>
        <v>0</v>
      </c>
      <c r="R36" s="37">
        <f t="shared" si="5"/>
        <v>0</v>
      </c>
      <c r="S36" s="37">
        <f t="shared" si="6"/>
        <v>0</v>
      </c>
      <c r="T36" s="37">
        <f t="shared" si="7"/>
        <v>0</v>
      </c>
      <c r="U36" s="37">
        <f t="shared" si="8"/>
        <v>0</v>
      </c>
      <c r="V36" s="37">
        <f t="shared" si="9"/>
        <v>0</v>
      </c>
      <c r="W36" s="37">
        <f t="shared" si="10"/>
        <v>0</v>
      </c>
      <c r="X36" s="37">
        <f t="shared" si="11"/>
        <v>0</v>
      </c>
      <c r="Y36" s="28" t="s">
        <v>71</v>
      </c>
      <c r="Z36" s="19">
        <f t="shared" si="12"/>
        <v>0</v>
      </c>
      <c r="AA36" s="19">
        <f t="shared" si="13"/>
        <v>0</v>
      </c>
      <c r="AB36" s="19">
        <f t="shared" si="14"/>
        <v>0</v>
      </c>
      <c r="AD36" s="37">
        <v>15</v>
      </c>
      <c r="AE36" s="37">
        <f>G36*0.0236842105263158</f>
        <v>0</v>
      </c>
      <c r="AF36" s="37">
        <f>G36*(1-0.0236842105263158)</f>
        <v>0</v>
      </c>
      <c r="AG36" s="32" t="s">
        <v>13</v>
      </c>
      <c r="AM36" s="37">
        <f t="shared" si="15"/>
        <v>0</v>
      </c>
      <c r="AN36" s="37">
        <f t="shared" si="16"/>
        <v>0</v>
      </c>
      <c r="AO36" s="38" t="s">
        <v>267</v>
      </c>
      <c r="AP36" s="38" t="s">
        <v>284</v>
      </c>
      <c r="AQ36" s="28" t="s">
        <v>267</v>
      </c>
      <c r="AS36" s="37">
        <f t="shared" si="17"/>
        <v>0</v>
      </c>
      <c r="AT36" s="37">
        <f t="shared" si="18"/>
        <v>0</v>
      </c>
      <c r="AU36" s="37">
        <v>0</v>
      </c>
      <c r="AV36" s="37">
        <f t="shared" si="19"/>
        <v>0</v>
      </c>
    </row>
    <row r="37" spans="1:13" ht="12.75">
      <c r="A37" s="6"/>
      <c r="B37" s="15" t="s">
        <v>72</v>
      </c>
      <c r="C37" s="15"/>
      <c r="D37" s="15" t="s">
        <v>170</v>
      </c>
      <c r="E37" s="6" t="s">
        <v>6</v>
      </c>
      <c r="F37" s="6" t="s">
        <v>6</v>
      </c>
      <c r="G37" s="121" t="s">
        <v>6</v>
      </c>
      <c r="H37" s="41">
        <f>H38+H49</f>
        <v>0</v>
      </c>
      <c r="I37" s="41">
        <f>I38+I49</f>
        <v>0</v>
      </c>
      <c r="J37" s="41">
        <f>H37+I37</f>
        <v>0</v>
      </c>
      <c r="K37" s="126"/>
      <c r="L37" s="41">
        <f>L38+L49</f>
        <v>0.00353</v>
      </c>
      <c r="M37" s="29"/>
    </row>
    <row r="38" spans="1:37" ht="12.75">
      <c r="A38" s="4"/>
      <c r="B38" s="14" t="s">
        <v>72</v>
      </c>
      <c r="C38" s="14" t="s">
        <v>72</v>
      </c>
      <c r="D38" s="14" t="s">
        <v>170</v>
      </c>
      <c r="E38" s="4" t="s">
        <v>6</v>
      </c>
      <c r="F38" s="4" t="s">
        <v>6</v>
      </c>
      <c r="G38" s="119" t="s">
        <v>6</v>
      </c>
      <c r="H38" s="40">
        <f>SUM(H39:H48)</f>
        <v>0</v>
      </c>
      <c r="I38" s="40">
        <f>SUM(I39:I48)</f>
        <v>0</v>
      </c>
      <c r="J38" s="40">
        <f>H38+I38</f>
        <v>0</v>
      </c>
      <c r="K38" s="125"/>
      <c r="L38" s="40">
        <f>SUM(L39:L48)</f>
        <v>0.00353</v>
      </c>
      <c r="M38" s="28"/>
      <c r="Y38" s="28" t="s">
        <v>72</v>
      </c>
      <c r="AI38" s="40">
        <f>SUM(Z39:Z48)</f>
        <v>0</v>
      </c>
      <c r="AJ38" s="40">
        <f>SUM(AA39:AA48)</f>
        <v>0</v>
      </c>
      <c r="AK38" s="40">
        <f>SUM(AB39:AB48)</f>
        <v>0</v>
      </c>
    </row>
    <row r="39" spans="1:48" ht="12.75">
      <c r="A39" s="5" t="s">
        <v>22</v>
      </c>
      <c r="B39" s="5" t="s">
        <v>72</v>
      </c>
      <c r="C39" s="5" t="s">
        <v>95</v>
      </c>
      <c r="D39" s="5" t="s">
        <v>171</v>
      </c>
      <c r="E39" s="5" t="s">
        <v>229</v>
      </c>
      <c r="F39" s="19">
        <v>11</v>
      </c>
      <c r="G39" s="120">
        <v>0</v>
      </c>
      <c r="H39" s="19">
        <f aca="true" t="shared" si="20" ref="H39:H48">F39*AE39</f>
        <v>0</v>
      </c>
      <c r="I39" s="19">
        <f aca="true" t="shared" si="21" ref="I39:I48">J39-H39</f>
        <v>0</v>
      </c>
      <c r="J39" s="19">
        <f aca="true" t="shared" si="22" ref="J39:J48">F39*G39</f>
        <v>0</v>
      </c>
      <c r="K39" s="120">
        <v>0</v>
      </c>
      <c r="L39" s="19">
        <f aca="true" t="shared" si="23" ref="L39:L48">F39*K39</f>
        <v>0</v>
      </c>
      <c r="M39" s="32"/>
      <c r="P39" s="37">
        <f aca="true" t="shared" si="24" ref="P39:P48">IF(AG39="5",J39,0)</f>
        <v>0</v>
      </c>
      <c r="R39" s="37">
        <f aca="true" t="shared" si="25" ref="R39:R48">IF(AG39="1",H39,0)</f>
        <v>0</v>
      </c>
      <c r="S39" s="37">
        <f aca="true" t="shared" si="26" ref="S39:S48">IF(AG39="1",I39,0)</f>
        <v>0</v>
      </c>
      <c r="T39" s="37">
        <f aca="true" t="shared" si="27" ref="T39:T48">IF(AG39="7",H39,0)</f>
        <v>0</v>
      </c>
      <c r="U39" s="37">
        <f aca="true" t="shared" si="28" ref="U39:U48">IF(AG39="7",I39,0)</f>
        <v>0</v>
      </c>
      <c r="V39" s="37">
        <f aca="true" t="shared" si="29" ref="V39:V48">IF(AG39="2",H39,0)</f>
        <v>0</v>
      </c>
      <c r="W39" s="37">
        <f aca="true" t="shared" si="30" ref="W39:W48">IF(AG39="2",I39,0)</f>
        <v>0</v>
      </c>
      <c r="X39" s="37">
        <f aca="true" t="shared" si="31" ref="X39:X48">IF(AG39="0",J39,0)</f>
        <v>0</v>
      </c>
      <c r="Y39" s="28" t="s">
        <v>72</v>
      </c>
      <c r="Z39" s="19">
        <f aca="true" t="shared" si="32" ref="Z39:Z48">IF(AD39=0,J39,0)</f>
        <v>0</v>
      </c>
      <c r="AA39" s="19">
        <f aca="true" t="shared" si="33" ref="AA39:AA48">IF(AD39=15,J39,0)</f>
        <v>0</v>
      </c>
      <c r="AB39" s="19">
        <f aca="true" t="shared" si="34" ref="AB39:AB48">IF(AD39=21,J39,0)</f>
        <v>0</v>
      </c>
      <c r="AD39" s="37">
        <v>15</v>
      </c>
      <c r="AE39" s="37">
        <f>G39*1</f>
        <v>0</v>
      </c>
      <c r="AF39" s="37">
        <f>G39*(1-1)</f>
        <v>0</v>
      </c>
      <c r="AG39" s="32" t="s">
        <v>13</v>
      </c>
      <c r="AM39" s="37">
        <f aca="true" t="shared" si="35" ref="AM39:AM48">F39*AE39</f>
        <v>0</v>
      </c>
      <c r="AN39" s="37">
        <f aca="true" t="shared" si="36" ref="AN39:AN48">F39*AF39</f>
        <v>0</v>
      </c>
      <c r="AO39" s="38" t="s">
        <v>268</v>
      </c>
      <c r="AP39" s="38" t="s">
        <v>285</v>
      </c>
      <c r="AQ39" s="28" t="s">
        <v>268</v>
      </c>
      <c r="AS39" s="37">
        <f aca="true" t="shared" si="37" ref="AS39:AS48">AM39+AN39</f>
        <v>0</v>
      </c>
      <c r="AT39" s="37">
        <f aca="true" t="shared" si="38" ref="AT39:AT48">G39/(100-AU39)*100</f>
        <v>0</v>
      </c>
      <c r="AU39" s="37">
        <v>0</v>
      </c>
      <c r="AV39" s="37">
        <f aca="true" t="shared" si="39" ref="AV39:AV48">L39</f>
        <v>0</v>
      </c>
    </row>
    <row r="40" spans="1:48" ht="12.75">
      <c r="A40" s="5" t="s">
        <v>23</v>
      </c>
      <c r="B40" s="5" t="s">
        <v>72</v>
      </c>
      <c r="C40" s="5" t="s">
        <v>96</v>
      </c>
      <c r="D40" s="5" t="s">
        <v>172</v>
      </c>
      <c r="E40" s="5" t="s">
        <v>229</v>
      </c>
      <c r="F40" s="19">
        <v>11</v>
      </c>
      <c r="G40" s="120">
        <v>0</v>
      </c>
      <c r="H40" s="19">
        <f t="shared" si="20"/>
        <v>0</v>
      </c>
      <c r="I40" s="19">
        <f t="shared" si="21"/>
        <v>0</v>
      </c>
      <c r="J40" s="19">
        <f t="shared" si="22"/>
        <v>0</v>
      </c>
      <c r="K40" s="120">
        <v>0</v>
      </c>
      <c r="L40" s="19">
        <f t="shared" si="23"/>
        <v>0</v>
      </c>
      <c r="M40" s="32"/>
      <c r="P40" s="37">
        <f t="shared" si="24"/>
        <v>0</v>
      </c>
      <c r="R40" s="37">
        <f t="shared" si="25"/>
        <v>0</v>
      </c>
      <c r="S40" s="37">
        <f t="shared" si="26"/>
        <v>0</v>
      </c>
      <c r="T40" s="37">
        <f t="shared" si="27"/>
        <v>0</v>
      </c>
      <c r="U40" s="37">
        <f t="shared" si="28"/>
        <v>0</v>
      </c>
      <c r="V40" s="37">
        <f t="shared" si="29"/>
        <v>0</v>
      </c>
      <c r="W40" s="37">
        <f t="shared" si="30"/>
        <v>0</v>
      </c>
      <c r="X40" s="37">
        <f t="shared" si="31"/>
        <v>0</v>
      </c>
      <c r="Y40" s="28" t="s">
        <v>72</v>
      </c>
      <c r="Z40" s="19">
        <f t="shared" si="32"/>
        <v>0</v>
      </c>
      <c r="AA40" s="19">
        <f t="shared" si="33"/>
        <v>0</v>
      </c>
      <c r="AB40" s="19">
        <f t="shared" si="34"/>
        <v>0</v>
      </c>
      <c r="AD40" s="37">
        <v>15</v>
      </c>
      <c r="AE40" s="37">
        <f>G40*1</f>
        <v>0</v>
      </c>
      <c r="AF40" s="37">
        <f>G40*(1-1)</f>
        <v>0</v>
      </c>
      <c r="AG40" s="32" t="s">
        <v>13</v>
      </c>
      <c r="AM40" s="37">
        <f t="shared" si="35"/>
        <v>0</v>
      </c>
      <c r="AN40" s="37">
        <f t="shared" si="36"/>
        <v>0</v>
      </c>
      <c r="AO40" s="38" t="s">
        <v>268</v>
      </c>
      <c r="AP40" s="38" t="s">
        <v>285</v>
      </c>
      <c r="AQ40" s="28" t="s">
        <v>268</v>
      </c>
      <c r="AS40" s="37">
        <f t="shared" si="37"/>
        <v>0</v>
      </c>
      <c r="AT40" s="37">
        <f t="shared" si="38"/>
        <v>0</v>
      </c>
      <c r="AU40" s="37">
        <v>0</v>
      </c>
      <c r="AV40" s="37">
        <f t="shared" si="39"/>
        <v>0</v>
      </c>
    </row>
    <row r="41" spans="1:48" ht="12.75">
      <c r="A41" s="5" t="s">
        <v>24</v>
      </c>
      <c r="B41" s="5" t="s">
        <v>72</v>
      </c>
      <c r="C41" s="5" t="s">
        <v>97</v>
      </c>
      <c r="D41" s="5" t="s">
        <v>173</v>
      </c>
      <c r="E41" s="5" t="s">
        <v>230</v>
      </c>
      <c r="F41" s="19">
        <v>2</v>
      </c>
      <c r="G41" s="120">
        <v>0</v>
      </c>
      <c r="H41" s="19">
        <f t="shared" si="20"/>
        <v>0</v>
      </c>
      <c r="I41" s="19">
        <f t="shared" si="21"/>
        <v>0</v>
      </c>
      <c r="J41" s="19">
        <f t="shared" si="22"/>
        <v>0</v>
      </c>
      <c r="K41" s="120">
        <v>8E-05</v>
      </c>
      <c r="L41" s="19">
        <f t="shared" si="23"/>
        <v>0.00016</v>
      </c>
      <c r="M41" s="32"/>
      <c r="P41" s="37">
        <f t="shared" si="24"/>
        <v>0</v>
      </c>
      <c r="R41" s="37">
        <f t="shared" si="25"/>
        <v>0</v>
      </c>
      <c r="S41" s="37">
        <f t="shared" si="26"/>
        <v>0</v>
      </c>
      <c r="T41" s="37">
        <f t="shared" si="27"/>
        <v>0</v>
      </c>
      <c r="U41" s="37">
        <f t="shared" si="28"/>
        <v>0</v>
      </c>
      <c r="V41" s="37">
        <f t="shared" si="29"/>
        <v>0</v>
      </c>
      <c r="W41" s="37">
        <f t="shared" si="30"/>
        <v>0</v>
      </c>
      <c r="X41" s="37">
        <f t="shared" si="31"/>
        <v>0</v>
      </c>
      <c r="Y41" s="28" t="s">
        <v>72</v>
      </c>
      <c r="Z41" s="19">
        <f t="shared" si="32"/>
        <v>0</v>
      </c>
      <c r="AA41" s="19">
        <f t="shared" si="33"/>
        <v>0</v>
      </c>
      <c r="AB41" s="19">
        <f t="shared" si="34"/>
        <v>0</v>
      </c>
      <c r="AD41" s="37">
        <v>15</v>
      </c>
      <c r="AE41" s="37">
        <f>G41*0.850141843971631</f>
        <v>0</v>
      </c>
      <c r="AF41" s="37">
        <f>G41*(1-0.850141843971631)</f>
        <v>0</v>
      </c>
      <c r="AG41" s="32" t="s">
        <v>13</v>
      </c>
      <c r="AM41" s="37">
        <f t="shared" si="35"/>
        <v>0</v>
      </c>
      <c r="AN41" s="37">
        <f t="shared" si="36"/>
        <v>0</v>
      </c>
      <c r="AO41" s="38" t="s">
        <v>268</v>
      </c>
      <c r="AP41" s="38" t="s">
        <v>285</v>
      </c>
      <c r="AQ41" s="28" t="s">
        <v>268</v>
      </c>
      <c r="AS41" s="37">
        <f t="shared" si="37"/>
        <v>0</v>
      </c>
      <c r="AT41" s="37">
        <f t="shared" si="38"/>
        <v>0</v>
      </c>
      <c r="AU41" s="37">
        <v>0</v>
      </c>
      <c r="AV41" s="37">
        <f t="shared" si="39"/>
        <v>0.00016</v>
      </c>
    </row>
    <row r="42" spans="1:48" ht="12.75">
      <c r="A42" s="5" t="s">
        <v>25</v>
      </c>
      <c r="B42" s="5" t="s">
        <v>72</v>
      </c>
      <c r="C42" s="5" t="s">
        <v>98</v>
      </c>
      <c r="D42" s="5" t="s">
        <v>174</v>
      </c>
      <c r="E42" s="5" t="s">
        <v>230</v>
      </c>
      <c r="F42" s="19">
        <v>7</v>
      </c>
      <c r="G42" s="120">
        <v>0</v>
      </c>
      <c r="H42" s="19">
        <f t="shared" si="20"/>
        <v>0</v>
      </c>
      <c r="I42" s="19">
        <f t="shared" si="21"/>
        <v>0</v>
      </c>
      <c r="J42" s="19">
        <f t="shared" si="22"/>
        <v>0</v>
      </c>
      <c r="K42" s="120">
        <v>0</v>
      </c>
      <c r="L42" s="19">
        <f t="shared" si="23"/>
        <v>0</v>
      </c>
      <c r="M42" s="32"/>
      <c r="P42" s="37">
        <f t="shared" si="24"/>
        <v>0</v>
      </c>
      <c r="R42" s="37">
        <f t="shared" si="25"/>
        <v>0</v>
      </c>
      <c r="S42" s="37">
        <f t="shared" si="26"/>
        <v>0</v>
      </c>
      <c r="T42" s="37">
        <f t="shared" si="27"/>
        <v>0</v>
      </c>
      <c r="U42" s="37">
        <f t="shared" si="28"/>
        <v>0</v>
      </c>
      <c r="V42" s="37">
        <f t="shared" si="29"/>
        <v>0</v>
      </c>
      <c r="W42" s="37">
        <f t="shared" si="30"/>
        <v>0</v>
      </c>
      <c r="X42" s="37">
        <f t="shared" si="31"/>
        <v>0</v>
      </c>
      <c r="Y42" s="28" t="s">
        <v>72</v>
      </c>
      <c r="Z42" s="19">
        <f t="shared" si="32"/>
        <v>0</v>
      </c>
      <c r="AA42" s="19">
        <f t="shared" si="33"/>
        <v>0</v>
      </c>
      <c r="AB42" s="19">
        <f t="shared" si="34"/>
        <v>0</v>
      </c>
      <c r="AD42" s="37">
        <v>15</v>
      </c>
      <c r="AE42" s="37">
        <f>G42*0.0736842105263158</f>
        <v>0</v>
      </c>
      <c r="AF42" s="37">
        <f>G42*(1-0.0736842105263158)</f>
        <v>0</v>
      </c>
      <c r="AG42" s="32" t="s">
        <v>13</v>
      </c>
      <c r="AM42" s="37">
        <f t="shared" si="35"/>
        <v>0</v>
      </c>
      <c r="AN42" s="37">
        <f t="shared" si="36"/>
        <v>0</v>
      </c>
      <c r="AO42" s="38" t="s">
        <v>268</v>
      </c>
      <c r="AP42" s="38" t="s">
        <v>285</v>
      </c>
      <c r="AQ42" s="28" t="s">
        <v>268</v>
      </c>
      <c r="AS42" s="37">
        <f t="shared" si="37"/>
        <v>0</v>
      </c>
      <c r="AT42" s="37">
        <f t="shared" si="38"/>
        <v>0</v>
      </c>
      <c r="AU42" s="37">
        <v>0</v>
      </c>
      <c r="AV42" s="37">
        <f t="shared" si="39"/>
        <v>0</v>
      </c>
    </row>
    <row r="43" spans="1:48" ht="12.75">
      <c r="A43" s="5" t="s">
        <v>26</v>
      </c>
      <c r="B43" s="5" t="s">
        <v>72</v>
      </c>
      <c r="C43" s="5" t="s">
        <v>99</v>
      </c>
      <c r="D43" s="5" t="s">
        <v>175</v>
      </c>
      <c r="E43" s="5" t="s">
        <v>230</v>
      </c>
      <c r="F43" s="19">
        <v>12</v>
      </c>
      <c r="G43" s="120">
        <v>0</v>
      </c>
      <c r="H43" s="19">
        <f t="shared" si="20"/>
        <v>0</v>
      </c>
      <c r="I43" s="19">
        <f t="shared" si="21"/>
        <v>0</v>
      </c>
      <c r="J43" s="19">
        <f t="shared" si="22"/>
        <v>0</v>
      </c>
      <c r="K43" s="120">
        <v>0</v>
      </c>
      <c r="L43" s="19">
        <f t="shared" si="23"/>
        <v>0</v>
      </c>
      <c r="M43" s="32"/>
      <c r="P43" s="37">
        <f t="shared" si="24"/>
        <v>0</v>
      </c>
      <c r="R43" s="37">
        <f t="shared" si="25"/>
        <v>0</v>
      </c>
      <c r="S43" s="37">
        <f t="shared" si="26"/>
        <v>0</v>
      </c>
      <c r="T43" s="37">
        <f t="shared" si="27"/>
        <v>0</v>
      </c>
      <c r="U43" s="37">
        <f t="shared" si="28"/>
        <v>0</v>
      </c>
      <c r="V43" s="37">
        <f t="shared" si="29"/>
        <v>0</v>
      </c>
      <c r="W43" s="37">
        <f t="shared" si="30"/>
        <v>0</v>
      </c>
      <c r="X43" s="37">
        <f t="shared" si="31"/>
        <v>0</v>
      </c>
      <c r="Y43" s="28" t="s">
        <v>72</v>
      </c>
      <c r="Z43" s="19">
        <f t="shared" si="32"/>
        <v>0</v>
      </c>
      <c r="AA43" s="19">
        <f t="shared" si="33"/>
        <v>0</v>
      </c>
      <c r="AB43" s="19">
        <f t="shared" si="34"/>
        <v>0</v>
      </c>
      <c r="AD43" s="37">
        <v>15</v>
      </c>
      <c r="AE43" s="37">
        <f>G43*0.0470013947001395</f>
        <v>0</v>
      </c>
      <c r="AF43" s="37">
        <f>G43*(1-0.0470013947001395)</f>
        <v>0</v>
      </c>
      <c r="AG43" s="32" t="s">
        <v>13</v>
      </c>
      <c r="AM43" s="37">
        <f t="shared" si="35"/>
        <v>0</v>
      </c>
      <c r="AN43" s="37">
        <f t="shared" si="36"/>
        <v>0</v>
      </c>
      <c r="AO43" s="38" t="s">
        <v>268</v>
      </c>
      <c r="AP43" s="38" t="s">
        <v>285</v>
      </c>
      <c r="AQ43" s="28" t="s">
        <v>268</v>
      </c>
      <c r="AS43" s="37">
        <f t="shared" si="37"/>
        <v>0</v>
      </c>
      <c r="AT43" s="37">
        <f t="shared" si="38"/>
        <v>0</v>
      </c>
      <c r="AU43" s="37">
        <v>0</v>
      </c>
      <c r="AV43" s="37">
        <f t="shared" si="39"/>
        <v>0</v>
      </c>
    </row>
    <row r="44" spans="1:48" ht="12.75">
      <c r="A44" s="5" t="s">
        <v>27</v>
      </c>
      <c r="B44" s="5" t="s">
        <v>72</v>
      </c>
      <c r="C44" s="5" t="s">
        <v>100</v>
      </c>
      <c r="D44" s="5" t="s">
        <v>176</v>
      </c>
      <c r="E44" s="5" t="s">
        <v>230</v>
      </c>
      <c r="F44" s="19">
        <v>1</v>
      </c>
      <c r="G44" s="120">
        <v>0</v>
      </c>
      <c r="H44" s="19">
        <f t="shared" si="20"/>
        <v>0</v>
      </c>
      <c r="I44" s="19">
        <f t="shared" si="21"/>
        <v>0</v>
      </c>
      <c r="J44" s="19">
        <f t="shared" si="22"/>
        <v>0</v>
      </c>
      <c r="K44" s="120">
        <v>0</v>
      </c>
      <c r="L44" s="19">
        <f t="shared" si="23"/>
        <v>0</v>
      </c>
      <c r="M44" s="32"/>
      <c r="P44" s="37">
        <f t="shared" si="24"/>
        <v>0</v>
      </c>
      <c r="R44" s="37">
        <f t="shared" si="25"/>
        <v>0</v>
      </c>
      <c r="S44" s="37">
        <f t="shared" si="26"/>
        <v>0</v>
      </c>
      <c r="T44" s="37">
        <f t="shared" si="27"/>
        <v>0</v>
      </c>
      <c r="U44" s="37">
        <f t="shared" si="28"/>
        <v>0</v>
      </c>
      <c r="V44" s="37">
        <f t="shared" si="29"/>
        <v>0</v>
      </c>
      <c r="W44" s="37">
        <f t="shared" si="30"/>
        <v>0</v>
      </c>
      <c r="X44" s="37">
        <f t="shared" si="31"/>
        <v>0</v>
      </c>
      <c r="Y44" s="28" t="s">
        <v>72</v>
      </c>
      <c r="Z44" s="19">
        <f t="shared" si="32"/>
        <v>0</v>
      </c>
      <c r="AA44" s="19">
        <f t="shared" si="33"/>
        <v>0</v>
      </c>
      <c r="AB44" s="19">
        <f t="shared" si="34"/>
        <v>0</v>
      </c>
      <c r="AD44" s="37">
        <v>15</v>
      </c>
      <c r="AE44" s="37">
        <f>G44*0.05</f>
        <v>0</v>
      </c>
      <c r="AF44" s="37">
        <f>G44*(1-0.05)</f>
        <v>0</v>
      </c>
      <c r="AG44" s="32" t="s">
        <v>13</v>
      </c>
      <c r="AM44" s="37">
        <f t="shared" si="35"/>
        <v>0</v>
      </c>
      <c r="AN44" s="37">
        <f t="shared" si="36"/>
        <v>0</v>
      </c>
      <c r="AO44" s="38" t="s">
        <v>268</v>
      </c>
      <c r="AP44" s="38" t="s">
        <v>285</v>
      </c>
      <c r="AQ44" s="28" t="s">
        <v>268</v>
      </c>
      <c r="AS44" s="37">
        <f t="shared" si="37"/>
        <v>0</v>
      </c>
      <c r="AT44" s="37">
        <f t="shared" si="38"/>
        <v>0</v>
      </c>
      <c r="AU44" s="37">
        <v>0</v>
      </c>
      <c r="AV44" s="37">
        <f t="shared" si="39"/>
        <v>0</v>
      </c>
    </row>
    <row r="45" spans="1:48" ht="12.75">
      <c r="A45" s="5" t="s">
        <v>28</v>
      </c>
      <c r="B45" s="5" t="s">
        <v>72</v>
      </c>
      <c r="C45" s="5" t="s">
        <v>101</v>
      </c>
      <c r="D45" s="5" t="s">
        <v>177</v>
      </c>
      <c r="E45" s="5" t="s">
        <v>230</v>
      </c>
      <c r="F45" s="19">
        <v>2</v>
      </c>
      <c r="G45" s="120">
        <v>0</v>
      </c>
      <c r="H45" s="19">
        <f t="shared" si="20"/>
        <v>0</v>
      </c>
      <c r="I45" s="19">
        <f t="shared" si="21"/>
        <v>0</v>
      </c>
      <c r="J45" s="19">
        <f t="shared" si="22"/>
        <v>0</v>
      </c>
      <c r="K45" s="120">
        <v>0</v>
      </c>
      <c r="L45" s="19">
        <f t="shared" si="23"/>
        <v>0</v>
      </c>
      <c r="M45" s="32"/>
      <c r="P45" s="37">
        <f t="shared" si="24"/>
        <v>0</v>
      </c>
      <c r="R45" s="37">
        <f t="shared" si="25"/>
        <v>0</v>
      </c>
      <c r="S45" s="37">
        <f t="shared" si="26"/>
        <v>0</v>
      </c>
      <c r="T45" s="37">
        <f t="shared" si="27"/>
        <v>0</v>
      </c>
      <c r="U45" s="37">
        <f t="shared" si="28"/>
        <v>0</v>
      </c>
      <c r="V45" s="37">
        <f t="shared" si="29"/>
        <v>0</v>
      </c>
      <c r="W45" s="37">
        <f t="shared" si="30"/>
        <v>0</v>
      </c>
      <c r="X45" s="37">
        <f t="shared" si="31"/>
        <v>0</v>
      </c>
      <c r="Y45" s="28" t="s">
        <v>72</v>
      </c>
      <c r="Z45" s="19">
        <f t="shared" si="32"/>
        <v>0</v>
      </c>
      <c r="AA45" s="19">
        <f t="shared" si="33"/>
        <v>0</v>
      </c>
      <c r="AB45" s="19">
        <f t="shared" si="34"/>
        <v>0</v>
      </c>
      <c r="AD45" s="37">
        <v>15</v>
      </c>
      <c r="AE45" s="37">
        <f>G45*0.0667326732673267</f>
        <v>0</v>
      </c>
      <c r="AF45" s="37">
        <f>G45*(1-0.0667326732673267)</f>
        <v>0</v>
      </c>
      <c r="AG45" s="32" t="s">
        <v>13</v>
      </c>
      <c r="AM45" s="37">
        <f t="shared" si="35"/>
        <v>0</v>
      </c>
      <c r="AN45" s="37">
        <f t="shared" si="36"/>
        <v>0</v>
      </c>
      <c r="AO45" s="38" t="s">
        <v>268</v>
      </c>
      <c r="AP45" s="38" t="s">
        <v>285</v>
      </c>
      <c r="AQ45" s="28" t="s">
        <v>268</v>
      </c>
      <c r="AS45" s="37">
        <f t="shared" si="37"/>
        <v>0</v>
      </c>
      <c r="AT45" s="37">
        <f t="shared" si="38"/>
        <v>0</v>
      </c>
      <c r="AU45" s="37">
        <v>0</v>
      </c>
      <c r="AV45" s="37">
        <f t="shared" si="39"/>
        <v>0</v>
      </c>
    </row>
    <row r="46" spans="1:48" ht="12.75">
      <c r="A46" s="5" t="s">
        <v>29</v>
      </c>
      <c r="B46" s="5" t="s">
        <v>72</v>
      </c>
      <c r="C46" s="5" t="s">
        <v>102</v>
      </c>
      <c r="D46" s="5" t="s">
        <v>178</v>
      </c>
      <c r="E46" s="5" t="s">
        <v>230</v>
      </c>
      <c r="F46" s="19">
        <v>2</v>
      </c>
      <c r="G46" s="120">
        <v>0</v>
      </c>
      <c r="H46" s="19">
        <f t="shared" si="20"/>
        <v>0</v>
      </c>
      <c r="I46" s="19">
        <f t="shared" si="21"/>
        <v>0</v>
      </c>
      <c r="J46" s="19">
        <f t="shared" si="22"/>
        <v>0</v>
      </c>
      <c r="K46" s="120">
        <v>0</v>
      </c>
      <c r="L46" s="19">
        <f t="shared" si="23"/>
        <v>0</v>
      </c>
      <c r="M46" s="32"/>
      <c r="P46" s="37">
        <f t="shared" si="24"/>
        <v>0</v>
      </c>
      <c r="R46" s="37">
        <f t="shared" si="25"/>
        <v>0</v>
      </c>
      <c r="S46" s="37">
        <f t="shared" si="26"/>
        <v>0</v>
      </c>
      <c r="T46" s="37">
        <f t="shared" si="27"/>
        <v>0</v>
      </c>
      <c r="U46" s="37">
        <f t="shared" si="28"/>
        <v>0</v>
      </c>
      <c r="V46" s="37">
        <f t="shared" si="29"/>
        <v>0</v>
      </c>
      <c r="W46" s="37">
        <f t="shared" si="30"/>
        <v>0</v>
      </c>
      <c r="X46" s="37">
        <f t="shared" si="31"/>
        <v>0</v>
      </c>
      <c r="Y46" s="28" t="s">
        <v>72</v>
      </c>
      <c r="Z46" s="19">
        <f t="shared" si="32"/>
        <v>0</v>
      </c>
      <c r="AA46" s="19">
        <f t="shared" si="33"/>
        <v>0</v>
      </c>
      <c r="AB46" s="19">
        <f t="shared" si="34"/>
        <v>0</v>
      </c>
      <c r="AD46" s="37">
        <v>15</v>
      </c>
      <c r="AE46" s="37">
        <f>G46*0.0747562296858072</f>
        <v>0</v>
      </c>
      <c r="AF46" s="37">
        <f>G46*(1-0.0747562296858072)</f>
        <v>0</v>
      </c>
      <c r="AG46" s="32" t="s">
        <v>13</v>
      </c>
      <c r="AM46" s="37">
        <f t="shared" si="35"/>
        <v>0</v>
      </c>
      <c r="AN46" s="37">
        <f t="shared" si="36"/>
        <v>0</v>
      </c>
      <c r="AO46" s="38" t="s">
        <v>268</v>
      </c>
      <c r="AP46" s="38" t="s">
        <v>285</v>
      </c>
      <c r="AQ46" s="28" t="s">
        <v>268</v>
      </c>
      <c r="AS46" s="37">
        <f t="shared" si="37"/>
        <v>0</v>
      </c>
      <c r="AT46" s="37">
        <f t="shared" si="38"/>
        <v>0</v>
      </c>
      <c r="AU46" s="37">
        <v>0</v>
      </c>
      <c r="AV46" s="37">
        <f t="shared" si="39"/>
        <v>0</v>
      </c>
    </row>
    <row r="47" spans="1:48" ht="12.75">
      <c r="A47" s="5" t="s">
        <v>30</v>
      </c>
      <c r="B47" s="5" t="s">
        <v>72</v>
      </c>
      <c r="C47" s="5" t="s">
        <v>103</v>
      </c>
      <c r="D47" s="5" t="s">
        <v>179</v>
      </c>
      <c r="E47" s="5" t="s">
        <v>230</v>
      </c>
      <c r="F47" s="19">
        <v>1</v>
      </c>
      <c r="G47" s="120">
        <v>0</v>
      </c>
      <c r="H47" s="19">
        <f t="shared" si="20"/>
        <v>0</v>
      </c>
      <c r="I47" s="19">
        <f t="shared" si="21"/>
        <v>0</v>
      </c>
      <c r="J47" s="19">
        <f t="shared" si="22"/>
        <v>0</v>
      </c>
      <c r="K47" s="120">
        <v>0.00297</v>
      </c>
      <c r="L47" s="19">
        <f t="shared" si="23"/>
        <v>0.00297</v>
      </c>
      <c r="M47" s="32"/>
      <c r="P47" s="37">
        <f t="shared" si="24"/>
        <v>0</v>
      </c>
      <c r="R47" s="37">
        <f t="shared" si="25"/>
        <v>0</v>
      </c>
      <c r="S47" s="37">
        <f t="shared" si="26"/>
        <v>0</v>
      </c>
      <c r="T47" s="37">
        <f t="shared" si="27"/>
        <v>0</v>
      </c>
      <c r="U47" s="37">
        <f t="shared" si="28"/>
        <v>0</v>
      </c>
      <c r="V47" s="37">
        <f t="shared" si="29"/>
        <v>0</v>
      </c>
      <c r="W47" s="37">
        <f t="shared" si="30"/>
        <v>0</v>
      </c>
      <c r="X47" s="37">
        <f t="shared" si="31"/>
        <v>0</v>
      </c>
      <c r="Y47" s="28" t="s">
        <v>72</v>
      </c>
      <c r="Z47" s="19">
        <f t="shared" si="32"/>
        <v>0</v>
      </c>
      <c r="AA47" s="19">
        <f t="shared" si="33"/>
        <v>0</v>
      </c>
      <c r="AB47" s="19">
        <f t="shared" si="34"/>
        <v>0</v>
      </c>
      <c r="AD47" s="37">
        <v>15</v>
      </c>
      <c r="AE47" s="37">
        <f>G47*0.908282208588957</f>
        <v>0</v>
      </c>
      <c r="AF47" s="37">
        <f>G47*(1-0.908282208588957)</f>
        <v>0</v>
      </c>
      <c r="AG47" s="32" t="s">
        <v>13</v>
      </c>
      <c r="AM47" s="37">
        <f t="shared" si="35"/>
        <v>0</v>
      </c>
      <c r="AN47" s="37">
        <f t="shared" si="36"/>
        <v>0</v>
      </c>
      <c r="AO47" s="38" t="s">
        <v>268</v>
      </c>
      <c r="AP47" s="38" t="s">
        <v>285</v>
      </c>
      <c r="AQ47" s="28" t="s">
        <v>268</v>
      </c>
      <c r="AS47" s="37">
        <f t="shared" si="37"/>
        <v>0</v>
      </c>
      <c r="AT47" s="37">
        <f t="shared" si="38"/>
        <v>0</v>
      </c>
      <c r="AU47" s="37">
        <v>0</v>
      </c>
      <c r="AV47" s="37">
        <f t="shared" si="39"/>
        <v>0.00297</v>
      </c>
    </row>
    <row r="48" spans="1:48" ht="12.75">
      <c r="A48" s="5" t="s">
        <v>31</v>
      </c>
      <c r="B48" s="5" t="s">
        <v>72</v>
      </c>
      <c r="C48" s="5" t="s">
        <v>104</v>
      </c>
      <c r="D48" s="5" t="s">
        <v>180</v>
      </c>
      <c r="E48" s="5" t="s">
        <v>230</v>
      </c>
      <c r="F48" s="19">
        <v>1</v>
      </c>
      <c r="G48" s="120">
        <v>0</v>
      </c>
      <c r="H48" s="19">
        <f t="shared" si="20"/>
        <v>0</v>
      </c>
      <c r="I48" s="19">
        <f t="shared" si="21"/>
        <v>0</v>
      </c>
      <c r="J48" s="19">
        <f t="shared" si="22"/>
        <v>0</v>
      </c>
      <c r="K48" s="120">
        <v>0.0004</v>
      </c>
      <c r="L48" s="19">
        <f t="shared" si="23"/>
        <v>0.0004</v>
      </c>
      <c r="M48" s="32"/>
      <c r="P48" s="37">
        <f t="shared" si="24"/>
        <v>0</v>
      </c>
      <c r="R48" s="37">
        <f t="shared" si="25"/>
        <v>0</v>
      </c>
      <c r="S48" s="37">
        <f t="shared" si="26"/>
        <v>0</v>
      </c>
      <c r="T48" s="37">
        <f t="shared" si="27"/>
        <v>0</v>
      </c>
      <c r="U48" s="37">
        <f t="shared" si="28"/>
        <v>0</v>
      </c>
      <c r="V48" s="37">
        <f t="shared" si="29"/>
        <v>0</v>
      </c>
      <c r="W48" s="37">
        <f t="shared" si="30"/>
        <v>0</v>
      </c>
      <c r="X48" s="37">
        <f t="shared" si="31"/>
        <v>0</v>
      </c>
      <c r="Y48" s="28" t="s">
        <v>72</v>
      </c>
      <c r="Z48" s="19">
        <f t="shared" si="32"/>
        <v>0</v>
      </c>
      <c r="AA48" s="19">
        <f t="shared" si="33"/>
        <v>0</v>
      </c>
      <c r="AB48" s="19">
        <f t="shared" si="34"/>
        <v>0</v>
      </c>
      <c r="AD48" s="37">
        <v>15</v>
      </c>
      <c r="AE48" s="37">
        <f>G48*0.927332521315469</f>
        <v>0</v>
      </c>
      <c r="AF48" s="37">
        <f>G48*(1-0.927332521315469)</f>
        <v>0</v>
      </c>
      <c r="AG48" s="32" t="s">
        <v>13</v>
      </c>
      <c r="AM48" s="37">
        <f t="shared" si="35"/>
        <v>0</v>
      </c>
      <c r="AN48" s="37">
        <f t="shared" si="36"/>
        <v>0</v>
      </c>
      <c r="AO48" s="38" t="s">
        <v>268</v>
      </c>
      <c r="AP48" s="38" t="s">
        <v>285</v>
      </c>
      <c r="AQ48" s="28" t="s">
        <v>268</v>
      </c>
      <c r="AS48" s="37">
        <f t="shared" si="37"/>
        <v>0</v>
      </c>
      <c r="AT48" s="37">
        <f t="shared" si="38"/>
        <v>0</v>
      </c>
      <c r="AU48" s="37">
        <v>0</v>
      </c>
      <c r="AV48" s="37">
        <f t="shared" si="39"/>
        <v>0.0004</v>
      </c>
    </row>
    <row r="49" spans="1:37" ht="12.75">
      <c r="A49" s="4"/>
      <c r="B49" s="14" t="s">
        <v>72</v>
      </c>
      <c r="C49" s="14"/>
      <c r="D49" s="14" t="s">
        <v>154</v>
      </c>
      <c r="E49" s="4" t="s">
        <v>6</v>
      </c>
      <c r="F49" s="4" t="s">
        <v>6</v>
      </c>
      <c r="G49" s="119" t="s">
        <v>6</v>
      </c>
      <c r="H49" s="40">
        <f>SUM(H50:H57)</f>
        <v>0</v>
      </c>
      <c r="I49" s="40">
        <f>SUM(I50:I57)</f>
        <v>0</v>
      </c>
      <c r="J49" s="40">
        <f>H49+I49</f>
        <v>0</v>
      </c>
      <c r="K49" s="125"/>
      <c r="L49" s="40">
        <f>SUM(L50:L57)</f>
        <v>0</v>
      </c>
      <c r="M49" s="28"/>
      <c r="Y49" s="28" t="s">
        <v>72</v>
      </c>
      <c r="AI49" s="40">
        <f>SUM(Z50:Z57)</f>
        <v>0</v>
      </c>
      <c r="AJ49" s="40">
        <f>SUM(AA50:AA57)</f>
        <v>0</v>
      </c>
      <c r="AK49" s="40">
        <f>SUM(AB50:AB57)</f>
        <v>0</v>
      </c>
    </row>
    <row r="50" spans="1:48" ht="12.75">
      <c r="A50" s="7" t="s">
        <v>32</v>
      </c>
      <c r="B50" s="7" t="s">
        <v>72</v>
      </c>
      <c r="C50" s="7" t="s">
        <v>105</v>
      </c>
      <c r="D50" s="7" t="s">
        <v>181</v>
      </c>
      <c r="E50" s="7" t="s">
        <v>229</v>
      </c>
      <c r="F50" s="20">
        <v>1</v>
      </c>
      <c r="G50" s="122">
        <v>0</v>
      </c>
      <c r="H50" s="20">
        <f aca="true" t="shared" si="40" ref="H50:H57">F50*AE50</f>
        <v>0</v>
      </c>
      <c r="I50" s="20">
        <f aca="true" t="shared" si="41" ref="I50:I57">J50-H50</f>
        <v>0</v>
      </c>
      <c r="J50" s="20">
        <f aca="true" t="shared" si="42" ref="J50:J57">F50*G50</f>
        <v>0</v>
      </c>
      <c r="K50" s="122">
        <v>0</v>
      </c>
      <c r="L50" s="20">
        <f aca="true" t="shared" si="43" ref="L50:L57">F50*K50</f>
        <v>0</v>
      </c>
      <c r="M50" s="33"/>
      <c r="P50" s="37">
        <f aca="true" t="shared" si="44" ref="P50:P57">IF(AG50="5",J50,0)</f>
        <v>0</v>
      </c>
      <c r="R50" s="37">
        <f aca="true" t="shared" si="45" ref="R50:R57">IF(AG50="1",H50,0)</f>
        <v>0</v>
      </c>
      <c r="S50" s="37">
        <f aca="true" t="shared" si="46" ref="S50:S57">IF(AG50="1",I50,0)</f>
        <v>0</v>
      </c>
      <c r="T50" s="37">
        <f aca="true" t="shared" si="47" ref="T50:T57">IF(AG50="7",H50,0)</f>
        <v>0</v>
      </c>
      <c r="U50" s="37">
        <f aca="true" t="shared" si="48" ref="U50:U57">IF(AG50="7",I50,0)</f>
        <v>0</v>
      </c>
      <c r="V50" s="37">
        <f aca="true" t="shared" si="49" ref="V50:V57">IF(AG50="2",H50,0)</f>
        <v>0</v>
      </c>
      <c r="W50" s="37">
        <f aca="true" t="shared" si="50" ref="W50:W57">IF(AG50="2",I50,0)</f>
        <v>0</v>
      </c>
      <c r="X50" s="37">
        <f aca="true" t="shared" si="51" ref="X50:X57">IF(AG50="0",J50,0)</f>
        <v>0</v>
      </c>
      <c r="Y50" s="28" t="s">
        <v>72</v>
      </c>
      <c r="Z50" s="20">
        <f aca="true" t="shared" si="52" ref="Z50:Z57">IF(AD50=0,J50,0)</f>
        <v>0</v>
      </c>
      <c r="AA50" s="20">
        <f aca="true" t="shared" si="53" ref="AA50:AA57">IF(AD50=15,J50,0)</f>
        <v>0</v>
      </c>
      <c r="AB50" s="20">
        <f aca="true" t="shared" si="54" ref="AB50:AB57">IF(AD50=21,J50,0)</f>
        <v>0</v>
      </c>
      <c r="AD50" s="37">
        <v>15</v>
      </c>
      <c r="AE50" s="37">
        <f aca="true" t="shared" si="55" ref="AE50:AE57">G50*1</f>
        <v>0</v>
      </c>
      <c r="AF50" s="37">
        <f aca="true" t="shared" si="56" ref="AF50:AF57">G50*(1-1)</f>
        <v>0</v>
      </c>
      <c r="AG50" s="33" t="s">
        <v>262</v>
      </c>
      <c r="AM50" s="37">
        <f aca="true" t="shared" si="57" ref="AM50:AM57">F50*AE50</f>
        <v>0</v>
      </c>
      <c r="AN50" s="37">
        <f aca="true" t="shared" si="58" ref="AN50:AN57">F50*AF50</f>
        <v>0</v>
      </c>
      <c r="AO50" s="38" t="s">
        <v>265</v>
      </c>
      <c r="AP50" s="38" t="s">
        <v>286</v>
      </c>
      <c r="AQ50" s="28" t="s">
        <v>268</v>
      </c>
      <c r="AS50" s="37">
        <f aca="true" t="shared" si="59" ref="AS50:AS57">AM50+AN50</f>
        <v>0</v>
      </c>
      <c r="AT50" s="37">
        <f aca="true" t="shared" si="60" ref="AT50:AT57">G50/(100-AU50)*100</f>
        <v>0</v>
      </c>
      <c r="AU50" s="37">
        <v>0</v>
      </c>
      <c r="AV50" s="37">
        <f aca="true" t="shared" si="61" ref="AV50:AV57">L50</f>
        <v>0</v>
      </c>
    </row>
    <row r="51" spans="1:48" ht="12.75">
      <c r="A51" s="7" t="s">
        <v>33</v>
      </c>
      <c r="B51" s="7" t="s">
        <v>72</v>
      </c>
      <c r="C51" s="7" t="s">
        <v>106</v>
      </c>
      <c r="D51" s="7" t="s">
        <v>182</v>
      </c>
      <c r="E51" s="7" t="s">
        <v>229</v>
      </c>
      <c r="F51" s="20">
        <v>11</v>
      </c>
      <c r="G51" s="122">
        <v>0</v>
      </c>
      <c r="H51" s="20">
        <f t="shared" si="40"/>
        <v>0</v>
      </c>
      <c r="I51" s="20">
        <f t="shared" si="41"/>
        <v>0</v>
      </c>
      <c r="J51" s="20">
        <f t="shared" si="42"/>
        <v>0</v>
      </c>
      <c r="K51" s="122">
        <v>0</v>
      </c>
      <c r="L51" s="20">
        <f t="shared" si="43"/>
        <v>0</v>
      </c>
      <c r="M51" s="33"/>
      <c r="P51" s="37">
        <f t="shared" si="44"/>
        <v>0</v>
      </c>
      <c r="R51" s="37">
        <f t="shared" si="45"/>
        <v>0</v>
      </c>
      <c r="S51" s="37">
        <f t="shared" si="46"/>
        <v>0</v>
      </c>
      <c r="T51" s="37">
        <f t="shared" si="47"/>
        <v>0</v>
      </c>
      <c r="U51" s="37">
        <f t="shared" si="48"/>
        <v>0</v>
      </c>
      <c r="V51" s="37">
        <f t="shared" si="49"/>
        <v>0</v>
      </c>
      <c r="W51" s="37">
        <f t="shared" si="50"/>
        <v>0</v>
      </c>
      <c r="X51" s="37">
        <f t="shared" si="51"/>
        <v>0</v>
      </c>
      <c r="Y51" s="28" t="s">
        <v>72</v>
      </c>
      <c r="Z51" s="20">
        <f t="shared" si="52"/>
        <v>0</v>
      </c>
      <c r="AA51" s="20">
        <f t="shared" si="53"/>
        <v>0</v>
      </c>
      <c r="AB51" s="20">
        <f t="shared" si="54"/>
        <v>0</v>
      </c>
      <c r="AD51" s="37">
        <v>15</v>
      </c>
      <c r="AE51" s="37">
        <f t="shared" si="55"/>
        <v>0</v>
      </c>
      <c r="AF51" s="37">
        <f t="shared" si="56"/>
        <v>0</v>
      </c>
      <c r="AG51" s="33" t="s">
        <v>262</v>
      </c>
      <c r="AM51" s="37">
        <f t="shared" si="57"/>
        <v>0</v>
      </c>
      <c r="AN51" s="37">
        <f t="shared" si="58"/>
        <v>0</v>
      </c>
      <c r="AO51" s="38" t="s">
        <v>265</v>
      </c>
      <c r="AP51" s="38" t="s">
        <v>286</v>
      </c>
      <c r="AQ51" s="28" t="s">
        <v>268</v>
      </c>
      <c r="AS51" s="37">
        <f t="shared" si="59"/>
        <v>0</v>
      </c>
      <c r="AT51" s="37">
        <f t="shared" si="60"/>
        <v>0</v>
      </c>
      <c r="AU51" s="37">
        <v>0</v>
      </c>
      <c r="AV51" s="37">
        <f t="shared" si="61"/>
        <v>0</v>
      </c>
    </row>
    <row r="52" spans="1:48" ht="12.75">
      <c r="A52" s="7" t="s">
        <v>34</v>
      </c>
      <c r="B52" s="7" t="s">
        <v>72</v>
      </c>
      <c r="C52" s="7" t="s">
        <v>107</v>
      </c>
      <c r="D52" s="7" t="s">
        <v>183</v>
      </c>
      <c r="E52" s="7" t="s">
        <v>229</v>
      </c>
      <c r="F52" s="20">
        <v>11</v>
      </c>
      <c r="G52" s="122">
        <v>0</v>
      </c>
      <c r="H52" s="20">
        <f t="shared" si="40"/>
        <v>0</v>
      </c>
      <c r="I52" s="20">
        <f t="shared" si="41"/>
        <v>0</v>
      </c>
      <c r="J52" s="20">
        <f t="shared" si="42"/>
        <v>0</v>
      </c>
      <c r="K52" s="122">
        <v>0</v>
      </c>
      <c r="L52" s="20">
        <f t="shared" si="43"/>
        <v>0</v>
      </c>
      <c r="M52" s="33"/>
      <c r="P52" s="37">
        <f t="shared" si="44"/>
        <v>0</v>
      </c>
      <c r="R52" s="37">
        <f t="shared" si="45"/>
        <v>0</v>
      </c>
      <c r="S52" s="37">
        <f t="shared" si="46"/>
        <v>0</v>
      </c>
      <c r="T52" s="37">
        <f t="shared" si="47"/>
        <v>0</v>
      </c>
      <c r="U52" s="37">
        <f t="shared" si="48"/>
        <v>0</v>
      </c>
      <c r="V52" s="37">
        <f t="shared" si="49"/>
        <v>0</v>
      </c>
      <c r="W52" s="37">
        <f t="shared" si="50"/>
        <v>0</v>
      </c>
      <c r="X52" s="37">
        <f t="shared" si="51"/>
        <v>0</v>
      </c>
      <c r="Y52" s="28" t="s">
        <v>72</v>
      </c>
      <c r="Z52" s="20">
        <f t="shared" si="52"/>
        <v>0</v>
      </c>
      <c r="AA52" s="20">
        <f t="shared" si="53"/>
        <v>0</v>
      </c>
      <c r="AB52" s="20">
        <f t="shared" si="54"/>
        <v>0</v>
      </c>
      <c r="AD52" s="37">
        <v>15</v>
      </c>
      <c r="AE52" s="37">
        <f t="shared" si="55"/>
        <v>0</v>
      </c>
      <c r="AF52" s="37">
        <f t="shared" si="56"/>
        <v>0</v>
      </c>
      <c r="AG52" s="33" t="s">
        <v>262</v>
      </c>
      <c r="AM52" s="37">
        <f t="shared" si="57"/>
        <v>0</v>
      </c>
      <c r="AN52" s="37">
        <f t="shared" si="58"/>
        <v>0</v>
      </c>
      <c r="AO52" s="38" t="s">
        <v>265</v>
      </c>
      <c r="AP52" s="38" t="s">
        <v>286</v>
      </c>
      <c r="AQ52" s="28" t="s">
        <v>268</v>
      </c>
      <c r="AS52" s="37">
        <f t="shared" si="59"/>
        <v>0</v>
      </c>
      <c r="AT52" s="37">
        <f t="shared" si="60"/>
        <v>0</v>
      </c>
      <c r="AU52" s="37">
        <v>0</v>
      </c>
      <c r="AV52" s="37">
        <f t="shared" si="61"/>
        <v>0</v>
      </c>
    </row>
    <row r="53" spans="1:48" ht="12.75">
      <c r="A53" s="7" t="s">
        <v>35</v>
      </c>
      <c r="B53" s="7" t="s">
        <v>72</v>
      </c>
      <c r="C53" s="7" t="s">
        <v>108</v>
      </c>
      <c r="D53" s="7" t="s">
        <v>184</v>
      </c>
      <c r="E53" s="7" t="s">
        <v>229</v>
      </c>
      <c r="F53" s="20">
        <v>1</v>
      </c>
      <c r="G53" s="122">
        <v>0</v>
      </c>
      <c r="H53" s="20">
        <f t="shared" si="40"/>
        <v>0</v>
      </c>
      <c r="I53" s="20">
        <f t="shared" si="41"/>
        <v>0</v>
      </c>
      <c r="J53" s="20">
        <f t="shared" si="42"/>
        <v>0</v>
      </c>
      <c r="K53" s="122">
        <v>0</v>
      </c>
      <c r="L53" s="20">
        <f t="shared" si="43"/>
        <v>0</v>
      </c>
      <c r="M53" s="33"/>
      <c r="P53" s="37">
        <f t="shared" si="44"/>
        <v>0</v>
      </c>
      <c r="R53" s="37">
        <f t="shared" si="45"/>
        <v>0</v>
      </c>
      <c r="S53" s="37">
        <f t="shared" si="46"/>
        <v>0</v>
      </c>
      <c r="T53" s="37">
        <f t="shared" si="47"/>
        <v>0</v>
      </c>
      <c r="U53" s="37">
        <f t="shared" si="48"/>
        <v>0</v>
      </c>
      <c r="V53" s="37">
        <f t="shared" si="49"/>
        <v>0</v>
      </c>
      <c r="W53" s="37">
        <f t="shared" si="50"/>
        <v>0</v>
      </c>
      <c r="X53" s="37">
        <f t="shared" si="51"/>
        <v>0</v>
      </c>
      <c r="Y53" s="28" t="s">
        <v>72</v>
      </c>
      <c r="Z53" s="20">
        <f t="shared" si="52"/>
        <v>0</v>
      </c>
      <c r="AA53" s="20">
        <f t="shared" si="53"/>
        <v>0</v>
      </c>
      <c r="AB53" s="20">
        <f t="shared" si="54"/>
        <v>0</v>
      </c>
      <c r="AD53" s="37">
        <v>15</v>
      </c>
      <c r="AE53" s="37">
        <f t="shared" si="55"/>
        <v>0</v>
      </c>
      <c r="AF53" s="37">
        <f t="shared" si="56"/>
        <v>0</v>
      </c>
      <c r="AG53" s="33" t="s">
        <v>262</v>
      </c>
      <c r="AM53" s="37">
        <f t="shared" si="57"/>
        <v>0</v>
      </c>
      <c r="AN53" s="37">
        <f t="shared" si="58"/>
        <v>0</v>
      </c>
      <c r="AO53" s="38" t="s">
        <v>265</v>
      </c>
      <c r="AP53" s="38" t="s">
        <v>286</v>
      </c>
      <c r="AQ53" s="28" t="s">
        <v>268</v>
      </c>
      <c r="AS53" s="37">
        <f t="shared" si="59"/>
        <v>0</v>
      </c>
      <c r="AT53" s="37">
        <f t="shared" si="60"/>
        <v>0</v>
      </c>
      <c r="AU53" s="37">
        <v>0</v>
      </c>
      <c r="AV53" s="37">
        <f t="shared" si="61"/>
        <v>0</v>
      </c>
    </row>
    <row r="54" spans="1:48" ht="12.75">
      <c r="A54" s="7" t="s">
        <v>36</v>
      </c>
      <c r="B54" s="7" t="s">
        <v>72</v>
      </c>
      <c r="C54" s="7" t="s">
        <v>109</v>
      </c>
      <c r="D54" s="7" t="s">
        <v>185</v>
      </c>
      <c r="E54" s="7" t="s">
        <v>229</v>
      </c>
      <c r="F54" s="20">
        <v>7</v>
      </c>
      <c r="G54" s="122">
        <v>0</v>
      </c>
      <c r="H54" s="20">
        <f t="shared" si="40"/>
        <v>0</v>
      </c>
      <c r="I54" s="20">
        <f t="shared" si="41"/>
        <v>0</v>
      </c>
      <c r="J54" s="20">
        <f t="shared" si="42"/>
        <v>0</v>
      </c>
      <c r="K54" s="122">
        <v>0</v>
      </c>
      <c r="L54" s="20">
        <f t="shared" si="43"/>
        <v>0</v>
      </c>
      <c r="M54" s="33"/>
      <c r="P54" s="37">
        <f t="shared" si="44"/>
        <v>0</v>
      </c>
      <c r="R54" s="37">
        <f t="shared" si="45"/>
        <v>0</v>
      </c>
      <c r="S54" s="37">
        <f t="shared" si="46"/>
        <v>0</v>
      </c>
      <c r="T54" s="37">
        <f t="shared" si="47"/>
        <v>0</v>
      </c>
      <c r="U54" s="37">
        <f t="shared" si="48"/>
        <v>0</v>
      </c>
      <c r="V54" s="37">
        <f t="shared" si="49"/>
        <v>0</v>
      </c>
      <c r="W54" s="37">
        <f t="shared" si="50"/>
        <v>0</v>
      </c>
      <c r="X54" s="37">
        <f t="shared" si="51"/>
        <v>0</v>
      </c>
      <c r="Y54" s="28" t="s">
        <v>72</v>
      </c>
      <c r="Z54" s="20">
        <f t="shared" si="52"/>
        <v>0</v>
      </c>
      <c r="AA54" s="20">
        <f t="shared" si="53"/>
        <v>0</v>
      </c>
      <c r="AB54" s="20">
        <f t="shared" si="54"/>
        <v>0</v>
      </c>
      <c r="AD54" s="37">
        <v>15</v>
      </c>
      <c r="AE54" s="37">
        <f t="shared" si="55"/>
        <v>0</v>
      </c>
      <c r="AF54" s="37">
        <f t="shared" si="56"/>
        <v>0</v>
      </c>
      <c r="AG54" s="33" t="s">
        <v>262</v>
      </c>
      <c r="AM54" s="37">
        <f t="shared" si="57"/>
        <v>0</v>
      </c>
      <c r="AN54" s="37">
        <f t="shared" si="58"/>
        <v>0</v>
      </c>
      <c r="AO54" s="38" t="s">
        <v>265</v>
      </c>
      <c r="AP54" s="38" t="s">
        <v>286</v>
      </c>
      <c r="AQ54" s="28" t="s">
        <v>268</v>
      </c>
      <c r="AS54" s="37">
        <f t="shared" si="59"/>
        <v>0</v>
      </c>
      <c r="AT54" s="37">
        <f t="shared" si="60"/>
        <v>0</v>
      </c>
      <c r="AU54" s="37">
        <v>0</v>
      </c>
      <c r="AV54" s="37">
        <f t="shared" si="61"/>
        <v>0</v>
      </c>
    </row>
    <row r="55" spans="1:48" ht="12.75">
      <c r="A55" s="7" t="s">
        <v>37</v>
      </c>
      <c r="B55" s="7" t="s">
        <v>72</v>
      </c>
      <c r="C55" s="7" t="s">
        <v>110</v>
      </c>
      <c r="D55" s="7" t="s">
        <v>186</v>
      </c>
      <c r="E55" s="7" t="s">
        <v>229</v>
      </c>
      <c r="F55" s="20">
        <v>2</v>
      </c>
      <c r="G55" s="122">
        <v>0</v>
      </c>
      <c r="H55" s="20">
        <f t="shared" si="40"/>
        <v>0</v>
      </c>
      <c r="I55" s="20">
        <f t="shared" si="41"/>
        <v>0</v>
      </c>
      <c r="J55" s="20">
        <f t="shared" si="42"/>
        <v>0</v>
      </c>
      <c r="K55" s="122">
        <v>0</v>
      </c>
      <c r="L55" s="20">
        <f t="shared" si="43"/>
        <v>0</v>
      </c>
      <c r="M55" s="33"/>
      <c r="P55" s="37">
        <f t="shared" si="44"/>
        <v>0</v>
      </c>
      <c r="R55" s="37">
        <f t="shared" si="45"/>
        <v>0</v>
      </c>
      <c r="S55" s="37">
        <f t="shared" si="46"/>
        <v>0</v>
      </c>
      <c r="T55" s="37">
        <f t="shared" si="47"/>
        <v>0</v>
      </c>
      <c r="U55" s="37">
        <f t="shared" si="48"/>
        <v>0</v>
      </c>
      <c r="V55" s="37">
        <f t="shared" si="49"/>
        <v>0</v>
      </c>
      <c r="W55" s="37">
        <f t="shared" si="50"/>
        <v>0</v>
      </c>
      <c r="X55" s="37">
        <f t="shared" si="51"/>
        <v>0</v>
      </c>
      <c r="Y55" s="28" t="s">
        <v>72</v>
      </c>
      <c r="Z55" s="20">
        <f t="shared" si="52"/>
        <v>0</v>
      </c>
      <c r="AA55" s="20">
        <f t="shared" si="53"/>
        <v>0</v>
      </c>
      <c r="AB55" s="20">
        <f t="shared" si="54"/>
        <v>0</v>
      </c>
      <c r="AD55" s="37">
        <v>15</v>
      </c>
      <c r="AE55" s="37">
        <f t="shared" si="55"/>
        <v>0</v>
      </c>
      <c r="AF55" s="37">
        <f t="shared" si="56"/>
        <v>0</v>
      </c>
      <c r="AG55" s="33" t="s">
        <v>262</v>
      </c>
      <c r="AM55" s="37">
        <f t="shared" si="57"/>
        <v>0</v>
      </c>
      <c r="AN55" s="37">
        <f t="shared" si="58"/>
        <v>0</v>
      </c>
      <c r="AO55" s="38" t="s">
        <v>265</v>
      </c>
      <c r="AP55" s="38" t="s">
        <v>286</v>
      </c>
      <c r="AQ55" s="28" t="s">
        <v>268</v>
      </c>
      <c r="AS55" s="37">
        <f t="shared" si="59"/>
        <v>0</v>
      </c>
      <c r="AT55" s="37">
        <f t="shared" si="60"/>
        <v>0</v>
      </c>
      <c r="AU55" s="37">
        <v>0</v>
      </c>
      <c r="AV55" s="37">
        <f t="shared" si="61"/>
        <v>0</v>
      </c>
    </row>
    <row r="56" spans="1:48" ht="12.75">
      <c r="A56" s="7" t="s">
        <v>38</v>
      </c>
      <c r="B56" s="7" t="s">
        <v>72</v>
      </c>
      <c r="C56" s="7" t="s">
        <v>111</v>
      </c>
      <c r="D56" s="7" t="s">
        <v>187</v>
      </c>
      <c r="E56" s="7" t="s">
        <v>229</v>
      </c>
      <c r="F56" s="20">
        <v>2</v>
      </c>
      <c r="G56" s="122">
        <v>0</v>
      </c>
      <c r="H56" s="20">
        <f t="shared" si="40"/>
        <v>0</v>
      </c>
      <c r="I56" s="20">
        <f t="shared" si="41"/>
        <v>0</v>
      </c>
      <c r="J56" s="20">
        <f t="shared" si="42"/>
        <v>0</v>
      </c>
      <c r="K56" s="122">
        <v>0</v>
      </c>
      <c r="L56" s="20">
        <f t="shared" si="43"/>
        <v>0</v>
      </c>
      <c r="M56" s="33"/>
      <c r="P56" s="37">
        <f t="shared" si="44"/>
        <v>0</v>
      </c>
      <c r="R56" s="37">
        <f t="shared" si="45"/>
        <v>0</v>
      </c>
      <c r="S56" s="37">
        <f t="shared" si="46"/>
        <v>0</v>
      </c>
      <c r="T56" s="37">
        <f t="shared" si="47"/>
        <v>0</v>
      </c>
      <c r="U56" s="37">
        <f t="shared" si="48"/>
        <v>0</v>
      </c>
      <c r="V56" s="37">
        <f t="shared" si="49"/>
        <v>0</v>
      </c>
      <c r="W56" s="37">
        <f t="shared" si="50"/>
        <v>0</v>
      </c>
      <c r="X56" s="37">
        <f t="shared" si="51"/>
        <v>0</v>
      </c>
      <c r="Y56" s="28" t="s">
        <v>72</v>
      </c>
      <c r="Z56" s="20">
        <f t="shared" si="52"/>
        <v>0</v>
      </c>
      <c r="AA56" s="20">
        <f t="shared" si="53"/>
        <v>0</v>
      </c>
      <c r="AB56" s="20">
        <f t="shared" si="54"/>
        <v>0</v>
      </c>
      <c r="AD56" s="37">
        <v>15</v>
      </c>
      <c r="AE56" s="37">
        <f t="shared" si="55"/>
        <v>0</v>
      </c>
      <c r="AF56" s="37">
        <f t="shared" si="56"/>
        <v>0</v>
      </c>
      <c r="AG56" s="33" t="s">
        <v>262</v>
      </c>
      <c r="AM56" s="37">
        <f t="shared" si="57"/>
        <v>0</v>
      </c>
      <c r="AN56" s="37">
        <f t="shared" si="58"/>
        <v>0</v>
      </c>
      <c r="AO56" s="38" t="s">
        <v>265</v>
      </c>
      <c r="AP56" s="38" t="s">
        <v>286</v>
      </c>
      <c r="AQ56" s="28" t="s">
        <v>268</v>
      </c>
      <c r="AS56" s="37">
        <f t="shared" si="59"/>
        <v>0</v>
      </c>
      <c r="AT56" s="37">
        <f t="shared" si="60"/>
        <v>0</v>
      </c>
      <c r="AU56" s="37">
        <v>0</v>
      </c>
      <c r="AV56" s="37">
        <f t="shared" si="61"/>
        <v>0</v>
      </c>
    </row>
    <row r="57" spans="1:48" ht="12.75">
      <c r="A57" s="7" t="s">
        <v>39</v>
      </c>
      <c r="B57" s="7" t="s">
        <v>72</v>
      </c>
      <c r="C57" s="7" t="s">
        <v>112</v>
      </c>
      <c r="D57" s="7" t="s">
        <v>188</v>
      </c>
      <c r="E57" s="7" t="s">
        <v>229</v>
      </c>
      <c r="F57" s="20">
        <v>2</v>
      </c>
      <c r="G57" s="122">
        <v>0</v>
      </c>
      <c r="H57" s="20">
        <f t="shared" si="40"/>
        <v>0</v>
      </c>
      <c r="I57" s="20">
        <f t="shared" si="41"/>
        <v>0</v>
      </c>
      <c r="J57" s="20">
        <f t="shared" si="42"/>
        <v>0</v>
      </c>
      <c r="K57" s="122">
        <v>0</v>
      </c>
      <c r="L57" s="20">
        <f t="shared" si="43"/>
        <v>0</v>
      </c>
      <c r="M57" s="33"/>
      <c r="P57" s="37">
        <f t="shared" si="44"/>
        <v>0</v>
      </c>
      <c r="R57" s="37">
        <f t="shared" si="45"/>
        <v>0</v>
      </c>
      <c r="S57" s="37">
        <f t="shared" si="46"/>
        <v>0</v>
      </c>
      <c r="T57" s="37">
        <f t="shared" si="47"/>
        <v>0</v>
      </c>
      <c r="U57" s="37">
        <f t="shared" si="48"/>
        <v>0</v>
      </c>
      <c r="V57" s="37">
        <f t="shared" si="49"/>
        <v>0</v>
      </c>
      <c r="W57" s="37">
        <f t="shared" si="50"/>
        <v>0</v>
      </c>
      <c r="X57" s="37">
        <f t="shared" si="51"/>
        <v>0</v>
      </c>
      <c r="Y57" s="28" t="s">
        <v>72</v>
      </c>
      <c r="Z57" s="20">
        <f t="shared" si="52"/>
        <v>0</v>
      </c>
      <c r="AA57" s="20">
        <f t="shared" si="53"/>
        <v>0</v>
      </c>
      <c r="AB57" s="20">
        <f t="shared" si="54"/>
        <v>0</v>
      </c>
      <c r="AD57" s="37">
        <v>15</v>
      </c>
      <c r="AE57" s="37">
        <f t="shared" si="55"/>
        <v>0</v>
      </c>
      <c r="AF57" s="37">
        <f t="shared" si="56"/>
        <v>0</v>
      </c>
      <c r="AG57" s="33" t="s">
        <v>262</v>
      </c>
      <c r="AM57" s="37">
        <f t="shared" si="57"/>
        <v>0</v>
      </c>
      <c r="AN57" s="37">
        <f t="shared" si="58"/>
        <v>0</v>
      </c>
      <c r="AO57" s="38" t="s">
        <v>265</v>
      </c>
      <c r="AP57" s="38" t="s">
        <v>286</v>
      </c>
      <c r="AQ57" s="28" t="s">
        <v>268</v>
      </c>
      <c r="AS57" s="37">
        <f t="shared" si="59"/>
        <v>0</v>
      </c>
      <c r="AT57" s="37">
        <f t="shared" si="60"/>
        <v>0</v>
      </c>
      <c r="AU57" s="37">
        <v>0</v>
      </c>
      <c r="AV57" s="37">
        <f t="shared" si="61"/>
        <v>0</v>
      </c>
    </row>
    <row r="58" spans="1:13" ht="12.75">
      <c r="A58" s="6"/>
      <c r="B58" s="15" t="s">
        <v>73</v>
      </c>
      <c r="C58" s="15"/>
      <c r="D58" s="15" t="s">
        <v>189</v>
      </c>
      <c r="E58" s="6" t="s">
        <v>6</v>
      </c>
      <c r="F58" s="6" t="s">
        <v>6</v>
      </c>
      <c r="G58" s="121" t="s">
        <v>6</v>
      </c>
      <c r="H58" s="41">
        <f>H59+H63</f>
        <v>0</v>
      </c>
      <c r="I58" s="41">
        <f>I59+I63</f>
        <v>0</v>
      </c>
      <c r="J58" s="41">
        <f>H58+I58</f>
        <v>0</v>
      </c>
      <c r="K58" s="126"/>
      <c r="L58" s="41">
        <f>L59+L63</f>
        <v>0.24065999999999999</v>
      </c>
      <c r="M58" s="29"/>
    </row>
    <row r="59" spans="1:37" ht="12.75">
      <c r="A59" s="4"/>
      <c r="B59" s="14" t="s">
        <v>73</v>
      </c>
      <c r="C59" s="14" t="s">
        <v>73</v>
      </c>
      <c r="D59" s="14" t="s">
        <v>189</v>
      </c>
      <c r="E59" s="4" t="s">
        <v>6</v>
      </c>
      <c r="F59" s="4" t="s">
        <v>6</v>
      </c>
      <c r="G59" s="119" t="s">
        <v>6</v>
      </c>
      <c r="H59" s="40">
        <f>SUM(H60:H62)</f>
        <v>0</v>
      </c>
      <c r="I59" s="40">
        <f>SUM(I60:I62)</f>
        <v>0</v>
      </c>
      <c r="J59" s="40">
        <f>H59+I59</f>
        <v>0</v>
      </c>
      <c r="K59" s="125"/>
      <c r="L59" s="40">
        <f>SUM(L60:L62)</f>
        <v>0</v>
      </c>
      <c r="M59" s="28"/>
      <c r="Y59" s="28" t="s">
        <v>73</v>
      </c>
      <c r="AI59" s="40">
        <f>SUM(Z60:Z62)</f>
        <v>0</v>
      </c>
      <c r="AJ59" s="40">
        <f>SUM(AA60:AA62)</f>
        <v>0</v>
      </c>
      <c r="AK59" s="40">
        <f>SUM(AB60:AB62)</f>
        <v>0</v>
      </c>
    </row>
    <row r="60" spans="1:48" ht="12.75">
      <c r="A60" s="5" t="s">
        <v>40</v>
      </c>
      <c r="B60" s="5" t="s">
        <v>73</v>
      </c>
      <c r="C60" s="5" t="s">
        <v>113</v>
      </c>
      <c r="D60" s="5" t="s">
        <v>190</v>
      </c>
      <c r="E60" s="5" t="s">
        <v>230</v>
      </c>
      <c r="F60" s="19">
        <v>6</v>
      </c>
      <c r="G60" s="120">
        <v>0</v>
      </c>
      <c r="H60" s="19">
        <f>F60*AE60</f>
        <v>0</v>
      </c>
      <c r="I60" s="19">
        <f>J60-H60</f>
        <v>0</v>
      </c>
      <c r="J60" s="19">
        <f>F60*G60</f>
        <v>0</v>
      </c>
      <c r="K60" s="120">
        <v>0</v>
      </c>
      <c r="L60" s="19">
        <f>F60*K60</f>
        <v>0</v>
      </c>
      <c r="M60" s="32"/>
      <c r="P60" s="37">
        <f>IF(AG60="5",J60,0)</f>
        <v>0</v>
      </c>
      <c r="R60" s="37">
        <f>IF(AG60="1",H60,0)</f>
        <v>0</v>
      </c>
      <c r="S60" s="37">
        <f>IF(AG60="1",I60,0)</f>
        <v>0</v>
      </c>
      <c r="T60" s="37">
        <f>IF(AG60="7",H60,0)</f>
        <v>0</v>
      </c>
      <c r="U60" s="37">
        <f>IF(AG60="7",I60,0)</f>
        <v>0</v>
      </c>
      <c r="V60" s="37">
        <f>IF(AG60="2",H60,0)</f>
        <v>0</v>
      </c>
      <c r="W60" s="37">
        <f>IF(AG60="2",I60,0)</f>
        <v>0</v>
      </c>
      <c r="X60" s="37">
        <f>IF(AG60="0",J60,0)</f>
        <v>0</v>
      </c>
      <c r="Y60" s="28" t="s">
        <v>73</v>
      </c>
      <c r="Z60" s="19">
        <f>IF(AD60=0,J60,0)</f>
        <v>0</v>
      </c>
      <c r="AA60" s="19">
        <f>IF(AD60=15,J60,0)</f>
        <v>0</v>
      </c>
      <c r="AB60" s="19">
        <f>IF(AD60=21,J60,0)</f>
        <v>0</v>
      </c>
      <c r="AD60" s="37">
        <v>15</v>
      </c>
      <c r="AE60" s="37">
        <f>G60*0.00924302788844621</f>
        <v>0</v>
      </c>
      <c r="AF60" s="37">
        <f>G60*(1-0.00924302788844621)</f>
        <v>0</v>
      </c>
      <c r="AG60" s="32" t="s">
        <v>13</v>
      </c>
      <c r="AM60" s="37">
        <f>F60*AE60</f>
        <v>0</v>
      </c>
      <c r="AN60" s="37">
        <f>F60*AF60</f>
        <v>0</v>
      </c>
      <c r="AO60" s="38" t="s">
        <v>269</v>
      </c>
      <c r="AP60" s="38" t="s">
        <v>287</v>
      </c>
      <c r="AQ60" s="28" t="s">
        <v>269</v>
      </c>
      <c r="AS60" s="37">
        <f>AM60+AN60</f>
        <v>0</v>
      </c>
      <c r="AT60" s="37">
        <f>G60/(100-AU60)*100</f>
        <v>0</v>
      </c>
      <c r="AU60" s="37">
        <v>0</v>
      </c>
      <c r="AV60" s="37">
        <f>L60</f>
        <v>0</v>
      </c>
    </row>
    <row r="61" spans="1:48" ht="12.75">
      <c r="A61" s="5" t="s">
        <v>41</v>
      </c>
      <c r="B61" s="5" t="s">
        <v>73</v>
      </c>
      <c r="C61" s="5" t="s">
        <v>114</v>
      </c>
      <c r="D61" s="5" t="s">
        <v>191</v>
      </c>
      <c r="E61" s="5" t="s">
        <v>230</v>
      </c>
      <c r="F61" s="19">
        <v>5</v>
      </c>
      <c r="G61" s="120">
        <v>0</v>
      </c>
      <c r="H61" s="19">
        <f>F61*AE61</f>
        <v>0</v>
      </c>
      <c r="I61" s="19">
        <f>J61-H61</f>
        <v>0</v>
      </c>
      <c r="J61" s="19">
        <f>F61*G61</f>
        <v>0</v>
      </c>
      <c r="K61" s="120">
        <v>0</v>
      </c>
      <c r="L61" s="19">
        <f>F61*K61</f>
        <v>0</v>
      </c>
      <c r="M61" s="32"/>
      <c r="P61" s="37">
        <f>IF(AG61="5",J61,0)</f>
        <v>0</v>
      </c>
      <c r="R61" s="37">
        <f>IF(AG61="1",H61,0)</f>
        <v>0</v>
      </c>
      <c r="S61" s="37">
        <f>IF(AG61="1",I61,0)</f>
        <v>0</v>
      </c>
      <c r="T61" s="37">
        <f>IF(AG61="7",H61,0)</f>
        <v>0</v>
      </c>
      <c r="U61" s="37">
        <f>IF(AG61="7",I61,0)</f>
        <v>0</v>
      </c>
      <c r="V61" s="37">
        <f>IF(AG61="2",H61,0)</f>
        <v>0</v>
      </c>
      <c r="W61" s="37">
        <f>IF(AG61="2",I61,0)</f>
        <v>0</v>
      </c>
      <c r="X61" s="37">
        <f>IF(AG61="0",J61,0)</f>
        <v>0</v>
      </c>
      <c r="Y61" s="28" t="s">
        <v>73</v>
      </c>
      <c r="Z61" s="19">
        <f>IF(AD61=0,J61,0)</f>
        <v>0</v>
      </c>
      <c r="AA61" s="19">
        <f>IF(AD61=15,J61,0)</f>
        <v>0</v>
      </c>
      <c r="AB61" s="19">
        <f>IF(AD61=21,J61,0)</f>
        <v>0</v>
      </c>
      <c r="AD61" s="37">
        <v>15</v>
      </c>
      <c r="AE61" s="37">
        <f>G61*0.0100428552876499</f>
        <v>0</v>
      </c>
      <c r="AF61" s="37">
        <f>G61*(1-0.0100428552876499)</f>
        <v>0</v>
      </c>
      <c r="AG61" s="32" t="s">
        <v>13</v>
      </c>
      <c r="AM61" s="37">
        <f>F61*AE61</f>
        <v>0</v>
      </c>
      <c r="AN61" s="37">
        <f>F61*AF61</f>
        <v>0</v>
      </c>
      <c r="AO61" s="38" t="s">
        <v>269</v>
      </c>
      <c r="AP61" s="38" t="s">
        <v>287</v>
      </c>
      <c r="AQ61" s="28" t="s">
        <v>269</v>
      </c>
      <c r="AS61" s="37">
        <f>AM61+AN61</f>
        <v>0</v>
      </c>
      <c r="AT61" s="37">
        <f>G61/(100-AU61)*100</f>
        <v>0</v>
      </c>
      <c r="AU61" s="37">
        <v>0</v>
      </c>
      <c r="AV61" s="37">
        <f>L61</f>
        <v>0</v>
      </c>
    </row>
    <row r="62" spans="1:48" ht="12.75">
      <c r="A62" s="5" t="s">
        <v>42</v>
      </c>
      <c r="B62" s="5" t="s">
        <v>73</v>
      </c>
      <c r="C62" s="5" t="s">
        <v>115</v>
      </c>
      <c r="D62" s="5" t="s">
        <v>192</v>
      </c>
      <c r="E62" s="5" t="s">
        <v>230</v>
      </c>
      <c r="F62" s="19">
        <v>11</v>
      </c>
      <c r="G62" s="120">
        <v>0</v>
      </c>
      <c r="H62" s="19">
        <f>F62*AE62</f>
        <v>0</v>
      </c>
      <c r="I62" s="19">
        <f>J62-H62</f>
        <v>0</v>
      </c>
      <c r="J62" s="19">
        <f>F62*G62</f>
        <v>0</v>
      </c>
      <c r="K62" s="120">
        <v>0</v>
      </c>
      <c r="L62" s="19">
        <f>F62*K62</f>
        <v>0</v>
      </c>
      <c r="M62" s="32"/>
      <c r="P62" s="37">
        <f>IF(AG62="5",J62,0)</f>
        <v>0</v>
      </c>
      <c r="R62" s="37">
        <f>IF(AG62="1",H62,0)</f>
        <v>0</v>
      </c>
      <c r="S62" s="37">
        <f>IF(AG62="1",I62,0)</f>
        <v>0</v>
      </c>
      <c r="T62" s="37">
        <f>IF(AG62="7",H62,0)</f>
        <v>0</v>
      </c>
      <c r="U62" s="37">
        <f>IF(AG62="7",I62,0)</f>
        <v>0</v>
      </c>
      <c r="V62" s="37">
        <f>IF(AG62="2",H62,0)</f>
        <v>0</v>
      </c>
      <c r="W62" s="37">
        <f>IF(AG62="2",I62,0)</f>
        <v>0</v>
      </c>
      <c r="X62" s="37">
        <f>IF(AG62="0",J62,0)</f>
        <v>0</v>
      </c>
      <c r="Y62" s="28" t="s">
        <v>73</v>
      </c>
      <c r="Z62" s="19">
        <f>IF(AD62=0,J62,0)</f>
        <v>0</v>
      </c>
      <c r="AA62" s="19">
        <f>IF(AD62=15,J62,0)</f>
        <v>0</v>
      </c>
      <c r="AB62" s="19">
        <f>IF(AD62=21,J62,0)</f>
        <v>0</v>
      </c>
      <c r="AD62" s="37">
        <v>15</v>
      </c>
      <c r="AE62" s="37">
        <f>G62*0.232627551020408</f>
        <v>0</v>
      </c>
      <c r="AF62" s="37">
        <f>G62*(1-0.232627551020408)</f>
        <v>0</v>
      </c>
      <c r="AG62" s="32" t="s">
        <v>13</v>
      </c>
      <c r="AM62" s="37">
        <f>F62*AE62</f>
        <v>0</v>
      </c>
      <c r="AN62" s="37">
        <f>F62*AF62</f>
        <v>0</v>
      </c>
      <c r="AO62" s="38" t="s">
        <v>269</v>
      </c>
      <c r="AP62" s="38" t="s">
        <v>287</v>
      </c>
      <c r="AQ62" s="28" t="s">
        <v>269</v>
      </c>
      <c r="AS62" s="37">
        <f>AM62+AN62</f>
        <v>0</v>
      </c>
      <c r="AT62" s="37">
        <f>G62/(100-AU62)*100</f>
        <v>0</v>
      </c>
      <c r="AU62" s="37">
        <v>0</v>
      </c>
      <c r="AV62" s="37">
        <f>L62</f>
        <v>0</v>
      </c>
    </row>
    <row r="63" spans="1:37" ht="12.75">
      <c r="A63" s="4"/>
      <c r="B63" s="14" t="s">
        <v>73</v>
      </c>
      <c r="C63" s="14"/>
      <c r="D63" s="14" t="s">
        <v>154</v>
      </c>
      <c r="E63" s="4" t="s">
        <v>6</v>
      </c>
      <c r="F63" s="4" t="s">
        <v>6</v>
      </c>
      <c r="G63" s="119" t="s">
        <v>6</v>
      </c>
      <c r="H63" s="40">
        <f>SUM(H64:H68)</f>
        <v>0</v>
      </c>
      <c r="I63" s="40">
        <f>SUM(I64:I68)</f>
        <v>0</v>
      </c>
      <c r="J63" s="40">
        <f>H63+I63</f>
        <v>0</v>
      </c>
      <c r="K63" s="125"/>
      <c r="L63" s="40">
        <f>SUM(L64:L68)</f>
        <v>0.24065999999999999</v>
      </c>
      <c r="M63" s="28"/>
      <c r="Y63" s="28" t="s">
        <v>73</v>
      </c>
      <c r="AI63" s="40">
        <f>SUM(Z64:Z68)</f>
        <v>0</v>
      </c>
      <c r="AJ63" s="40">
        <f>SUM(AA64:AA68)</f>
        <v>0</v>
      </c>
      <c r="AK63" s="40">
        <f>SUM(AB64:AB68)</f>
        <v>0</v>
      </c>
    </row>
    <row r="64" spans="1:48" ht="12.75">
      <c r="A64" s="7" t="s">
        <v>43</v>
      </c>
      <c r="B64" s="7" t="s">
        <v>73</v>
      </c>
      <c r="C64" s="7" t="s">
        <v>116</v>
      </c>
      <c r="D64" s="7" t="s">
        <v>193</v>
      </c>
      <c r="E64" s="7" t="s">
        <v>230</v>
      </c>
      <c r="F64" s="20">
        <v>1</v>
      </c>
      <c r="G64" s="122">
        <v>0</v>
      </c>
      <c r="H64" s="20">
        <f>F64*AE64</f>
        <v>0</v>
      </c>
      <c r="I64" s="20">
        <f>J64-H64</f>
        <v>0</v>
      </c>
      <c r="J64" s="20">
        <f>F64*G64</f>
        <v>0</v>
      </c>
      <c r="K64" s="122">
        <v>0.00497</v>
      </c>
      <c r="L64" s="20">
        <f>F64*K64</f>
        <v>0.00497</v>
      </c>
      <c r="M64" s="33"/>
      <c r="P64" s="37">
        <f>IF(AG64="5",J64,0)</f>
        <v>0</v>
      </c>
      <c r="R64" s="37">
        <f>IF(AG64="1",H64,0)</f>
        <v>0</v>
      </c>
      <c r="S64" s="37">
        <f>IF(AG64="1",I64,0)</f>
        <v>0</v>
      </c>
      <c r="T64" s="37">
        <f>IF(AG64="7",H64,0)</f>
        <v>0</v>
      </c>
      <c r="U64" s="37">
        <f>IF(AG64="7",I64,0)</f>
        <v>0</v>
      </c>
      <c r="V64" s="37">
        <f>IF(AG64="2",H64,0)</f>
        <v>0</v>
      </c>
      <c r="W64" s="37">
        <f>IF(AG64="2",I64,0)</f>
        <v>0</v>
      </c>
      <c r="X64" s="37">
        <f>IF(AG64="0",J64,0)</f>
        <v>0</v>
      </c>
      <c r="Y64" s="28" t="s">
        <v>73</v>
      </c>
      <c r="Z64" s="20">
        <f>IF(AD64=0,J64,0)</f>
        <v>0</v>
      </c>
      <c r="AA64" s="20">
        <f>IF(AD64=15,J64,0)</f>
        <v>0</v>
      </c>
      <c r="AB64" s="20">
        <f>IF(AD64=21,J64,0)</f>
        <v>0</v>
      </c>
      <c r="AD64" s="37">
        <v>15</v>
      </c>
      <c r="AE64" s="37">
        <f>G64*1</f>
        <v>0</v>
      </c>
      <c r="AF64" s="37">
        <f>G64*(1-1)</f>
        <v>0</v>
      </c>
      <c r="AG64" s="33" t="s">
        <v>262</v>
      </c>
      <c r="AM64" s="37">
        <f>F64*AE64</f>
        <v>0</v>
      </c>
      <c r="AN64" s="37">
        <f>F64*AF64</f>
        <v>0</v>
      </c>
      <c r="AO64" s="38" t="s">
        <v>265</v>
      </c>
      <c r="AP64" s="38" t="s">
        <v>288</v>
      </c>
      <c r="AQ64" s="28" t="s">
        <v>269</v>
      </c>
      <c r="AS64" s="37">
        <f>AM64+AN64</f>
        <v>0</v>
      </c>
      <c r="AT64" s="37">
        <f>G64/(100-AU64)*100</f>
        <v>0</v>
      </c>
      <c r="AU64" s="37">
        <v>0</v>
      </c>
      <c r="AV64" s="37">
        <f>L64</f>
        <v>0.00497</v>
      </c>
    </row>
    <row r="65" spans="1:48" ht="12.75">
      <c r="A65" s="7" t="s">
        <v>44</v>
      </c>
      <c r="B65" s="7" t="s">
        <v>73</v>
      </c>
      <c r="C65" s="7" t="s">
        <v>117</v>
      </c>
      <c r="D65" s="7" t="s">
        <v>194</v>
      </c>
      <c r="E65" s="7" t="s">
        <v>230</v>
      </c>
      <c r="F65" s="20">
        <v>1</v>
      </c>
      <c r="G65" s="122">
        <v>0</v>
      </c>
      <c r="H65" s="20">
        <f>F65*AE65</f>
        <v>0</v>
      </c>
      <c r="I65" s="20">
        <f>J65-H65</f>
        <v>0</v>
      </c>
      <c r="J65" s="20">
        <f>F65*G65</f>
        <v>0</v>
      </c>
      <c r="K65" s="122">
        <v>0.01025</v>
      </c>
      <c r="L65" s="20">
        <f>F65*K65</f>
        <v>0.01025</v>
      </c>
      <c r="M65" s="33"/>
      <c r="P65" s="37">
        <f>IF(AG65="5",J65,0)</f>
        <v>0</v>
      </c>
      <c r="R65" s="37">
        <f>IF(AG65="1",H65,0)</f>
        <v>0</v>
      </c>
      <c r="S65" s="37">
        <f>IF(AG65="1",I65,0)</f>
        <v>0</v>
      </c>
      <c r="T65" s="37">
        <f>IF(AG65="7",H65,0)</f>
        <v>0</v>
      </c>
      <c r="U65" s="37">
        <f>IF(AG65="7",I65,0)</f>
        <v>0</v>
      </c>
      <c r="V65" s="37">
        <f>IF(AG65="2",H65,0)</f>
        <v>0</v>
      </c>
      <c r="W65" s="37">
        <f>IF(AG65="2",I65,0)</f>
        <v>0</v>
      </c>
      <c r="X65" s="37">
        <f>IF(AG65="0",J65,0)</f>
        <v>0</v>
      </c>
      <c r="Y65" s="28" t="s">
        <v>73</v>
      </c>
      <c r="Z65" s="20">
        <f>IF(AD65=0,J65,0)</f>
        <v>0</v>
      </c>
      <c r="AA65" s="20">
        <f>IF(AD65=15,J65,0)</f>
        <v>0</v>
      </c>
      <c r="AB65" s="20">
        <f>IF(AD65=21,J65,0)</f>
        <v>0</v>
      </c>
      <c r="AD65" s="37">
        <v>15</v>
      </c>
      <c r="AE65" s="37">
        <f>G65*1</f>
        <v>0</v>
      </c>
      <c r="AF65" s="37">
        <f>G65*(1-1)</f>
        <v>0</v>
      </c>
      <c r="AG65" s="33" t="s">
        <v>262</v>
      </c>
      <c r="AM65" s="37">
        <f>F65*AE65</f>
        <v>0</v>
      </c>
      <c r="AN65" s="37">
        <f>F65*AF65</f>
        <v>0</v>
      </c>
      <c r="AO65" s="38" t="s">
        <v>265</v>
      </c>
      <c r="AP65" s="38" t="s">
        <v>288</v>
      </c>
      <c r="AQ65" s="28" t="s">
        <v>269</v>
      </c>
      <c r="AS65" s="37">
        <f>AM65+AN65</f>
        <v>0</v>
      </c>
      <c r="AT65" s="37">
        <f>G65/(100-AU65)*100</f>
        <v>0</v>
      </c>
      <c r="AU65" s="37">
        <v>0</v>
      </c>
      <c r="AV65" s="37">
        <f>L65</f>
        <v>0.01025</v>
      </c>
    </row>
    <row r="66" spans="1:48" ht="12.75">
      <c r="A66" s="7" t="s">
        <v>45</v>
      </c>
      <c r="B66" s="7" t="s">
        <v>73</v>
      </c>
      <c r="C66" s="7" t="s">
        <v>118</v>
      </c>
      <c r="D66" s="7" t="s">
        <v>195</v>
      </c>
      <c r="E66" s="7" t="s">
        <v>230</v>
      </c>
      <c r="F66" s="20">
        <v>4</v>
      </c>
      <c r="G66" s="122">
        <v>0</v>
      </c>
      <c r="H66" s="20">
        <f>F66*AE66</f>
        <v>0</v>
      </c>
      <c r="I66" s="20">
        <f>J66-H66</f>
        <v>0</v>
      </c>
      <c r="J66" s="20">
        <f>F66*G66</f>
        <v>0</v>
      </c>
      <c r="K66" s="122">
        <v>0.0205</v>
      </c>
      <c r="L66" s="20">
        <f>F66*K66</f>
        <v>0.082</v>
      </c>
      <c r="M66" s="33"/>
      <c r="P66" s="37">
        <f>IF(AG66="5",J66,0)</f>
        <v>0</v>
      </c>
      <c r="R66" s="37">
        <f>IF(AG66="1",H66,0)</f>
        <v>0</v>
      </c>
      <c r="S66" s="37">
        <f>IF(AG66="1",I66,0)</f>
        <v>0</v>
      </c>
      <c r="T66" s="37">
        <f>IF(AG66="7",H66,0)</f>
        <v>0</v>
      </c>
      <c r="U66" s="37">
        <f>IF(AG66="7",I66,0)</f>
        <v>0</v>
      </c>
      <c r="V66" s="37">
        <f>IF(AG66="2",H66,0)</f>
        <v>0</v>
      </c>
      <c r="W66" s="37">
        <f>IF(AG66="2",I66,0)</f>
        <v>0</v>
      </c>
      <c r="X66" s="37">
        <f>IF(AG66="0",J66,0)</f>
        <v>0</v>
      </c>
      <c r="Y66" s="28" t="s">
        <v>73</v>
      </c>
      <c r="Z66" s="20">
        <f>IF(AD66=0,J66,0)</f>
        <v>0</v>
      </c>
      <c r="AA66" s="20">
        <f>IF(AD66=15,J66,0)</f>
        <v>0</v>
      </c>
      <c r="AB66" s="20">
        <f>IF(AD66=21,J66,0)</f>
        <v>0</v>
      </c>
      <c r="AD66" s="37">
        <v>15</v>
      </c>
      <c r="AE66" s="37">
        <f>G66*1</f>
        <v>0</v>
      </c>
      <c r="AF66" s="37">
        <f>G66*(1-1)</f>
        <v>0</v>
      </c>
      <c r="AG66" s="33" t="s">
        <v>262</v>
      </c>
      <c r="AM66" s="37">
        <f>F66*AE66</f>
        <v>0</v>
      </c>
      <c r="AN66" s="37">
        <f>F66*AF66</f>
        <v>0</v>
      </c>
      <c r="AO66" s="38" t="s">
        <v>265</v>
      </c>
      <c r="AP66" s="38" t="s">
        <v>288</v>
      </c>
      <c r="AQ66" s="28" t="s">
        <v>269</v>
      </c>
      <c r="AS66" s="37">
        <f>AM66+AN66</f>
        <v>0</v>
      </c>
      <c r="AT66" s="37">
        <f>G66/(100-AU66)*100</f>
        <v>0</v>
      </c>
      <c r="AU66" s="37">
        <v>0</v>
      </c>
      <c r="AV66" s="37">
        <f>L66</f>
        <v>0.082</v>
      </c>
    </row>
    <row r="67" spans="1:48" ht="12.75">
      <c r="A67" s="7" t="s">
        <v>46</v>
      </c>
      <c r="B67" s="7" t="s">
        <v>73</v>
      </c>
      <c r="C67" s="7" t="s">
        <v>119</v>
      </c>
      <c r="D67" s="7" t="s">
        <v>196</v>
      </c>
      <c r="E67" s="7" t="s">
        <v>230</v>
      </c>
      <c r="F67" s="20">
        <v>3</v>
      </c>
      <c r="G67" s="122">
        <v>0</v>
      </c>
      <c r="H67" s="20">
        <f>F67*AE67</f>
        <v>0</v>
      </c>
      <c r="I67" s="20">
        <f>J67-H67</f>
        <v>0</v>
      </c>
      <c r="J67" s="20">
        <f>F67*G67</f>
        <v>0</v>
      </c>
      <c r="K67" s="122">
        <v>0.02608</v>
      </c>
      <c r="L67" s="20">
        <f>F67*K67</f>
        <v>0.07824</v>
      </c>
      <c r="M67" s="33"/>
      <c r="P67" s="37">
        <f>IF(AG67="5",J67,0)</f>
        <v>0</v>
      </c>
      <c r="R67" s="37">
        <f>IF(AG67="1",H67,0)</f>
        <v>0</v>
      </c>
      <c r="S67" s="37">
        <f>IF(AG67="1",I67,0)</f>
        <v>0</v>
      </c>
      <c r="T67" s="37">
        <f>IF(AG67="7",H67,0)</f>
        <v>0</v>
      </c>
      <c r="U67" s="37">
        <f>IF(AG67="7",I67,0)</f>
        <v>0</v>
      </c>
      <c r="V67" s="37">
        <f>IF(AG67="2",H67,0)</f>
        <v>0</v>
      </c>
      <c r="W67" s="37">
        <f>IF(AG67="2",I67,0)</f>
        <v>0</v>
      </c>
      <c r="X67" s="37">
        <f>IF(AG67="0",J67,0)</f>
        <v>0</v>
      </c>
      <c r="Y67" s="28" t="s">
        <v>73</v>
      </c>
      <c r="Z67" s="20">
        <f>IF(AD67=0,J67,0)</f>
        <v>0</v>
      </c>
      <c r="AA67" s="20">
        <f>IF(AD67=15,J67,0)</f>
        <v>0</v>
      </c>
      <c r="AB67" s="20">
        <f>IF(AD67=21,J67,0)</f>
        <v>0</v>
      </c>
      <c r="AD67" s="37">
        <v>15</v>
      </c>
      <c r="AE67" s="37">
        <f>G67*1</f>
        <v>0</v>
      </c>
      <c r="AF67" s="37">
        <f>G67*(1-1)</f>
        <v>0</v>
      </c>
      <c r="AG67" s="33" t="s">
        <v>262</v>
      </c>
      <c r="AM67" s="37">
        <f>F67*AE67</f>
        <v>0</v>
      </c>
      <c r="AN67" s="37">
        <f>F67*AF67</f>
        <v>0</v>
      </c>
      <c r="AO67" s="38" t="s">
        <v>265</v>
      </c>
      <c r="AP67" s="38" t="s">
        <v>288</v>
      </c>
      <c r="AQ67" s="28" t="s">
        <v>269</v>
      </c>
      <c r="AS67" s="37">
        <f>AM67+AN67</f>
        <v>0</v>
      </c>
      <c r="AT67" s="37">
        <f>G67/(100-AU67)*100</f>
        <v>0</v>
      </c>
      <c r="AU67" s="37">
        <v>0</v>
      </c>
      <c r="AV67" s="37">
        <f>L67</f>
        <v>0.07824</v>
      </c>
    </row>
    <row r="68" spans="1:48" ht="12.75">
      <c r="A68" s="7" t="s">
        <v>47</v>
      </c>
      <c r="B68" s="7" t="s">
        <v>73</v>
      </c>
      <c r="C68" s="7" t="s">
        <v>120</v>
      </c>
      <c r="D68" s="7" t="s">
        <v>197</v>
      </c>
      <c r="E68" s="7" t="s">
        <v>230</v>
      </c>
      <c r="F68" s="20">
        <v>2</v>
      </c>
      <c r="G68" s="122">
        <v>0</v>
      </c>
      <c r="H68" s="20">
        <f>F68*AE68</f>
        <v>0</v>
      </c>
      <c r="I68" s="20">
        <f>J68-H68</f>
        <v>0</v>
      </c>
      <c r="J68" s="20">
        <f>F68*G68</f>
        <v>0</v>
      </c>
      <c r="K68" s="122">
        <v>0.0326</v>
      </c>
      <c r="L68" s="20">
        <f>F68*K68</f>
        <v>0.0652</v>
      </c>
      <c r="M68" s="33"/>
      <c r="P68" s="37">
        <f>IF(AG68="5",J68,0)</f>
        <v>0</v>
      </c>
      <c r="R68" s="37">
        <f>IF(AG68="1",H68,0)</f>
        <v>0</v>
      </c>
      <c r="S68" s="37">
        <f>IF(AG68="1",I68,0)</f>
        <v>0</v>
      </c>
      <c r="T68" s="37">
        <f>IF(AG68="7",H68,0)</f>
        <v>0</v>
      </c>
      <c r="U68" s="37">
        <f>IF(AG68="7",I68,0)</f>
        <v>0</v>
      </c>
      <c r="V68" s="37">
        <f>IF(AG68="2",H68,0)</f>
        <v>0</v>
      </c>
      <c r="W68" s="37">
        <f>IF(AG68="2",I68,0)</f>
        <v>0</v>
      </c>
      <c r="X68" s="37">
        <f>IF(AG68="0",J68,0)</f>
        <v>0</v>
      </c>
      <c r="Y68" s="28" t="s">
        <v>73</v>
      </c>
      <c r="Z68" s="20">
        <f>IF(AD68=0,J68,0)</f>
        <v>0</v>
      </c>
      <c r="AA68" s="20">
        <f>IF(AD68=15,J68,0)</f>
        <v>0</v>
      </c>
      <c r="AB68" s="20">
        <f>IF(AD68=21,J68,0)</f>
        <v>0</v>
      </c>
      <c r="AD68" s="37">
        <v>15</v>
      </c>
      <c r="AE68" s="37">
        <f>G68*1</f>
        <v>0</v>
      </c>
      <c r="AF68" s="37">
        <f>G68*(1-1)</f>
        <v>0</v>
      </c>
      <c r="AG68" s="33" t="s">
        <v>262</v>
      </c>
      <c r="AM68" s="37">
        <f>F68*AE68</f>
        <v>0</v>
      </c>
      <c r="AN68" s="37">
        <f>F68*AF68</f>
        <v>0</v>
      </c>
      <c r="AO68" s="38" t="s">
        <v>265</v>
      </c>
      <c r="AP68" s="38" t="s">
        <v>288</v>
      </c>
      <c r="AQ68" s="28" t="s">
        <v>269</v>
      </c>
      <c r="AS68" s="37">
        <f>AM68+AN68</f>
        <v>0</v>
      </c>
      <c r="AT68" s="37">
        <f>G68/(100-AU68)*100</f>
        <v>0</v>
      </c>
      <c r="AU68" s="37">
        <v>0</v>
      </c>
      <c r="AV68" s="37">
        <f>L68</f>
        <v>0.0652</v>
      </c>
    </row>
    <row r="69" spans="1:13" ht="12.75">
      <c r="A69" s="6"/>
      <c r="B69" s="15" t="s">
        <v>74</v>
      </c>
      <c r="C69" s="15"/>
      <c r="D69" s="15" t="s">
        <v>198</v>
      </c>
      <c r="E69" s="6" t="s">
        <v>6</v>
      </c>
      <c r="F69" s="6" t="s">
        <v>6</v>
      </c>
      <c r="G69" s="121" t="s">
        <v>6</v>
      </c>
      <c r="H69" s="41">
        <f>H70+H72</f>
        <v>0</v>
      </c>
      <c r="I69" s="41">
        <f>I70+I72</f>
        <v>0</v>
      </c>
      <c r="J69" s="41">
        <f>H69+I69</f>
        <v>0</v>
      </c>
      <c r="K69" s="126"/>
      <c r="L69" s="41">
        <f>L70+L72</f>
        <v>0</v>
      </c>
      <c r="M69" s="29"/>
    </row>
    <row r="70" spans="1:37" ht="12.75">
      <c r="A70" s="4"/>
      <c r="B70" s="14" t="s">
        <v>74</v>
      </c>
      <c r="C70" s="14" t="s">
        <v>74</v>
      </c>
      <c r="D70" s="14" t="s">
        <v>199</v>
      </c>
      <c r="E70" s="4" t="s">
        <v>6</v>
      </c>
      <c r="F70" s="4" t="s">
        <v>6</v>
      </c>
      <c r="G70" s="119" t="s">
        <v>6</v>
      </c>
      <c r="H70" s="40">
        <f>SUM(H71:H71)</f>
        <v>0</v>
      </c>
      <c r="I70" s="40">
        <f>SUM(I71:I71)</f>
        <v>0</v>
      </c>
      <c r="J70" s="40">
        <f>H70+I70</f>
        <v>0</v>
      </c>
      <c r="K70" s="125"/>
      <c r="L70" s="40">
        <f>SUM(L71:L71)</f>
        <v>0</v>
      </c>
      <c r="M70" s="28"/>
      <c r="Y70" s="28" t="s">
        <v>74</v>
      </c>
      <c r="AI70" s="40">
        <f>SUM(Z71:Z71)</f>
        <v>0</v>
      </c>
      <c r="AJ70" s="40">
        <f>SUM(AA71:AA71)</f>
        <v>0</v>
      </c>
      <c r="AK70" s="40">
        <f>SUM(AB71:AB71)</f>
        <v>0</v>
      </c>
    </row>
    <row r="71" spans="1:48" ht="12.75">
      <c r="A71" s="5" t="s">
        <v>48</v>
      </c>
      <c r="B71" s="5" t="s">
        <v>74</v>
      </c>
      <c r="C71" s="5" t="s">
        <v>121</v>
      </c>
      <c r="D71" s="5" t="s">
        <v>200</v>
      </c>
      <c r="E71" s="5" t="s">
        <v>229</v>
      </c>
      <c r="F71" s="19">
        <v>97</v>
      </c>
      <c r="G71" s="120">
        <v>0</v>
      </c>
      <c r="H71" s="19">
        <f>F71*AE71</f>
        <v>0</v>
      </c>
      <c r="I71" s="19">
        <f>J71-H71</f>
        <v>0</v>
      </c>
      <c r="J71" s="19">
        <f>F71*G71</f>
        <v>0</v>
      </c>
      <c r="K71" s="120">
        <v>0</v>
      </c>
      <c r="L71" s="19">
        <f>F71*K71</f>
        <v>0</v>
      </c>
      <c r="M71" s="32"/>
      <c r="P71" s="37">
        <f>IF(AG71="5",J71,0)</f>
        <v>0</v>
      </c>
      <c r="R71" s="37">
        <f>IF(AG71="1",H71,0)</f>
        <v>0</v>
      </c>
      <c r="S71" s="37">
        <f>IF(AG71="1",I71,0)</f>
        <v>0</v>
      </c>
      <c r="T71" s="37">
        <f>IF(AG71="7",H71,0)</f>
        <v>0</v>
      </c>
      <c r="U71" s="37">
        <f>IF(AG71="7",I71,0)</f>
        <v>0</v>
      </c>
      <c r="V71" s="37">
        <f>IF(AG71="2",H71,0)</f>
        <v>0</v>
      </c>
      <c r="W71" s="37">
        <f>IF(AG71="2",I71,0)</f>
        <v>0</v>
      </c>
      <c r="X71" s="37">
        <f>IF(AG71="0",J71,0)</f>
        <v>0</v>
      </c>
      <c r="Y71" s="28" t="s">
        <v>74</v>
      </c>
      <c r="Z71" s="19">
        <f>IF(AD71=0,J71,0)</f>
        <v>0</v>
      </c>
      <c r="AA71" s="19">
        <f>IF(AD71=15,J71,0)</f>
        <v>0</v>
      </c>
      <c r="AB71" s="19">
        <f>IF(AD71=21,J71,0)</f>
        <v>0</v>
      </c>
      <c r="AD71" s="37">
        <v>15</v>
      </c>
      <c r="AE71" s="37">
        <f>G71*1</f>
        <v>0</v>
      </c>
      <c r="AF71" s="37">
        <f>G71*(1-1)</f>
        <v>0</v>
      </c>
      <c r="AG71" s="32" t="s">
        <v>13</v>
      </c>
      <c r="AM71" s="37">
        <f>F71*AE71</f>
        <v>0</v>
      </c>
      <c r="AN71" s="37">
        <f>F71*AF71</f>
        <v>0</v>
      </c>
      <c r="AO71" s="38" t="s">
        <v>270</v>
      </c>
      <c r="AP71" s="38" t="s">
        <v>289</v>
      </c>
      <c r="AQ71" s="28" t="s">
        <v>270</v>
      </c>
      <c r="AS71" s="37">
        <f>AM71+AN71</f>
        <v>0</v>
      </c>
      <c r="AT71" s="37">
        <f>G71/(100-AU71)*100</f>
        <v>0</v>
      </c>
      <c r="AU71" s="37">
        <v>0</v>
      </c>
      <c r="AV71" s="37">
        <f>L71</f>
        <v>0</v>
      </c>
    </row>
    <row r="72" spans="1:37" ht="12.75">
      <c r="A72" s="4"/>
      <c r="B72" s="14" t="s">
        <v>74</v>
      </c>
      <c r="C72" s="14"/>
      <c r="D72" s="14" t="s">
        <v>154</v>
      </c>
      <c r="E72" s="4" t="s">
        <v>6</v>
      </c>
      <c r="F72" s="4" t="s">
        <v>6</v>
      </c>
      <c r="G72" s="119" t="s">
        <v>6</v>
      </c>
      <c r="H72" s="40">
        <f>SUM(H73:H78)</f>
        <v>0</v>
      </c>
      <c r="I72" s="40">
        <f>SUM(I73:I78)</f>
        <v>0</v>
      </c>
      <c r="J72" s="40">
        <f>H72+I72</f>
        <v>0</v>
      </c>
      <c r="K72" s="125"/>
      <c r="L72" s="40">
        <f>SUM(L73:L78)</f>
        <v>0</v>
      </c>
      <c r="M72" s="28"/>
      <c r="Y72" s="28" t="s">
        <v>74</v>
      </c>
      <c r="AI72" s="40">
        <f>SUM(Z73:Z78)</f>
        <v>0</v>
      </c>
      <c r="AJ72" s="40">
        <f>SUM(AA73:AA78)</f>
        <v>0</v>
      </c>
      <c r="AK72" s="40">
        <f>SUM(AB73:AB78)</f>
        <v>0</v>
      </c>
    </row>
    <row r="73" spans="1:48" ht="12.75">
      <c r="A73" s="7" t="s">
        <v>49</v>
      </c>
      <c r="B73" s="7" t="s">
        <v>74</v>
      </c>
      <c r="C73" s="7" t="s">
        <v>122</v>
      </c>
      <c r="D73" s="7" t="s">
        <v>201</v>
      </c>
      <c r="E73" s="7" t="s">
        <v>229</v>
      </c>
      <c r="F73" s="20">
        <v>42</v>
      </c>
      <c r="G73" s="122">
        <v>0</v>
      </c>
      <c r="H73" s="20">
        <f aca="true" t="shared" si="62" ref="H73:H78">F73*AE73</f>
        <v>0</v>
      </c>
      <c r="I73" s="20">
        <f aca="true" t="shared" si="63" ref="I73:I78">J73-H73</f>
        <v>0</v>
      </c>
      <c r="J73" s="20">
        <f aca="true" t="shared" si="64" ref="J73:J78">F73*G73</f>
        <v>0</v>
      </c>
      <c r="K73" s="122">
        <v>0</v>
      </c>
      <c r="L73" s="20">
        <f aca="true" t="shared" si="65" ref="L73:L78">F73*K73</f>
        <v>0</v>
      </c>
      <c r="M73" s="33"/>
      <c r="P73" s="37">
        <f aca="true" t="shared" si="66" ref="P73:P78">IF(AG73="5",J73,0)</f>
        <v>0</v>
      </c>
      <c r="R73" s="37">
        <f aca="true" t="shared" si="67" ref="R73:R78">IF(AG73="1",H73,0)</f>
        <v>0</v>
      </c>
      <c r="S73" s="37">
        <f aca="true" t="shared" si="68" ref="S73:S78">IF(AG73="1",I73,0)</f>
        <v>0</v>
      </c>
      <c r="T73" s="37">
        <f aca="true" t="shared" si="69" ref="T73:T78">IF(AG73="7",H73,0)</f>
        <v>0</v>
      </c>
      <c r="U73" s="37">
        <f aca="true" t="shared" si="70" ref="U73:U78">IF(AG73="7",I73,0)</f>
        <v>0</v>
      </c>
      <c r="V73" s="37">
        <f aca="true" t="shared" si="71" ref="V73:V78">IF(AG73="2",H73,0)</f>
        <v>0</v>
      </c>
      <c r="W73" s="37">
        <f aca="true" t="shared" si="72" ref="W73:W78">IF(AG73="2",I73,0)</f>
        <v>0</v>
      </c>
      <c r="X73" s="37">
        <f aca="true" t="shared" si="73" ref="X73:X78">IF(AG73="0",J73,0)</f>
        <v>0</v>
      </c>
      <c r="Y73" s="28" t="s">
        <v>74</v>
      </c>
      <c r="Z73" s="20">
        <f aca="true" t="shared" si="74" ref="Z73:Z78">IF(AD73=0,J73,0)</f>
        <v>0</v>
      </c>
      <c r="AA73" s="20">
        <f aca="true" t="shared" si="75" ref="AA73:AA78">IF(AD73=15,J73,0)</f>
        <v>0</v>
      </c>
      <c r="AB73" s="20">
        <f aca="true" t="shared" si="76" ref="AB73:AB78">IF(AD73=21,J73,0)</f>
        <v>0</v>
      </c>
      <c r="AD73" s="37">
        <v>15</v>
      </c>
      <c r="AE73" s="37">
        <f aca="true" t="shared" si="77" ref="AE73:AE78">G73*1</f>
        <v>0</v>
      </c>
      <c r="AF73" s="37">
        <f aca="true" t="shared" si="78" ref="AF73:AF78">G73*(1-1)</f>
        <v>0</v>
      </c>
      <c r="AG73" s="33" t="s">
        <v>262</v>
      </c>
      <c r="AM73" s="37">
        <f aca="true" t="shared" si="79" ref="AM73:AM78">F73*AE73</f>
        <v>0</v>
      </c>
      <c r="AN73" s="37">
        <f aca="true" t="shared" si="80" ref="AN73:AN78">F73*AF73</f>
        <v>0</v>
      </c>
      <c r="AO73" s="38" t="s">
        <v>265</v>
      </c>
      <c r="AP73" s="38" t="s">
        <v>290</v>
      </c>
      <c r="AQ73" s="28" t="s">
        <v>270</v>
      </c>
      <c r="AS73" s="37">
        <f aca="true" t="shared" si="81" ref="AS73:AS78">AM73+AN73</f>
        <v>0</v>
      </c>
      <c r="AT73" s="37">
        <f aca="true" t="shared" si="82" ref="AT73:AT78">G73/(100-AU73)*100</f>
        <v>0</v>
      </c>
      <c r="AU73" s="37">
        <v>0</v>
      </c>
      <c r="AV73" s="37">
        <f aca="true" t="shared" si="83" ref="AV73:AV78">L73</f>
        <v>0</v>
      </c>
    </row>
    <row r="74" spans="1:48" ht="12.75">
      <c r="A74" s="7" t="s">
        <v>50</v>
      </c>
      <c r="B74" s="7" t="s">
        <v>74</v>
      </c>
      <c r="C74" s="7" t="s">
        <v>123</v>
      </c>
      <c r="D74" s="7" t="s">
        <v>202</v>
      </c>
      <c r="E74" s="7" t="s">
        <v>229</v>
      </c>
      <c r="F74" s="20">
        <v>40</v>
      </c>
      <c r="G74" s="122">
        <v>0</v>
      </c>
      <c r="H74" s="20">
        <f t="shared" si="62"/>
        <v>0</v>
      </c>
      <c r="I74" s="20">
        <f t="shared" si="63"/>
        <v>0</v>
      </c>
      <c r="J74" s="20">
        <f t="shared" si="64"/>
        <v>0</v>
      </c>
      <c r="K74" s="122">
        <v>0</v>
      </c>
      <c r="L74" s="20">
        <f t="shared" si="65"/>
        <v>0</v>
      </c>
      <c r="M74" s="33"/>
      <c r="P74" s="37">
        <f t="shared" si="66"/>
        <v>0</v>
      </c>
      <c r="R74" s="37">
        <f t="shared" si="67"/>
        <v>0</v>
      </c>
      <c r="S74" s="37">
        <f t="shared" si="68"/>
        <v>0</v>
      </c>
      <c r="T74" s="37">
        <f t="shared" si="69"/>
        <v>0</v>
      </c>
      <c r="U74" s="37">
        <f t="shared" si="70"/>
        <v>0</v>
      </c>
      <c r="V74" s="37">
        <f t="shared" si="71"/>
        <v>0</v>
      </c>
      <c r="W74" s="37">
        <f t="shared" si="72"/>
        <v>0</v>
      </c>
      <c r="X74" s="37">
        <f t="shared" si="73"/>
        <v>0</v>
      </c>
      <c r="Y74" s="28" t="s">
        <v>74</v>
      </c>
      <c r="Z74" s="20">
        <f t="shared" si="74"/>
        <v>0</v>
      </c>
      <c r="AA74" s="20">
        <f t="shared" si="75"/>
        <v>0</v>
      </c>
      <c r="AB74" s="20">
        <f t="shared" si="76"/>
        <v>0</v>
      </c>
      <c r="AD74" s="37">
        <v>15</v>
      </c>
      <c r="AE74" s="37">
        <f t="shared" si="77"/>
        <v>0</v>
      </c>
      <c r="AF74" s="37">
        <f t="shared" si="78"/>
        <v>0</v>
      </c>
      <c r="AG74" s="33" t="s">
        <v>262</v>
      </c>
      <c r="AM74" s="37">
        <f t="shared" si="79"/>
        <v>0</v>
      </c>
      <c r="AN74" s="37">
        <f t="shared" si="80"/>
        <v>0</v>
      </c>
      <c r="AO74" s="38" t="s">
        <v>265</v>
      </c>
      <c r="AP74" s="38" t="s">
        <v>290</v>
      </c>
      <c r="AQ74" s="28" t="s">
        <v>270</v>
      </c>
      <c r="AS74" s="37">
        <f t="shared" si="81"/>
        <v>0</v>
      </c>
      <c r="AT74" s="37">
        <f t="shared" si="82"/>
        <v>0</v>
      </c>
      <c r="AU74" s="37">
        <v>0</v>
      </c>
      <c r="AV74" s="37">
        <f t="shared" si="83"/>
        <v>0</v>
      </c>
    </row>
    <row r="75" spans="1:48" ht="12.75">
      <c r="A75" s="7" t="s">
        <v>51</v>
      </c>
      <c r="B75" s="7" t="s">
        <v>74</v>
      </c>
      <c r="C75" s="7" t="s">
        <v>124</v>
      </c>
      <c r="D75" s="7" t="s">
        <v>203</v>
      </c>
      <c r="E75" s="7" t="s">
        <v>229</v>
      </c>
      <c r="F75" s="20">
        <v>10</v>
      </c>
      <c r="G75" s="122">
        <v>0</v>
      </c>
      <c r="H75" s="20">
        <f t="shared" si="62"/>
        <v>0</v>
      </c>
      <c r="I75" s="20">
        <f t="shared" si="63"/>
        <v>0</v>
      </c>
      <c r="J75" s="20">
        <f t="shared" si="64"/>
        <v>0</v>
      </c>
      <c r="K75" s="122">
        <v>0</v>
      </c>
      <c r="L75" s="20">
        <f t="shared" si="65"/>
        <v>0</v>
      </c>
      <c r="M75" s="33"/>
      <c r="P75" s="37">
        <f t="shared" si="66"/>
        <v>0</v>
      </c>
      <c r="R75" s="37">
        <f t="shared" si="67"/>
        <v>0</v>
      </c>
      <c r="S75" s="37">
        <f t="shared" si="68"/>
        <v>0</v>
      </c>
      <c r="T75" s="37">
        <f t="shared" si="69"/>
        <v>0</v>
      </c>
      <c r="U75" s="37">
        <f t="shared" si="70"/>
        <v>0</v>
      </c>
      <c r="V75" s="37">
        <f t="shared" si="71"/>
        <v>0</v>
      </c>
      <c r="W75" s="37">
        <f t="shared" si="72"/>
        <v>0</v>
      </c>
      <c r="X75" s="37">
        <f t="shared" si="73"/>
        <v>0</v>
      </c>
      <c r="Y75" s="28" t="s">
        <v>74</v>
      </c>
      <c r="Z75" s="20">
        <f t="shared" si="74"/>
        <v>0</v>
      </c>
      <c r="AA75" s="20">
        <f t="shared" si="75"/>
        <v>0</v>
      </c>
      <c r="AB75" s="20">
        <f t="shared" si="76"/>
        <v>0</v>
      </c>
      <c r="AD75" s="37">
        <v>15</v>
      </c>
      <c r="AE75" s="37">
        <f t="shared" si="77"/>
        <v>0</v>
      </c>
      <c r="AF75" s="37">
        <f t="shared" si="78"/>
        <v>0</v>
      </c>
      <c r="AG75" s="33" t="s">
        <v>262</v>
      </c>
      <c r="AM75" s="37">
        <f t="shared" si="79"/>
        <v>0</v>
      </c>
      <c r="AN75" s="37">
        <f t="shared" si="80"/>
        <v>0</v>
      </c>
      <c r="AO75" s="38" t="s">
        <v>265</v>
      </c>
      <c r="AP75" s="38" t="s">
        <v>290</v>
      </c>
      <c r="AQ75" s="28" t="s">
        <v>270</v>
      </c>
      <c r="AS75" s="37">
        <f t="shared" si="81"/>
        <v>0</v>
      </c>
      <c r="AT75" s="37">
        <f t="shared" si="82"/>
        <v>0</v>
      </c>
      <c r="AU75" s="37">
        <v>0</v>
      </c>
      <c r="AV75" s="37">
        <f t="shared" si="83"/>
        <v>0</v>
      </c>
    </row>
    <row r="76" spans="1:48" ht="12.75">
      <c r="A76" s="7" t="s">
        <v>52</v>
      </c>
      <c r="B76" s="7" t="s">
        <v>74</v>
      </c>
      <c r="C76" s="7" t="s">
        <v>125</v>
      </c>
      <c r="D76" s="7" t="s">
        <v>204</v>
      </c>
      <c r="E76" s="7" t="s">
        <v>229</v>
      </c>
      <c r="F76" s="20">
        <v>5</v>
      </c>
      <c r="G76" s="122">
        <v>0</v>
      </c>
      <c r="H76" s="20">
        <f t="shared" si="62"/>
        <v>0</v>
      </c>
      <c r="I76" s="20">
        <f t="shared" si="63"/>
        <v>0</v>
      </c>
      <c r="J76" s="20">
        <f t="shared" si="64"/>
        <v>0</v>
      </c>
      <c r="K76" s="122">
        <v>0</v>
      </c>
      <c r="L76" s="20">
        <f t="shared" si="65"/>
        <v>0</v>
      </c>
      <c r="M76" s="33"/>
      <c r="P76" s="37">
        <f t="shared" si="66"/>
        <v>0</v>
      </c>
      <c r="R76" s="37">
        <f t="shared" si="67"/>
        <v>0</v>
      </c>
      <c r="S76" s="37">
        <f t="shared" si="68"/>
        <v>0</v>
      </c>
      <c r="T76" s="37">
        <f t="shared" si="69"/>
        <v>0</v>
      </c>
      <c r="U76" s="37">
        <f t="shared" si="70"/>
        <v>0</v>
      </c>
      <c r="V76" s="37">
        <f t="shared" si="71"/>
        <v>0</v>
      </c>
      <c r="W76" s="37">
        <f t="shared" si="72"/>
        <v>0</v>
      </c>
      <c r="X76" s="37">
        <f t="shared" si="73"/>
        <v>0</v>
      </c>
      <c r="Y76" s="28" t="s">
        <v>74</v>
      </c>
      <c r="Z76" s="20">
        <f t="shared" si="74"/>
        <v>0</v>
      </c>
      <c r="AA76" s="20">
        <f t="shared" si="75"/>
        <v>0</v>
      </c>
      <c r="AB76" s="20">
        <f t="shared" si="76"/>
        <v>0</v>
      </c>
      <c r="AD76" s="37">
        <v>15</v>
      </c>
      <c r="AE76" s="37">
        <f t="shared" si="77"/>
        <v>0</v>
      </c>
      <c r="AF76" s="37">
        <f t="shared" si="78"/>
        <v>0</v>
      </c>
      <c r="AG76" s="33" t="s">
        <v>262</v>
      </c>
      <c r="AM76" s="37">
        <f t="shared" si="79"/>
        <v>0</v>
      </c>
      <c r="AN76" s="37">
        <f t="shared" si="80"/>
        <v>0</v>
      </c>
      <c r="AO76" s="38" t="s">
        <v>265</v>
      </c>
      <c r="AP76" s="38" t="s">
        <v>290</v>
      </c>
      <c r="AQ76" s="28" t="s">
        <v>270</v>
      </c>
      <c r="AS76" s="37">
        <f t="shared" si="81"/>
        <v>0</v>
      </c>
      <c r="AT76" s="37">
        <f t="shared" si="82"/>
        <v>0</v>
      </c>
      <c r="AU76" s="37">
        <v>0</v>
      </c>
      <c r="AV76" s="37">
        <f t="shared" si="83"/>
        <v>0</v>
      </c>
    </row>
    <row r="77" spans="1:48" ht="12.75">
      <c r="A77" s="7" t="s">
        <v>53</v>
      </c>
      <c r="B77" s="7" t="s">
        <v>74</v>
      </c>
      <c r="C77" s="7" t="s">
        <v>126</v>
      </c>
      <c r="D77" s="7" t="s">
        <v>205</v>
      </c>
      <c r="E77" s="7" t="s">
        <v>229</v>
      </c>
      <c r="F77" s="20">
        <v>97</v>
      </c>
      <c r="G77" s="122">
        <v>0</v>
      </c>
      <c r="H77" s="20">
        <f t="shared" si="62"/>
        <v>0</v>
      </c>
      <c r="I77" s="20">
        <f t="shared" si="63"/>
        <v>0</v>
      </c>
      <c r="J77" s="20">
        <f t="shared" si="64"/>
        <v>0</v>
      </c>
      <c r="K77" s="122">
        <v>0</v>
      </c>
      <c r="L77" s="20">
        <f t="shared" si="65"/>
        <v>0</v>
      </c>
      <c r="M77" s="33"/>
      <c r="P77" s="37">
        <f t="shared" si="66"/>
        <v>0</v>
      </c>
      <c r="R77" s="37">
        <f t="shared" si="67"/>
        <v>0</v>
      </c>
      <c r="S77" s="37">
        <f t="shared" si="68"/>
        <v>0</v>
      </c>
      <c r="T77" s="37">
        <f t="shared" si="69"/>
        <v>0</v>
      </c>
      <c r="U77" s="37">
        <f t="shared" si="70"/>
        <v>0</v>
      </c>
      <c r="V77" s="37">
        <f t="shared" si="71"/>
        <v>0</v>
      </c>
      <c r="W77" s="37">
        <f t="shared" si="72"/>
        <v>0</v>
      </c>
      <c r="X77" s="37">
        <f t="shared" si="73"/>
        <v>0</v>
      </c>
      <c r="Y77" s="28" t="s">
        <v>74</v>
      </c>
      <c r="Z77" s="20">
        <f t="shared" si="74"/>
        <v>0</v>
      </c>
      <c r="AA77" s="20">
        <f t="shared" si="75"/>
        <v>0</v>
      </c>
      <c r="AB77" s="20">
        <f t="shared" si="76"/>
        <v>0</v>
      </c>
      <c r="AD77" s="37">
        <v>15</v>
      </c>
      <c r="AE77" s="37">
        <f t="shared" si="77"/>
        <v>0</v>
      </c>
      <c r="AF77" s="37">
        <f t="shared" si="78"/>
        <v>0</v>
      </c>
      <c r="AG77" s="33" t="s">
        <v>262</v>
      </c>
      <c r="AM77" s="37">
        <f t="shared" si="79"/>
        <v>0</v>
      </c>
      <c r="AN77" s="37">
        <f t="shared" si="80"/>
        <v>0</v>
      </c>
      <c r="AO77" s="38" t="s">
        <v>265</v>
      </c>
      <c r="AP77" s="38" t="s">
        <v>290</v>
      </c>
      <c r="AQ77" s="28" t="s">
        <v>270</v>
      </c>
      <c r="AS77" s="37">
        <f t="shared" si="81"/>
        <v>0</v>
      </c>
      <c r="AT77" s="37">
        <f t="shared" si="82"/>
        <v>0</v>
      </c>
      <c r="AU77" s="37">
        <v>0</v>
      </c>
      <c r="AV77" s="37">
        <f t="shared" si="83"/>
        <v>0</v>
      </c>
    </row>
    <row r="78" spans="1:48" ht="12.75">
      <c r="A78" s="7" t="s">
        <v>54</v>
      </c>
      <c r="B78" s="7" t="s">
        <v>74</v>
      </c>
      <c r="C78" s="7" t="s">
        <v>127</v>
      </c>
      <c r="D78" s="7" t="s">
        <v>206</v>
      </c>
      <c r="E78" s="7" t="s">
        <v>229</v>
      </c>
      <c r="F78" s="20">
        <v>97</v>
      </c>
      <c r="G78" s="122">
        <v>0</v>
      </c>
      <c r="H78" s="20">
        <f t="shared" si="62"/>
        <v>0</v>
      </c>
      <c r="I78" s="20">
        <f t="shared" si="63"/>
        <v>0</v>
      </c>
      <c r="J78" s="20">
        <f t="shared" si="64"/>
        <v>0</v>
      </c>
      <c r="K78" s="122">
        <v>0</v>
      </c>
      <c r="L78" s="20">
        <f t="shared" si="65"/>
        <v>0</v>
      </c>
      <c r="M78" s="33"/>
      <c r="P78" s="37">
        <f t="shared" si="66"/>
        <v>0</v>
      </c>
      <c r="R78" s="37">
        <f t="shared" si="67"/>
        <v>0</v>
      </c>
      <c r="S78" s="37">
        <f t="shared" si="68"/>
        <v>0</v>
      </c>
      <c r="T78" s="37">
        <f t="shared" si="69"/>
        <v>0</v>
      </c>
      <c r="U78" s="37">
        <f t="shared" si="70"/>
        <v>0</v>
      </c>
      <c r="V78" s="37">
        <f t="shared" si="71"/>
        <v>0</v>
      </c>
      <c r="W78" s="37">
        <f t="shared" si="72"/>
        <v>0</v>
      </c>
      <c r="X78" s="37">
        <f t="shared" si="73"/>
        <v>0</v>
      </c>
      <c r="Y78" s="28" t="s">
        <v>74</v>
      </c>
      <c r="Z78" s="20">
        <f t="shared" si="74"/>
        <v>0</v>
      </c>
      <c r="AA78" s="20">
        <f t="shared" si="75"/>
        <v>0</v>
      </c>
      <c r="AB78" s="20">
        <f t="shared" si="76"/>
        <v>0</v>
      </c>
      <c r="AD78" s="37">
        <v>15</v>
      </c>
      <c r="AE78" s="37">
        <f t="shared" si="77"/>
        <v>0</v>
      </c>
      <c r="AF78" s="37">
        <f t="shared" si="78"/>
        <v>0</v>
      </c>
      <c r="AG78" s="33" t="s">
        <v>262</v>
      </c>
      <c r="AM78" s="37">
        <f t="shared" si="79"/>
        <v>0</v>
      </c>
      <c r="AN78" s="37">
        <f t="shared" si="80"/>
        <v>0</v>
      </c>
      <c r="AO78" s="38" t="s">
        <v>265</v>
      </c>
      <c r="AP78" s="38" t="s">
        <v>290</v>
      </c>
      <c r="AQ78" s="28" t="s">
        <v>270</v>
      </c>
      <c r="AS78" s="37">
        <f t="shared" si="81"/>
        <v>0</v>
      </c>
      <c r="AT78" s="37">
        <f t="shared" si="82"/>
        <v>0</v>
      </c>
      <c r="AU78" s="37">
        <v>0</v>
      </c>
      <c r="AV78" s="37">
        <f t="shared" si="83"/>
        <v>0</v>
      </c>
    </row>
    <row r="79" spans="1:13" ht="12.75">
      <c r="A79" s="6"/>
      <c r="B79" s="15" t="s">
        <v>75</v>
      </c>
      <c r="C79" s="15"/>
      <c r="D79" s="15" t="s">
        <v>207</v>
      </c>
      <c r="E79" s="6" t="s">
        <v>6</v>
      </c>
      <c r="F79" s="6" t="s">
        <v>6</v>
      </c>
      <c r="G79" s="121" t="s">
        <v>6</v>
      </c>
      <c r="H79" s="41">
        <f>H80</f>
        <v>0</v>
      </c>
      <c r="I79" s="41">
        <f>I80</f>
        <v>0</v>
      </c>
      <c r="J79" s="41">
        <f>H79+I79</f>
        <v>0</v>
      </c>
      <c r="K79" s="126"/>
      <c r="L79" s="41">
        <f>L80</f>
        <v>0.01233</v>
      </c>
      <c r="M79" s="29"/>
    </row>
    <row r="80" spans="1:37" ht="12.75">
      <c r="A80" s="4"/>
      <c r="B80" s="14" t="s">
        <v>75</v>
      </c>
      <c r="C80" s="14" t="s">
        <v>75</v>
      </c>
      <c r="D80" s="14" t="s">
        <v>207</v>
      </c>
      <c r="E80" s="4" t="s">
        <v>6</v>
      </c>
      <c r="F80" s="4" t="s">
        <v>6</v>
      </c>
      <c r="G80" s="119" t="s">
        <v>6</v>
      </c>
      <c r="H80" s="40">
        <f>SUM(H81:H81)</f>
        <v>0</v>
      </c>
      <c r="I80" s="40">
        <f>SUM(I81:I81)</f>
        <v>0</v>
      </c>
      <c r="J80" s="40">
        <f>H80+I80</f>
        <v>0</v>
      </c>
      <c r="K80" s="125"/>
      <c r="L80" s="40">
        <f>SUM(L81:L81)</f>
        <v>0.01233</v>
      </c>
      <c r="M80" s="28"/>
      <c r="Y80" s="28" t="s">
        <v>75</v>
      </c>
      <c r="AI80" s="40">
        <f>SUM(Z81:Z81)</f>
        <v>0</v>
      </c>
      <c r="AJ80" s="40">
        <f>SUM(AA81:AA81)</f>
        <v>0</v>
      </c>
      <c r="AK80" s="40">
        <f>SUM(AB81:AB81)</f>
        <v>0</v>
      </c>
    </row>
    <row r="81" spans="1:48" ht="12.75">
      <c r="A81" s="5" t="s">
        <v>55</v>
      </c>
      <c r="B81" s="5" t="s">
        <v>75</v>
      </c>
      <c r="C81" s="5" t="s">
        <v>128</v>
      </c>
      <c r="D81" s="5" t="s">
        <v>208</v>
      </c>
      <c r="E81" s="5" t="s">
        <v>231</v>
      </c>
      <c r="F81" s="19">
        <v>137</v>
      </c>
      <c r="G81" s="120">
        <v>0</v>
      </c>
      <c r="H81" s="19">
        <f>F81*AE81</f>
        <v>0</v>
      </c>
      <c r="I81" s="19">
        <f>J81-H81</f>
        <v>0</v>
      </c>
      <c r="J81" s="19">
        <f>F81*G81</f>
        <v>0</v>
      </c>
      <c r="K81" s="120">
        <v>9E-05</v>
      </c>
      <c r="L81" s="19">
        <f>F81*K81</f>
        <v>0.01233</v>
      </c>
      <c r="M81" s="32"/>
      <c r="P81" s="37">
        <f>IF(AG81="5",J81,0)</f>
        <v>0</v>
      </c>
      <c r="R81" s="37">
        <f>IF(AG81="1",H81,0)</f>
        <v>0</v>
      </c>
      <c r="S81" s="37">
        <f>IF(AG81="1",I81,0)</f>
        <v>0</v>
      </c>
      <c r="T81" s="37">
        <f>IF(AG81="7",H81,0)</f>
        <v>0</v>
      </c>
      <c r="U81" s="37">
        <f>IF(AG81="7",I81,0)</f>
        <v>0</v>
      </c>
      <c r="V81" s="37">
        <f>IF(AG81="2",H81,0)</f>
        <v>0</v>
      </c>
      <c r="W81" s="37">
        <f>IF(AG81="2",I81,0)</f>
        <v>0</v>
      </c>
      <c r="X81" s="37">
        <f>IF(AG81="0",J81,0)</f>
        <v>0</v>
      </c>
      <c r="Y81" s="28" t="s">
        <v>75</v>
      </c>
      <c r="Z81" s="19">
        <f>IF(AD81=0,J81,0)</f>
        <v>0</v>
      </c>
      <c r="AA81" s="19">
        <f>IF(AD81=15,J81,0)</f>
        <v>0</v>
      </c>
      <c r="AB81" s="19">
        <f>IF(AD81=21,J81,0)</f>
        <v>0</v>
      </c>
      <c r="AD81" s="37">
        <v>15</v>
      </c>
      <c r="AE81" s="37">
        <f>G81*0.428304239401496</f>
        <v>0</v>
      </c>
      <c r="AF81" s="37">
        <f>G81*(1-0.428304239401496)</f>
        <v>0</v>
      </c>
      <c r="AG81" s="32" t="s">
        <v>13</v>
      </c>
      <c r="AM81" s="37">
        <f>F81*AE81</f>
        <v>0</v>
      </c>
      <c r="AN81" s="37">
        <f>F81*AF81</f>
        <v>0</v>
      </c>
      <c r="AO81" s="38" t="s">
        <v>271</v>
      </c>
      <c r="AP81" s="38" t="s">
        <v>291</v>
      </c>
      <c r="AQ81" s="28" t="s">
        <v>271</v>
      </c>
      <c r="AS81" s="37">
        <f>AM81+AN81</f>
        <v>0</v>
      </c>
      <c r="AT81" s="37">
        <f>G81/(100-AU81)*100</f>
        <v>0</v>
      </c>
      <c r="AU81" s="37">
        <v>0</v>
      </c>
      <c r="AV81" s="37">
        <f>L81</f>
        <v>0.01233</v>
      </c>
    </row>
    <row r="82" spans="1:13" ht="12.75">
      <c r="A82" s="6"/>
      <c r="B82" s="15" t="s">
        <v>76</v>
      </c>
      <c r="C82" s="15"/>
      <c r="D82" s="15" t="s">
        <v>209</v>
      </c>
      <c r="E82" s="6" t="s">
        <v>6</v>
      </c>
      <c r="F82" s="6" t="s">
        <v>6</v>
      </c>
      <c r="G82" s="121" t="s">
        <v>6</v>
      </c>
      <c r="H82" s="41">
        <f>H83</f>
        <v>0</v>
      </c>
      <c r="I82" s="41">
        <f>I83</f>
        <v>0</v>
      </c>
      <c r="J82" s="41">
        <f>H82+I82</f>
        <v>0</v>
      </c>
      <c r="K82" s="126"/>
      <c r="L82" s="41">
        <f>L83</f>
        <v>0</v>
      </c>
      <c r="M82" s="29"/>
    </row>
    <row r="83" spans="1:37" ht="12.75">
      <c r="A83" s="4"/>
      <c r="B83" s="14" t="s">
        <v>76</v>
      </c>
      <c r="C83" s="14" t="s">
        <v>129</v>
      </c>
      <c r="D83" s="14" t="s">
        <v>210</v>
      </c>
      <c r="E83" s="4" t="s">
        <v>6</v>
      </c>
      <c r="F83" s="4" t="s">
        <v>6</v>
      </c>
      <c r="G83" s="119" t="s">
        <v>6</v>
      </c>
      <c r="H83" s="40">
        <f>SUM(H84:H87)</f>
        <v>0</v>
      </c>
      <c r="I83" s="40">
        <f>SUM(I84:I87)</f>
        <v>0</v>
      </c>
      <c r="J83" s="40">
        <f>H83+I83</f>
        <v>0</v>
      </c>
      <c r="K83" s="125"/>
      <c r="L83" s="40">
        <f>SUM(L84:L87)</f>
        <v>0</v>
      </c>
      <c r="M83" s="28"/>
      <c r="Y83" s="28" t="s">
        <v>76</v>
      </c>
      <c r="AI83" s="40">
        <f>SUM(Z84:Z87)</f>
        <v>0</v>
      </c>
      <c r="AJ83" s="40">
        <f>SUM(AA84:AA87)</f>
        <v>0</v>
      </c>
      <c r="AK83" s="40">
        <f>SUM(AB84:AB87)</f>
        <v>0</v>
      </c>
    </row>
    <row r="84" spans="1:48" ht="12.75">
      <c r="A84" s="5" t="s">
        <v>56</v>
      </c>
      <c r="B84" s="5" t="s">
        <v>76</v>
      </c>
      <c r="C84" s="5" t="s">
        <v>130</v>
      </c>
      <c r="D84" s="5" t="s">
        <v>211</v>
      </c>
      <c r="E84" s="5" t="s">
        <v>232</v>
      </c>
      <c r="F84" s="19">
        <v>5</v>
      </c>
      <c r="G84" s="120">
        <v>0</v>
      </c>
      <c r="H84" s="19">
        <f>F84*AE84</f>
        <v>0</v>
      </c>
      <c r="I84" s="19">
        <f>J84-H84</f>
        <v>0</v>
      </c>
      <c r="J84" s="19">
        <f>F84*G84</f>
        <v>0</v>
      </c>
      <c r="K84" s="120">
        <v>0</v>
      </c>
      <c r="L84" s="19">
        <f>F84*K84</f>
        <v>0</v>
      </c>
      <c r="M84" s="32"/>
      <c r="P84" s="37">
        <f>IF(AG84="5",J84,0)</f>
        <v>0</v>
      </c>
      <c r="R84" s="37">
        <f>IF(AG84="1",H84,0)</f>
        <v>0</v>
      </c>
      <c r="S84" s="37">
        <f>IF(AG84="1",I84,0)</f>
        <v>0</v>
      </c>
      <c r="T84" s="37">
        <f>IF(AG84="7",H84,0)</f>
        <v>0</v>
      </c>
      <c r="U84" s="37">
        <f>IF(AG84="7",I84,0)</f>
        <v>0</v>
      </c>
      <c r="V84" s="37">
        <f>IF(AG84="2",H84,0)</f>
        <v>0</v>
      </c>
      <c r="W84" s="37">
        <f>IF(AG84="2",I84,0)</f>
        <v>0</v>
      </c>
      <c r="X84" s="37">
        <f>IF(AG84="0",J84,0)</f>
        <v>0</v>
      </c>
      <c r="Y84" s="28" t="s">
        <v>76</v>
      </c>
      <c r="Z84" s="19">
        <f>IF(AD84=0,J84,0)</f>
        <v>0</v>
      </c>
      <c r="AA84" s="19">
        <f>IF(AD84=15,J84,0)</f>
        <v>0</v>
      </c>
      <c r="AB84" s="19">
        <f>IF(AD84=21,J84,0)</f>
        <v>0</v>
      </c>
      <c r="AD84" s="37">
        <v>15</v>
      </c>
      <c r="AE84" s="37">
        <f>G84*1</f>
        <v>0</v>
      </c>
      <c r="AF84" s="37">
        <f>G84*(1-1)</f>
        <v>0</v>
      </c>
      <c r="AG84" s="32" t="s">
        <v>7</v>
      </c>
      <c r="AM84" s="37">
        <f>F84*AE84</f>
        <v>0</v>
      </c>
      <c r="AN84" s="37">
        <f>F84*AF84</f>
        <v>0</v>
      </c>
      <c r="AO84" s="38" t="s">
        <v>272</v>
      </c>
      <c r="AP84" s="38" t="s">
        <v>292</v>
      </c>
      <c r="AQ84" s="28" t="s">
        <v>295</v>
      </c>
      <c r="AS84" s="37">
        <f>AM84+AN84</f>
        <v>0</v>
      </c>
      <c r="AT84" s="37">
        <f>G84/(100-AU84)*100</f>
        <v>0</v>
      </c>
      <c r="AU84" s="37">
        <v>0</v>
      </c>
      <c r="AV84" s="37">
        <f>L84</f>
        <v>0</v>
      </c>
    </row>
    <row r="85" spans="1:48" ht="12.75">
      <c r="A85" s="5" t="s">
        <v>57</v>
      </c>
      <c r="B85" s="5" t="s">
        <v>76</v>
      </c>
      <c r="C85" s="5" t="s">
        <v>131</v>
      </c>
      <c r="D85" s="5" t="s">
        <v>212</v>
      </c>
      <c r="E85" s="5" t="s">
        <v>232</v>
      </c>
      <c r="F85" s="19">
        <v>3</v>
      </c>
      <c r="G85" s="120">
        <v>0</v>
      </c>
      <c r="H85" s="19">
        <f>F85*AE85</f>
        <v>0</v>
      </c>
      <c r="I85" s="19">
        <f>J85-H85</f>
        <v>0</v>
      </c>
      <c r="J85" s="19">
        <f>F85*G85</f>
        <v>0</v>
      </c>
      <c r="K85" s="120">
        <v>0</v>
      </c>
      <c r="L85" s="19">
        <f>F85*K85</f>
        <v>0</v>
      </c>
      <c r="M85" s="32"/>
      <c r="P85" s="37">
        <f>IF(AG85="5",J85,0)</f>
        <v>0</v>
      </c>
      <c r="R85" s="37">
        <f>IF(AG85="1",H85,0)</f>
        <v>0</v>
      </c>
      <c r="S85" s="37">
        <f>IF(AG85="1",I85,0)</f>
        <v>0</v>
      </c>
      <c r="T85" s="37">
        <f>IF(AG85="7",H85,0)</f>
        <v>0</v>
      </c>
      <c r="U85" s="37">
        <f>IF(AG85="7",I85,0)</f>
        <v>0</v>
      </c>
      <c r="V85" s="37">
        <f>IF(AG85="2",H85,0)</f>
        <v>0</v>
      </c>
      <c r="W85" s="37">
        <f>IF(AG85="2",I85,0)</f>
        <v>0</v>
      </c>
      <c r="X85" s="37">
        <f>IF(AG85="0",J85,0)</f>
        <v>0</v>
      </c>
      <c r="Y85" s="28" t="s">
        <v>76</v>
      </c>
      <c r="Z85" s="19">
        <f>IF(AD85=0,J85,0)</f>
        <v>0</v>
      </c>
      <c r="AA85" s="19">
        <f>IF(AD85=15,J85,0)</f>
        <v>0</v>
      </c>
      <c r="AB85" s="19">
        <f>IF(AD85=21,J85,0)</f>
        <v>0</v>
      </c>
      <c r="AD85" s="37">
        <v>15</v>
      </c>
      <c r="AE85" s="37">
        <f>G85*1</f>
        <v>0</v>
      </c>
      <c r="AF85" s="37">
        <f>G85*(1-1)</f>
        <v>0</v>
      </c>
      <c r="AG85" s="32" t="s">
        <v>7</v>
      </c>
      <c r="AM85" s="37">
        <f>F85*AE85</f>
        <v>0</v>
      </c>
      <c r="AN85" s="37">
        <f>F85*AF85</f>
        <v>0</v>
      </c>
      <c r="AO85" s="38" t="s">
        <v>272</v>
      </c>
      <c r="AP85" s="38" t="s">
        <v>292</v>
      </c>
      <c r="AQ85" s="28" t="s">
        <v>295</v>
      </c>
      <c r="AS85" s="37">
        <f>AM85+AN85</f>
        <v>0</v>
      </c>
      <c r="AT85" s="37">
        <f>G85/(100-AU85)*100</f>
        <v>0</v>
      </c>
      <c r="AU85" s="37">
        <v>0</v>
      </c>
      <c r="AV85" s="37">
        <f>L85</f>
        <v>0</v>
      </c>
    </row>
    <row r="86" spans="1:48" ht="12.75">
      <c r="A86" s="5" t="s">
        <v>58</v>
      </c>
      <c r="B86" s="5" t="s">
        <v>76</v>
      </c>
      <c r="C86" s="5" t="s">
        <v>132</v>
      </c>
      <c r="D86" s="5" t="s">
        <v>213</v>
      </c>
      <c r="E86" s="5" t="s">
        <v>232</v>
      </c>
      <c r="F86" s="19">
        <v>3</v>
      </c>
      <c r="G86" s="120">
        <v>0</v>
      </c>
      <c r="H86" s="19">
        <f>F86*AE86</f>
        <v>0</v>
      </c>
      <c r="I86" s="19">
        <f>J86-H86</f>
        <v>0</v>
      </c>
      <c r="J86" s="19">
        <f>F86*G86</f>
        <v>0</v>
      </c>
      <c r="K86" s="120">
        <v>0</v>
      </c>
      <c r="L86" s="19">
        <f>F86*K86</f>
        <v>0</v>
      </c>
      <c r="M86" s="32"/>
      <c r="P86" s="37">
        <f>IF(AG86="5",J86,0)</f>
        <v>0</v>
      </c>
      <c r="R86" s="37">
        <f>IF(AG86="1",H86,0)</f>
        <v>0</v>
      </c>
      <c r="S86" s="37">
        <f>IF(AG86="1",I86,0)</f>
        <v>0</v>
      </c>
      <c r="T86" s="37">
        <f>IF(AG86="7",H86,0)</f>
        <v>0</v>
      </c>
      <c r="U86" s="37">
        <f>IF(AG86="7",I86,0)</f>
        <v>0</v>
      </c>
      <c r="V86" s="37">
        <f>IF(AG86="2",H86,0)</f>
        <v>0</v>
      </c>
      <c r="W86" s="37">
        <f>IF(AG86="2",I86,0)</f>
        <v>0</v>
      </c>
      <c r="X86" s="37">
        <f>IF(AG86="0",J86,0)</f>
        <v>0</v>
      </c>
      <c r="Y86" s="28" t="s">
        <v>76</v>
      </c>
      <c r="Z86" s="19">
        <f>IF(AD86=0,J86,0)</f>
        <v>0</v>
      </c>
      <c r="AA86" s="19">
        <f>IF(AD86=15,J86,0)</f>
        <v>0</v>
      </c>
      <c r="AB86" s="19">
        <f>IF(AD86=21,J86,0)</f>
        <v>0</v>
      </c>
      <c r="AD86" s="37">
        <v>15</v>
      </c>
      <c r="AE86" s="37">
        <f>G86*1</f>
        <v>0</v>
      </c>
      <c r="AF86" s="37">
        <f>G86*(1-1)</f>
        <v>0</v>
      </c>
      <c r="AG86" s="32" t="s">
        <v>7</v>
      </c>
      <c r="AM86" s="37">
        <f>F86*AE86</f>
        <v>0</v>
      </c>
      <c r="AN86" s="37">
        <f>F86*AF86</f>
        <v>0</v>
      </c>
      <c r="AO86" s="38" t="s">
        <v>272</v>
      </c>
      <c r="AP86" s="38" t="s">
        <v>292</v>
      </c>
      <c r="AQ86" s="28" t="s">
        <v>295</v>
      </c>
      <c r="AS86" s="37">
        <f>AM86+AN86</f>
        <v>0</v>
      </c>
      <c r="AT86" s="37">
        <f>G86/(100-AU86)*100</f>
        <v>0</v>
      </c>
      <c r="AU86" s="37">
        <v>0</v>
      </c>
      <c r="AV86" s="37">
        <f>L86</f>
        <v>0</v>
      </c>
    </row>
    <row r="87" spans="1:48" ht="12.75">
      <c r="A87" s="5" t="s">
        <v>59</v>
      </c>
      <c r="B87" s="5" t="s">
        <v>76</v>
      </c>
      <c r="C87" s="5" t="s">
        <v>76</v>
      </c>
      <c r="D87" s="5" t="s">
        <v>214</v>
      </c>
      <c r="E87" s="5" t="s">
        <v>232</v>
      </c>
      <c r="F87" s="19">
        <v>24</v>
      </c>
      <c r="G87" s="120">
        <v>0</v>
      </c>
      <c r="H87" s="19">
        <f>F87*AE87</f>
        <v>0</v>
      </c>
      <c r="I87" s="19">
        <f>J87-H87</f>
        <v>0</v>
      </c>
      <c r="J87" s="19">
        <f>F87*G87</f>
        <v>0</v>
      </c>
      <c r="K87" s="120">
        <v>0</v>
      </c>
      <c r="L87" s="19">
        <f>F87*K87</f>
        <v>0</v>
      </c>
      <c r="M87" s="32"/>
      <c r="P87" s="37">
        <f>IF(AG87="5",J87,0)</f>
        <v>0</v>
      </c>
      <c r="R87" s="37">
        <f>IF(AG87="1",H87,0)</f>
        <v>0</v>
      </c>
      <c r="S87" s="37">
        <f>IF(AG87="1",I87,0)</f>
        <v>0</v>
      </c>
      <c r="T87" s="37">
        <f>IF(AG87="7",H87,0)</f>
        <v>0</v>
      </c>
      <c r="U87" s="37">
        <f>IF(AG87="7",I87,0)</f>
        <v>0</v>
      </c>
      <c r="V87" s="37">
        <f>IF(AG87="2",H87,0)</f>
        <v>0</v>
      </c>
      <c r="W87" s="37">
        <f>IF(AG87="2",I87,0)</f>
        <v>0</v>
      </c>
      <c r="X87" s="37">
        <f>IF(AG87="0",J87,0)</f>
        <v>0</v>
      </c>
      <c r="Y87" s="28" t="s">
        <v>76</v>
      </c>
      <c r="Z87" s="19">
        <f>IF(AD87=0,J87,0)</f>
        <v>0</v>
      </c>
      <c r="AA87" s="19">
        <f>IF(AD87=15,J87,0)</f>
        <v>0</v>
      </c>
      <c r="AB87" s="19">
        <f>IF(AD87=21,J87,0)</f>
        <v>0</v>
      </c>
      <c r="AD87" s="37">
        <v>15</v>
      </c>
      <c r="AE87" s="37">
        <f>G87*1</f>
        <v>0</v>
      </c>
      <c r="AF87" s="37">
        <f>G87*(1-1)</f>
        <v>0</v>
      </c>
      <c r="AG87" s="32" t="s">
        <v>7</v>
      </c>
      <c r="AM87" s="37">
        <f>F87*AE87</f>
        <v>0</v>
      </c>
      <c r="AN87" s="37">
        <f>F87*AF87</f>
        <v>0</v>
      </c>
      <c r="AO87" s="38" t="s">
        <v>272</v>
      </c>
      <c r="AP87" s="38" t="s">
        <v>292</v>
      </c>
      <c r="AQ87" s="28" t="s">
        <v>295</v>
      </c>
      <c r="AS87" s="37">
        <f>AM87+AN87</f>
        <v>0</v>
      </c>
      <c r="AT87" s="37">
        <f>G87/(100-AU87)*100</f>
        <v>0</v>
      </c>
      <c r="AU87" s="37">
        <v>0</v>
      </c>
      <c r="AV87" s="37">
        <f>L87</f>
        <v>0</v>
      </c>
    </row>
    <row r="88" spans="1:13" ht="12.75">
      <c r="A88" s="6"/>
      <c r="B88" s="15" t="s">
        <v>77</v>
      </c>
      <c r="C88" s="15"/>
      <c r="D88" s="15" t="s">
        <v>215</v>
      </c>
      <c r="E88" s="6" t="s">
        <v>6</v>
      </c>
      <c r="F88" s="6" t="s">
        <v>6</v>
      </c>
      <c r="G88" s="121" t="s">
        <v>6</v>
      </c>
      <c r="H88" s="41">
        <f>H89+H91+H93+H95+H97+H99</f>
        <v>0</v>
      </c>
      <c r="I88" s="41">
        <f>I89+I91+I93+I95+I97+I99</f>
        <v>0</v>
      </c>
      <c r="J88" s="41">
        <f>H88+I88</f>
        <v>0</v>
      </c>
      <c r="K88" s="126"/>
      <c r="L88" s="41">
        <f>L89+L91+L93+L95+L97+L99</f>
        <v>0</v>
      </c>
      <c r="M88" s="29"/>
    </row>
    <row r="89" spans="1:37" ht="12.75">
      <c r="A89" s="4"/>
      <c r="B89" s="14" t="s">
        <v>77</v>
      </c>
      <c r="C89" s="14" t="s">
        <v>133</v>
      </c>
      <c r="D89" s="14" t="s">
        <v>152</v>
      </c>
      <c r="E89" s="4" t="s">
        <v>6</v>
      </c>
      <c r="F89" s="4" t="s">
        <v>6</v>
      </c>
      <c r="G89" s="119" t="s">
        <v>6</v>
      </c>
      <c r="H89" s="40">
        <f>SUM(H90:H90)</f>
        <v>0</v>
      </c>
      <c r="I89" s="40">
        <f>SUM(I90:I90)</f>
        <v>0</v>
      </c>
      <c r="J89" s="40">
        <f>H89+I89</f>
        <v>0</v>
      </c>
      <c r="K89" s="125"/>
      <c r="L89" s="40">
        <f>SUM(L90:L90)</f>
        <v>0</v>
      </c>
      <c r="M89" s="28"/>
      <c r="Y89" s="28" t="s">
        <v>77</v>
      </c>
      <c r="AI89" s="40">
        <f>SUM(Z90:Z90)</f>
        <v>0</v>
      </c>
      <c r="AJ89" s="40">
        <f>SUM(AA90:AA90)</f>
        <v>0</v>
      </c>
      <c r="AK89" s="40">
        <f>SUM(AB90:AB90)</f>
        <v>0</v>
      </c>
    </row>
    <row r="90" spans="1:48" ht="12.75">
      <c r="A90" s="5" t="s">
        <v>60</v>
      </c>
      <c r="B90" s="5" t="s">
        <v>77</v>
      </c>
      <c r="C90" s="5" t="s">
        <v>134</v>
      </c>
      <c r="D90" s="5" t="s">
        <v>216</v>
      </c>
      <c r="E90" s="5" t="s">
        <v>233</v>
      </c>
      <c r="F90" s="19">
        <v>1426.8</v>
      </c>
      <c r="G90" s="120">
        <v>0</v>
      </c>
      <c r="H90" s="19">
        <f>F90*AE90</f>
        <v>0</v>
      </c>
      <c r="I90" s="19">
        <f>J90-H90</f>
        <v>0</v>
      </c>
      <c r="J90" s="19">
        <f>F90*G90</f>
        <v>0</v>
      </c>
      <c r="K90" s="120">
        <v>0</v>
      </c>
      <c r="L90" s="19">
        <f>F90*K90</f>
        <v>0</v>
      </c>
      <c r="M90" s="32"/>
      <c r="P90" s="37">
        <f>IF(AG90="5",J90,0)</f>
        <v>0</v>
      </c>
      <c r="R90" s="37">
        <f>IF(AG90="1",H90,0)</f>
        <v>0</v>
      </c>
      <c r="S90" s="37">
        <f>IF(AG90="1",I90,0)</f>
        <v>0</v>
      </c>
      <c r="T90" s="37">
        <f>IF(AG90="7",H90,0)</f>
        <v>0</v>
      </c>
      <c r="U90" s="37">
        <f>IF(AG90="7",I90,0)</f>
        <v>0</v>
      </c>
      <c r="V90" s="37">
        <f>IF(AG90="2",H90,0)</f>
        <v>0</v>
      </c>
      <c r="W90" s="37">
        <f>IF(AG90="2",I90,0)</f>
        <v>0</v>
      </c>
      <c r="X90" s="37">
        <f>IF(AG90="0",J90,0)</f>
        <v>0</v>
      </c>
      <c r="Y90" s="28" t="s">
        <v>77</v>
      </c>
      <c r="Z90" s="19">
        <f>IF(AD90=0,J90,0)</f>
        <v>0</v>
      </c>
      <c r="AA90" s="19">
        <f>IF(AD90=15,J90,0)</f>
        <v>0</v>
      </c>
      <c r="AB90" s="19">
        <f>IF(AD90=21,J90,0)</f>
        <v>0</v>
      </c>
      <c r="AD90" s="37">
        <v>15</v>
      </c>
      <c r="AE90" s="37">
        <f>G90*0</f>
        <v>0</v>
      </c>
      <c r="AF90" s="37">
        <f>G90*(1-0)</f>
        <v>0</v>
      </c>
      <c r="AG90" s="32" t="s">
        <v>11</v>
      </c>
      <c r="AM90" s="37">
        <f>F90*AE90</f>
        <v>0</v>
      </c>
      <c r="AN90" s="37">
        <f>F90*AF90</f>
        <v>0</v>
      </c>
      <c r="AO90" s="38" t="s">
        <v>273</v>
      </c>
      <c r="AP90" s="38" t="s">
        <v>293</v>
      </c>
      <c r="AQ90" s="28" t="s">
        <v>296</v>
      </c>
      <c r="AS90" s="37">
        <f>AM90+AN90</f>
        <v>0</v>
      </c>
      <c r="AT90" s="37">
        <f>G90/(100-AU90)*100</f>
        <v>0</v>
      </c>
      <c r="AU90" s="37">
        <v>0</v>
      </c>
      <c r="AV90" s="37">
        <f>L90</f>
        <v>0</v>
      </c>
    </row>
    <row r="91" spans="1:37" ht="12.75">
      <c r="A91" s="4"/>
      <c r="B91" s="14" t="s">
        <v>77</v>
      </c>
      <c r="C91" s="14" t="s">
        <v>135</v>
      </c>
      <c r="D91" s="14" t="s">
        <v>158</v>
      </c>
      <c r="E91" s="4" t="s">
        <v>6</v>
      </c>
      <c r="F91" s="4" t="s">
        <v>6</v>
      </c>
      <c r="G91" s="119" t="s">
        <v>6</v>
      </c>
      <c r="H91" s="40">
        <f>SUM(H92:H92)</f>
        <v>0</v>
      </c>
      <c r="I91" s="40">
        <f>SUM(I92:I92)</f>
        <v>0</v>
      </c>
      <c r="J91" s="40">
        <f>H91+I91</f>
        <v>0</v>
      </c>
      <c r="K91" s="125"/>
      <c r="L91" s="40">
        <f>SUM(L92:L92)</f>
        <v>0</v>
      </c>
      <c r="M91" s="28"/>
      <c r="Y91" s="28" t="s">
        <v>77</v>
      </c>
      <c r="AI91" s="40">
        <f>SUM(Z92:Z92)</f>
        <v>0</v>
      </c>
      <c r="AJ91" s="40">
        <f>SUM(AA92:AA92)</f>
        <v>0</v>
      </c>
      <c r="AK91" s="40">
        <f>SUM(AB92:AB92)</f>
        <v>0</v>
      </c>
    </row>
    <row r="92" spans="1:48" ht="12.75">
      <c r="A92" s="5" t="s">
        <v>61</v>
      </c>
      <c r="B92" s="5" t="s">
        <v>77</v>
      </c>
      <c r="C92" s="5" t="s">
        <v>136</v>
      </c>
      <c r="D92" s="5" t="s">
        <v>217</v>
      </c>
      <c r="E92" s="5" t="s">
        <v>233</v>
      </c>
      <c r="F92" s="19">
        <v>27</v>
      </c>
      <c r="G92" s="120">
        <v>0</v>
      </c>
      <c r="H92" s="19">
        <f>F92*AE92</f>
        <v>0</v>
      </c>
      <c r="I92" s="19">
        <f>J92-H92</f>
        <v>0</v>
      </c>
      <c r="J92" s="19">
        <f>F92*G92</f>
        <v>0</v>
      </c>
      <c r="K92" s="120">
        <v>0</v>
      </c>
      <c r="L92" s="19">
        <f>F92*K92</f>
        <v>0</v>
      </c>
      <c r="M92" s="32"/>
      <c r="P92" s="37">
        <f>IF(AG92="5",J92,0)</f>
        <v>0</v>
      </c>
      <c r="R92" s="37">
        <f>IF(AG92="1",H92,0)</f>
        <v>0</v>
      </c>
      <c r="S92" s="37">
        <f>IF(AG92="1",I92,0)</f>
        <v>0</v>
      </c>
      <c r="T92" s="37">
        <f>IF(AG92="7",H92,0)</f>
        <v>0</v>
      </c>
      <c r="U92" s="37">
        <f>IF(AG92="7",I92,0)</f>
        <v>0</v>
      </c>
      <c r="V92" s="37">
        <f>IF(AG92="2",H92,0)</f>
        <v>0</v>
      </c>
      <c r="W92" s="37">
        <f>IF(AG92="2",I92,0)</f>
        <v>0</v>
      </c>
      <c r="X92" s="37">
        <f>IF(AG92="0",J92,0)</f>
        <v>0</v>
      </c>
      <c r="Y92" s="28" t="s">
        <v>77</v>
      </c>
      <c r="Z92" s="19">
        <f>IF(AD92=0,J92,0)</f>
        <v>0</v>
      </c>
      <c r="AA92" s="19">
        <f>IF(AD92=15,J92,0)</f>
        <v>0</v>
      </c>
      <c r="AB92" s="19">
        <f>IF(AD92=21,J92,0)</f>
        <v>0</v>
      </c>
      <c r="AD92" s="37">
        <v>15</v>
      </c>
      <c r="AE92" s="37">
        <f>G92*0</f>
        <v>0</v>
      </c>
      <c r="AF92" s="37">
        <f>G92*(1-0)</f>
        <v>0</v>
      </c>
      <c r="AG92" s="32" t="s">
        <v>11</v>
      </c>
      <c r="AM92" s="37">
        <f>F92*AE92</f>
        <v>0</v>
      </c>
      <c r="AN92" s="37">
        <f>F92*AF92</f>
        <v>0</v>
      </c>
      <c r="AO92" s="38" t="s">
        <v>274</v>
      </c>
      <c r="AP92" s="38" t="s">
        <v>293</v>
      </c>
      <c r="AQ92" s="28" t="s">
        <v>296</v>
      </c>
      <c r="AS92" s="37">
        <f>AM92+AN92</f>
        <v>0</v>
      </c>
      <c r="AT92" s="37">
        <f>G92/(100-AU92)*100</f>
        <v>0</v>
      </c>
      <c r="AU92" s="37">
        <v>0</v>
      </c>
      <c r="AV92" s="37">
        <f>L92</f>
        <v>0</v>
      </c>
    </row>
    <row r="93" spans="1:37" ht="12.75">
      <c r="A93" s="4"/>
      <c r="B93" s="14" t="s">
        <v>77</v>
      </c>
      <c r="C93" s="14" t="s">
        <v>137</v>
      </c>
      <c r="D93" s="14" t="s">
        <v>162</v>
      </c>
      <c r="E93" s="4" t="s">
        <v>6</v>
      </c>
      <c r="F93" s="4" t="s">
        <v>6</v>
      </c>
      <c r="G93" s="119" t="s">
        <v>6</v>
      </c>
      <c r="H93" s="40">
        <f>SUM(H94:H94)</f>
        <v>0</v>
      </c>
      <c r="I93" s="40">
        <f>SUM(I94:I94)</f>
        <v>0</v>
      </c>
      <c r="J93" s="40">
        <f>H93+I93</f>
        <v>0</v>
      </c>
      <c r="K93" s="125"/>
      <c r="L93" s="40">
        <f>SUM(L94:L94)</f>
        <v>0</v>
      </c>
      <c r="M93" s="28"/>
      <c r="Y93" s="28" t="s">
        <v>77</v>
      </c>
      <c r="AI93" s="40">
        <f>SUM(Z94:Z94)</f>
        <v>0</v>
      </c>
      <c r="AJ93" s="40">
        <f>SUM(AA94:AA94)</f>
        <v>0</v>
      </c>
      <c r="AK93" s="40">
        <f>SUM(AB94:AB94)</f>
        <v>0</v>
      </c>
    </row>
    <row r="94" spans="1:48" ht="12.75">
      <c r="A94" s="5" t="s">
        <v>62</v>
      </c>
      <c r="B94" s="5" t="s">
        <v>77</v>
      </c>
      <c r="C94" s="5" t="s">
        <v>138</v>
      </c>
      <c r="D94" s="5" t="s">
        <v>218</v>
      </c>
      <c r="E94" s="5" t="s">
        <v>233</v>
      </c>
      <c r="F94" s="19">
        <v>537.57</v>
      </c>
      <c r="G94" s="120">
        <v>0</v>
      </c>
      <c r="H94" s="19">
        <f>F94*AE94</f>
        <v>0</v>
      </c>
      <c r="I94" s="19">
        <f>J94-H94</f>
        <v>0</v>
      </c>
      <c r="J94" s="19">
        <f>F94*G94</f>
        <v>0</v>
      </c>
      <c r="K94" s="120">
        <v>0</v>
      </c>
      <c r="L94" s="19">
        <f>F94*K94</f>
        <v>0</v>
      </c>
      <c r="M94" s="32"/>
      <c r="P94" s="37">
        <f>IF(AG94="5",J94,0)</f>
        <v>0</v>
      </c>
      <c r="R94" s="37">
        <f>IF(AG94="1",H94,0)</f>
        <v>0</v>
      </c>
      <c r="S94" s="37">
        <f>IF(AG94="1",I94,0)</f>
        <v>0</v>
      </c>
      <c r="T94" s="37">
        <f>IF(AG94="7",H94,0)</f>
        <v>0</v>
      </c>
      <c r="U94" s="37">
        <f>IF(AG94="7",I94,0)</f>
        <v>0</v>
      </c>
      <c r="V94" s="37">
        <f>IF(AG94="2",H94,0)</f>
        <v>0</v>
      </c>
      <c r="W94" s="37">
        <f>IF(AG94="2",I94,0)</f>
        <v>0</v>
      </c>
      <c r="X94" s="37">
        <f>IF(AG94="0",J94,0)</f>
        <v>0</v>
      </c>
      <c r="Y94" s="28" t="s">
        <v>77</v>
      </c>
      <c r="Z94" s="19">
        <f>IF(AD94=0,J94,0)</f>
        <v>0</v>
      </c>
      <c r="AA94" s="19">
        <f>IF(AD94=15,J94,0)</f>
        <v>0</v>
      </c>
      <c r="AB94" s="19">
        <f>IF(AD94=21,J94,0)</f>
        <v>0</v>
      </c>
      <c r="AD94" s="37">
        <v>15</v>
      </c>
      <c r="AE94" s="37">
        <f>G94*0</f>
        <v>0</v>
      </c>
      <c r="AF94" s="37">
        <f>G94*(1-0)</f>
        <v>0</v>
      </c>
      <c r="AG94" s="32" t="s">
        <v>11</v>
      </c>
      <c r="AM94" s="37">
        <f>F94*AE94</f>
        <v>0</v>
      </c>
      <c r="AN94" s="37">
        <f>F94*AF94</f>
        <v>0</v>
      </c>
      <c r="AO94" s="38" t="s">
        <v>275</v>
      </c>
      <c r="AP94" s="38" t="s">
        <v>293</v>
      </c>
      <c r="AQ94" s="28" t="s">
        <v>296</v>
      </c>
      <c r="AS94" s="37">
        <f>AM94+AN94</f>
        <v>0</v>
      </c>
      <c r="AT94" s="37">
        <f>G94/(100-AU94)*100</f>
        <v>0</v>
      </c>
      <c r="AU94" s="37">
        <v>0</v>
      </c>
      <c r="AV94" s="37">
        <f>L94</f>
        <v>0</v>
      </c>
    </row>
    <row r="95" spans="1:37" ht="12.75">
      <c r="A95" s="4"/>
      <c r="B95" s="14" t="s">
        <v>77</v>
      </c>
      <c r="C95" s="14" t="s">
        <v>139</v>
      </c>
      <c r="D95" s="14" t="s">
        <v>170</v>
      </c>
      <c r="E95" s="4" t="s">
        <v>6</v>
      </c>
      <c r="F95" s="4" t="s">
        <v>6</v>
      </c>
      <c r="G95" s="119" t="s">
        <v>6</v>
      </c>
      <c r="H95" s="40">
        <f>SUM(H96:H96)</f>
        <v>0</v>
      </c>
      <c r="I95" s="40">
        <f>SUM(I96:I96)</f>
        <v>0</v>
      </c>
      <c r="J95" s="40">
        <f>H95+I95</f>
        <v>0</v>
      </c>
      <c r="K95" s="125"/>
      <c r="L95" s="40">
        <f>SUM(L96:L96)</f>
        <v>0</v>
      </c>
      <c r="M95" s="28"/>
      <c r="Y95" s="28" t="s">
        <v>77</v>
      </c>
      <c r="AI95" s="40">
        <f>SUM(Z96:Z96)</f>
        <v>0</v>
      </c>
      <c r="AJ95" s="40">
        <f>SUM(AA96:AA96)</f>
        <v>0</v>
      </c>
      <c r="AK95" s="40">
        <f>SUM(AB96:AB96)</f>
        <v>0</v>
      </c>
    </row>
    <row r="96" spans="1:48" ht="12.75">
      <c r="A96" s="5" t="s">
        <v>63</v>
      </c>
      <c r="B96" s="5" t="s">
        <v>77</v>
      </c>
      <c r="C96" s="5" t="s">
        <v>140</v>
      </c>
      <c r="D96" s="5" t="s">
        <v>219</v>
      </c>
      <c r="E96" s="5" t="s">
        <v>233</v>
      </c>
      <c r="F96" s="19">
        <v>204.7</v>
      </c>
      <c r="G96" s="120">
        <v>0</v>
      </c>
      <c r="H96" s="19">
        <f>F96*AE96</f>
        <v>0</v>
      </c>
      <c r="I96" s="19">
        <f>J96-H96</f>
        <v>0</v>
      </c>
      <c r="J96" s="19">
        <f>F96*G96</f>
        <v>0</v>
      </c>
      <c r="K96" s="120">
        <v>0</v>
      </c>
      <c r="L96" s="19">
        <f>F96*K96</f>
        <v>0</v>
      </c>
      <c r="M96" s="32"/>
      <c r="P96" s="37">
        <f>IF(AG96="5",J96,0)</f>
        <v>0</v>
      </c>
      <c r="R96" s="37">
        <f>IF(AG96="1",H96,0)</f>
        <v>0</v>
      </c>
      <c r="S96" s="37">
        <f>IF(AG96="1",I96,0)</f>
        <v>0</v>
      </c>
      <c r="T96" s="37">
        <f>IF(AG96="7",H96,0)</f>
        <v>0</v>
      </c>
      <c r="U96" s="37">
        <f>IF(AG96="7",I96,0)</f>
        <v>0</v>
      </c>
      <c r="V96" s="37">
        <f>IF(AG96="2",H96,0)</f>
        <v>0</v>
      </c>
      <c r="W96" s="37">
        <f>IF(AG96="2",I96,0)</f>
        <v>0</v>
      </c>
      <c r="X96" s="37">
        <f>IF(AG96="0",J96,0)</f>
        <v>0</v>
      </c>
      <c r="Y96" s="28" t="s">
        <v>77</v>
      </c>
      <c r="Z96" s="19">
        <f>IF(AD96=0,J96,0)</f>
        <v>0</v>
      </c>
      <c r="AA96" s="19">
        <f>IF(AD96=15,J96,0)</f>
        <v>0</v>
      </c>
      <c r="AB96" s="19">
        <f>IF(AD96=21,J96,0)</f>
        <v>0</v>
      </c>
      <c r="AD96" s="37">
        <v>15</v>
      </c>
      <c r="AE96" s="37">
        <f>G96*0</f>
        <v>0</v>
      </c>
      <c r="AF96" s="37">
        <f>G96*(1-0)</f>
        <v>0</v>
      </c>
      <c r="AG96" s="32" t="s">
        <v>11</v>
      </c>
      <c r="AM96" s="37">
        <f>F96*AE96</f>
        <v>0</v>
      </c>
      <c r="AN96" s="37">
        <f>F96*AF96</f>
        <v>0</v>
      </c>
      <c r="AO96" s="38" t="s">
        <v>276</v>
      </c>
      <c r="AP96" s="38" t="s">
        <v>293</v>
      </c>
      <c r="AQ96" s="28" t="s">
        <v>296</v>
      </c>
      <c r="AS96" s="37">
        <f>AM96+AN96</f>
        <v>0</v>
      </c>
      <c r="AT96" s="37">
        <f>G96/(100-AU96)*100</f>
        <v>0</v>
      </c>
      <c r="AU96" s="37">
        <v>0</v>
      </c>
      <c r="AV96" s="37">
        <f>L96</f>
        <v>0</v>
      </c>
    </row>
    <row r="97" spans="1:37" ht="12.75">
      <c r="A97" s="4"/>
      <c r="B97" s="14" t="s">
        <v>77</v>
      </c>
      <c r="C97" s="14" t="s">
        <v>141</v>
      </c>
      <c r="D97" s="14" t="s">
        <v>189</v>
      </c>
      <c r="E97" s="4" t="s">
        <v>6</v>
      </c>
      <c r="F97" s="4" t="s">
        <v>6</v>
      </c>
      <c r="G97" s="119" t="s">
        <v>6</v>
      </c>
      <c r="H97" s="40">
        <f>SUM(H98:H98)</f>
        <v>0</v>
      </c>
      <c r="I97" s="40">
        <f>SUM(I98:I98)</f>
        <v>0</v>
      </c>
      <c r="J97" s="40">
        <f>H97+I97</f>
        <v>0</v>
      </c>
      <c r="K97" s="125"/>
      <c r="L97" s="40">
        <f>SUM(L98:L98)</f>
        <v>0</v>
      </c>
      <c r="M97" s="28"/>
      <c r="Y97" s="28" t="s">
        <v>77</v>
      </c>
      <c r="AI97" s="40">
        <f>SUM(Z98:Z98)</f>
        <v>0</v>
      </c>
      <c r="AJ97" s="40">
        <f>SUM(AA98:AA98)</f>
        <v>0</v>
      </c>
      <c r="AK97" s="40">
        <f>SUM(AB98:AB98)</f>
        <v>0</v>
      </c>
    </row>
    <row r="98" spans="1:48" ht="12.75">
      <c r="A98" s="5" t="s">
        <v>64</v>
      </c>
      <c r="B98" s="5" t="s">
        <v>77</v>
      </c>
      <c r="C98" s="5" t="s">
        <v>142</v>
      </c>
      <c r="D98" s="5" t="s">
        <v>220</v>
      </c>
      <c r="E98" s="5" t="s">
        <v>233</v>
      </c>
      <c r="F98" s="19">
        <v>552.36</v>
      </c>
      <c r="G98" s="120">
        <v>0</v>
      </c>
      <c r="H98" s="19">
        <f>F98*AE98</f>
        <v>0</v>
      </c>
      <c r="I98" s="19">
        <f>J98-H98</f>
        <v>0</v>
      </c>
      <c r="J98" s="19">
        <f>F98*G98</f>
        <v>0</v>
      </c>
      <c r="K98" s="120">
        <v>0</v>
      </c>
      <c r="L98" s="19">
        <f>F98*K98</f>
        <v>0</v>
      </c>
      <c r="M98" s="32"/>
      <c r="P98" s="37">
        <f>IF(AG98="5",J98,0)</f>
        <v>0</v>
      </c>
      <c r="R98" s="37">
        <f>IF(AG98="1",H98,0)</f>
        <v>0</v>
      </c>
      <c r="S98" s="37">
        <f>IF(AG98="1",I98,0)</f>
        <v>0</v>
      </c>
      <c r="T98" s="37">
        <f>IF(AG98="7",H98,0)</f>
        <v>0</v>
      </c>
      <c r="U98" s="37">
        <f>IF(AG98="7",I98,0)</f>
        <v>0</v>
      </c>
      <c r="V98" s="37">
        <f>IF(AG98="2",H98,0)</f>
        <v>0</v>
      </c>
      <c r="W98" s="37">
        <f>IF(AG98="2",I98,0)</f>
        <v>0</v>
      </c>
      <c r="X98" s="37">
        <f>IF(AG98="0",J98,0)</f>
        <v>0</v>
      </c>
      <c r="Y98" s="28" t="s">
        <v>77</v>
      </c>
      <c r="Z98" s="19">
        <f>IF(AD98=0,J98,0)</f>
        <v>0</v>
      </c>
      <c r="AA98" s="19">
        <f>IF(AD98=15,J98,0)</f>
        <v>0</v>
      </c>
      <c r="AB98" s="19">
        <f>IF(AD98=21,J98,0)</f>
        <v>0</v>
      </c>
      <c r="AD98" s="37">
        <v>15</v>
      </c>
      <c r="AE98" s="37">
        <f>G98*0</f>
        <v>0</v>
      </c>
      <c r="AF98" s="37">
        <f>G98*(1-0)</f>
        <v>0</v>
      </c>
      <c r="AG98" s="32" t="s">
        <v>11</v>
      </c>
      <c r="AM98" s="37">
        <f>F98*AE98</f>
        <v>0</v>
      </c>
      <c r="AN98" s="37">
        <f>F98*AF98</f>
        <v>0</v>
      </c>
      <c r="AO98" s="38" t="s">
        <v>277</v>
      </c>
      <c r="AP98" s="38" t="s">
        <v>293</v>
      </c>
      <c r="AQ98" s="28" t="s">
        <v>296</v>
      </c>
      <c r="AS98" s="37">
        <f>AM98+AN98</f>
        <v>0</v>
      </c>
      <c r="AT98" s="37">
        <f>G98/(100-AU98)*100</f>
        <v>0</v>
      </c>
      <c r="AU98" s="37">
        <v>0</v>
      </c>
      <c r="AV98" s="37">
        <f>L98</f>
        <v>0</v>
      </c>
    </row>
    <row r="99" spans="1:37" ht="12.75">
      <c r="A99" s="4"/>
      <c r="B99" s="14" t="s">
        <v>77</v>
      </c>
      <c r="C99" s="14" t="s">
        <v>143</v>
      </c>
      <c r="D99" s="14" t="s">
        <v>199</v>
      </c>
      <c r="E99" s="4" t="s">
        <v>6</v>
      </c>
      <c r="F99" s="4" t="s">
        <v>6</v>
      </c>
      <c r="G99" s="119" t="s">
        <v>6</v>
      </c>
      <c r="H99" s="40">
        <f>SUM(H100:H100)</f>
        <v>0</v>
      </c>
      <c r="I99" s="40">
        <f>SUM(I100:I100)</f>
        <v>0</v>
      </c>
      <c r="J99" s="40">
        <f>H99+I99</f>
        <v>0</v>
      </c>
      <c r="K99" s="125"/>
      <c r="L99" s="40">
        <f>SUM(L100:L100)</f>
        <v>0</v>
      </c>
      <c r="M99" s="28"/>
      <c r="Y99" s="28" t="s">
        <v>77</v>
      </c>
      <c r="AI99" s="40">
        <f>SUM(Z100:Z100)</f>
        <v>0</v>
      </c>
      <c r="AJ99" s="40">
        <f>SUM(AA100:AA100)</f>
        <v>0</v>
      </c>
      <c r="AK99" s="40">
        <f>SUM(AB100:AB100)</f>
        <v>0</v>
      </c>
    </row>
    <row r="100" spans="1:48" ht="12.75">
      <c r="A100" s="8" t="s">
        <v>65</v>
      </c>
      <c r="B100" s="8" t="s">
        <v>77</v>
      </c>
      <c r="C100" s="8" t="s">
        <v>144</v>
      </c>
      <c r="D100" s="8" t="s">
        <v>221</v>
      </c>
      <c r="E100" s="8" t="s">
        <v>233</v>
      </c>
      <c r="F100" s="21">
        <v>51.82</v>
      </c>
      <c r="G100" s="123">
        <v>0</v>
      </c>
      <c r="H100" s="21">
        <f>F100*AE100</f>
        <v>0</v>
      </c>
      <c r="I100" s="21">
        <f>J100-H100</f>
        <v>0</v>
      </c>
      <c r="J100" s="21">
        <f>F100*G100</f>
        <v>0</v>
      </c>
      <c r="K100" s="123">
        <v>0</v>
      </c>
      <c r="L100" s="21">
        <f>F100*K100</f>
        <v>0</v>
      </c>
      <c r="M100" s="34"/>
      <c r="P100" s="37">
        <f>IF(AG100="5",J100,0)</f>
        <v>0</v>
      </c>
      <c r="R100" s="37">
        <f>IF(AG100="1",H100,0)</f>
        <v>0</v>
      </c>
      <c r="S100" s="37">
        <f>IF(AG100="1",I100,0)</f>
        <v>0</v>
      </c>
      <c r="T100" s="37">
        <f>IF(AG100="7",H100,0)</f>
        <v>0</v>
      </c>
      <c r="U100" s="37">
        <f>IF(AG100="7",I100,0)</f>
        <v>0</v>
      </c>
      <c r="V100" s="37">
        <f>IF(AG100="2",H100,0)</f>
        <v>0</v>
      </c>
      <c r="W100" s="37">
        <f>IF(AG100="2",I100,0)</f>
        <v>0</v>
      </c>
      <c r="X100" s="37">
        <f>IF(AG100="0",J100,0)</f>
        <v>0</v>
      </c>
      <c r="Y100" s="28" t="s">
        <v>77</v>
      </c>
      <c r="Z100" s="19">
        <f>IF(AD100=0,J100,0)</f>
        <v>0</v>
      </c>
      <c r="AA100" s="19">
        <f>IF(AD100=15,J100,0)</f>
        <v>0</v>
      </c>
      <c r="AB100" s="19">
        <f>IF(AD100=21,J100,0)</f>
        <v>0</v>
      </c>
      <c r="AD100" s="37">
        <v>15</v>
      </c>
      <c r="AE100" s="37">
        <f>G100*0</f>
        <v>0</v>
      </c>
      <c r="AF100" s="37">
        <f>G100*(1-0)</f>
        <v>0</v>
      </c>
      <c r="AG100" s="32" t="s">
        <v>11</v>
      </c>
      <c r="AM100" s="37">
        <f>F100*AE100</f>
        <v>0</v>
      </c>
      <c r="AN100" s="37">
        <f>F100*AF100</f>
        <v>0</v>
      </c>
      <c r="AO100" s="38" t="s">
        <v>278</v>
      </c>
      <c r="AP100" s="38" t="s">
        <v>293</v>
      </c>
      <c r="AQ100" s="28" t="s">
        <v>296</v>
      </c>
      <c r="AS100" s="37">
        <f>AM100+AN100</f>
        <v>0</v>
      </c>
      <c r="AT100" s="37">
        <f>G100/(100-AU100)*100</f>
        <v>0</v>
      </c>
      <c r="AU100" s="37">
        <v>0</v>
      </c>
      <c r="AV100" s="37">
        <f>L100</f>
        <v>0</v>
      </c>
    </row>
    <row r="101" spans="1:13" ht="12.75">
      <c r="A101" s="9"/>
      <c r="B101" s="9"/>
      <c r="C101" s="9"/>
      <c r="D101" s="9"/>
      <c r="E101" s="9"/>
      <c r="F101" s="9"/>
      <c r="G101" s="9"/>
      <c r="H101" s="72" t="s">
        <v>240</v>
      </c>
      <c r="I101" s="73"/>
      <c r="J101" s="42">
        <f>J13+J16+J18+J23+J26+J29+J38+J49+J59+J63+J70+J72+J80+J83+J89+J91+J93+J95+J97+J99</f>
        <v>0</v>
      </c>
      <c r="K101" s="9"/>
      <c r="L101" s="9"/>
      <c r="M101" s="9"/>
    </row>
    <row r="102" ht="11.25" customHeight="1">
      <c r="A102" s="10" t="s">
        <v>66</v>
      </c>
    </row>
    <row r="103" spans="1:13" ht="12.75">
      <c r="A103" s="74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</row>
  </sheetData>
  <sheetProtection password="FB2E" sheet="1"/>
  <mergeCells count="2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H10:J10"/>
    <mergeCell ref="K10:L10"/>
    <mergeCell ref="H101:I101"/>
    <mergeCell ref="A103:M103"/>
    <mergeCell ref="A8:C9"/>
    <mergeCell ref="D8:D9"/>
    <mergeCell ref="E8:F9"/>
    <mergeCell ref="G8:H9"/>
    <mergeCell ref="I8:I9"/>
    <mergeCell ref="J8:M9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pane ySplit="10" topLeftCell="A32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27" t="s">
        <v>297</v>
      </c>
      <c r="B1" s="128"/>
      <c r="C1" s="128"/>
      <c r="D1" s="128"/>
      <c r="E1" s="128"/>
      <c r="F1" s="128"/>
      <c r="G1" s="128"/>
    </row>
    <row r="2" spans="1:8" ht="12.75">
      <c r="A2" s="85" t="s">
        <v>1</v>
      </c>
      <c r="B2" s="87" t="str">
        <f>'Stavební rozpočet'!D2</f>
        <v>Vytápění objektu SO-04 firmy Marwel s.r.o.</v>
      </c>
      <c r="C2" s="73"/>
      <c r="D2" s="90" t="s">
        <v>241</v>
      </c>
      <c r="E2" s="90" t="str">
        <f>'Stavební rozpočet'!J2</f>
        <v>Marwel s.r.o. Záříčí</v>
      </c>
      <c r="F2" s="86"/>
      <c r="G2" s="91"/>
      <c r="H2" s="35"/>
    </row>
    <row r="3" spans="1:8" ht="12.75">
      <c r="A3" s="82"/>
      <c r="B3" s="88"/>
      <c r="C3" s="88"/>
      <c r="D3" s="75"/>
      <c r="E3" s="75"/>
      <c r="F3" s="75"/>
      <c r="G3" s="80"/>
      <c r="H3" s="35"/>
    </row>
    <row r="4" spans="1:8" ht="12.75">
      <c r="A4" s="76" t="s">
        <v>2</v>
      </c>
      <c r="B4" s="74" t="str">
        <f>'Stavební rozpočet'!D4</f>
        <v>D 1.4.a - zařízení pro vytápění</v>
      </c>
      <c r="C4" s="75"/>
      <c r="D4" s="74" t="s">
        <v>242</v>
      </c>
      <c r="E4" s="74" t="str">
        <f>'Stavební rozpočet'!J4</f>
        <v>Spolprojekt,Jiráskova 839, Kroměříž</v>
      </c>
      <c r="F4" s="75"/>
      <c r="G4" s="80"/>
      <c r="H4" s="35"/>
    </row>
    <row r="5" spans="1:8" ht="12.75">
      <c r="A5" s="82"/>
      <c r="B5" s="75"/>
      <c r="C5" s="75"/>
      <c r="D5" s="75"/>
      <c r="E5" s="75"/>
      <c r="F5" s="75"/>
      <c r="G5" s="80"/>
      <c r="H5" s="35"/>
    </row>
    <row r="6" spans="1:8" ht="12.75">
      <c r="A6" s="76" t="s">
        <v>3</v>
      </c>
      <c r="B6" s="74" t="str">
        <f>'Stavební rozpočet'!D6</f>
        <v>Plučisko</v>
      </c>
      <c r="C6" s="75"/>
      <c r="D6" s="74" t="s">
        <v>243</v>
      </c>
      <c r="E6" s="74" t="str">
        <f>'Stavební rozpočet'!J6</f>
        <v> </v>
      </c>
      <c r="F6" s="75"/>
      <c r="G6" s="80"/>
      <c r="H6" s="35"/>
    </row>
    <row r="7" spans="1:8" ht="12.75">
      <c r="A7" s="82"/>
      <c r="B7" s="75"/>
      <c r="C7" s="75"/>
      <c r="D7" s="75"/>
      <c r="E7" s="75"/>
      <c r="F7" s="75"/>
      <c r="G7" s="80"/>
      <c r="H7" s="35"/>
    </row>
    <row r="8" spans="1:8" ht="12.75">
      <c r="A8" s="76" t="s">
        <v>244</v>
      </c>
      <c r="B8" s="74" t="str">
        <f>'Stavební rozpočet'!J8</f>
        <v>Bohuslav Řípa</v>
      </c>
      <c r="C8" s="75"/>
      <c r="D8" s="79" t="s">
        <v>225</v>
      </c>
      <c r="E8" s="74" t="str">
        <f>'Stavební rozpočet'!G8</f>
        <v>04.08.2019</v>
      </c>
      <c r="F8" s="75"/>
      <c r="G8" s="80"/>
      <c r="H8" s="35"/>
    </row>
    <row r="9" spans="1:8" ht="12.75">
      <c r="A9" s="77"/>
      <c r="B9" s="78"/>
      <c r="C9" s="78"/>
      <c r="D9" s="78"/>
      <c r="E9" s="78"/>
      <c r="F9" s="78"/>
      <c r="G9" s="81"/>
      <c r="H9" s="35"/>
    </row>
    <row r="10" spans="1:8" ht="12.75">
      <c r="A10" s="43" t="s">
        <v>67</v>
      </c>
      <c r="B10" s="45" t="s">
        <v>78</v>
      </c>
      <c r="C10" s="46" t="s">
        <v>148</v>
      </c>
      <c r="D10" s="47" t="s">
        <v>298</v>
      </c>
      <c r="E10" s="47" t="s">
        <v>299</v>
      </c>
      <c r="F10" s="47" t="s">
        <v>300</v>
      </c>
      <c r="G10" s="49" t="s">
        <v>301</v>
      </c>
      <c r="H10" s="36"/>
    </row>
    <row r="11" spans="1:9" ht="12.75">
      <c r="A11" s="44" t="s">
        <v>68</v>
      </c>
      <c r="B11" s="44"/>
      <c r="C11" s="44" t="s">
        <v>150</v>
      </c>
      <c r="D11" s="50">
        <f>'Stavební rozpočet'!H12</f>
        <v>0</v>
      </c>
      <c r="E11" s="50">
        <f>'Stavební rozpočet'!I12</f>
        <v>0</v>
      </c>
      <c r="F11" s="50">
        <f aca="true" t="shared" si="0" ref="F11:F40">D11+E11</f>
        <v>0</v>
      </c>
      <c r="G11" s="50">
        <f>'Stavební rozpočet'!L12</f>
        <v>0</v>
      </c>
      <c r="H11" s="37" t="s">
        <v>302</v>
      </c>
      <c r="I11" s="37">
        <f aca="true" t="shared" si="1" ref="I11:I40">IF(H11="F",0,F11)</f>
        <v>0</v>
      </c>
    </row>
    <row r="12" spans="1:9" ht="12.75">
      <c r="A12" s="17" t="s">
        <v>68</v>
      </c>
      <c r="B12" s="17" t="s">
        <v>79</v>
      </c>
      <c r="C12" s="17" t="s">
        <v>150</v>
      </c>
      <c r="D12" s="37">
        <f>'Stavební rozpočet'!H13</f>
        <v>0</v>
      </c>
      <c r="E12" s="37">
        <f>'Stavební rozpočet'!I13</f>
        <v>0</v>
      </c>
      <c r="F12" s="37">
        <f t="shared" si="0"/>
        <v>0</v>
      </c>
      <c r="G12" s="37">
        <f>'Stavební rozpočet'!L13</f>
        <v>0</v>
      </c>
      <c r="H12" s="37" t="s">
        <v>303</v>
      </c>
      <c r="I12" s="37">
        <f t="shared" si="1"/>
        <v>0</v>
      </c>
    </row>
    <row r="13" spans="1:9" ht="12.75">
      <c r="A13" s="17" t="s">
        <v>69</v>
      </c>
      <c r="B13" s="17"/>
      <c r="C13" s="17" t="s">
        <v>152</v>
      </c>
      <c r="D13" s="37">
        <f>'Stavební rozpočet'!H15</f>
        <v>0</v>
      </c>
      <c r="E13" s="37">
        <f>'Stavební rozpočet'!I15</f>
        <v>0</v>
      </c>
      <c r="F13" s="37">
        <f t="shared" si="0"/>
        <v>0</v>
      </c>
      <c r="G13" s="37">
        <f>'Stavební rozpočet'!L15</f>
        <v>0</v>
      </c>
      <c r="H13" s="37" t="s">
        <v>302</v>
      </c>
      <c r="I13" s="37">
        <f t="shared" si="1"/>
        <v>0</v>
      </c>
    </row>
    <row r="14" spans="1:9" ht="12.75">
      <c r="A14" s="17" t="s">
        <v>69</v>
      </c>
      <c r="B14" s="17" t="s">
        <v>69</v>
      </c>
      <c r="C14" s="17" t="s">
        <v>152</v>
      </c>
      <c r="D14" s="37">
        <f>'Stavební rozpočet'!H16</f>
        <v>0</v>
      </c>
      <c r="E14" s="37">
        <f>'Stavební rozpočet'!I16</f>
        <v>0</v>
      </c>
      <c r="F14" s="37">
        <f t="shared" si="0"/>
        <v>0</v>
      </c>
      <c r="G14" s="37">
        <f>'Stavební rozpočet'!L16</f>
        <v>0</v>
      </c>
      <c r="H14" s="37" t="s">
        <v>303</v>
      </c>
      <c r="I14" s="37">
        <f t="shared" si="1"/>
        <v>0</v>
      </c>
    </row>
    <row r="15" spans="1:9" ht="12.75">
      <c r="A15" s="17" t="s">
        <v>69</v>
      </c>
      <c r="B15" s="17"/>
      <c r="C15" s="17" t="s">
        <v>154</v>
      </c>
      <c r="D15" s="37">
        <f>'Stavební rozpočet'!H18</f>
        <v>0</v>
      </c>
      <c r="E15" s="37">
        <f>'Stavební rozpočet'!I18</f>
        <v>0</v>
      </c>
      <c r="F15" s="37">
        <f t="shared" si="0"/>
        <v>0</v>
      </c>
      <c r="G15" s="37">
        <f>'Stavební rozpočet'!L18</f>
        <v>0</v>
      </c>
      <c r="H15" s="37" t="s">
        <v>303</v>
      </c>
      <c r="I15" s="37">
        <f t="shared" si="1"/>
        <v>0</v>
      </c>
    </row>
    <row r="16" spans="1:9" ht="12.75">
      <c r="A16" s="17" t="s">
        <v>70</v>
      </c>
      <c r="B16" s="17"/>
      <c r="C16" s="17" t="s">
        <v>158</v>
      </c>
      <c r="D16" s="37">
        <f>'Stavební rozpočet'!H22</f>
        <v>0</v>
      </c>
      <c r="E16" s="37">
        <f>'Stavební rozpočet'!I22</f>
        <v>0</v>
      </c>
      <c r="F16" s="37">
        <f t="shared" si="0"/>
        <v>0</v>
      </c>
      <c r="G16" s="37">
        <f>'Stavební rozpočet'!L22</f>
        <v>0.00683</v>
      </c>
      <c r="H16" s="37" t="s">
        <v>302</v>
      </c>
      <c r="I16" s="37">
        <f t="shared" si="1"/>
        <v>0</v>
      </c>
    </row>
    <row r="17" spans="1:9" ht="12.75">
      <c r="A17" s="17" t="s">
        <v>70</v>
      </c>
      <c r="B17" s="17" t="s">
        <v>70</v>
      </c>
      <c r="C17" s="17" t="s">
        <v>158</v>
      </c>
      <c r="D17" s="37">
        <f>'Stavební rozpočet'!H23</f>
        <v>0</v>
      </c>
      <c r="E17" s="37">
        <f>'Stavební rozpočet'!I23</f>
        <v>0</v>
      </c>
      <c r="F17" s="37">
        <f t="shared" si="0"/>
        <v>0</v>
      </c>
      <c r="G17" s="37">
        <f>'Stavební rozpočet'!L23</f>
        <v>0.00683</v>
      </c>
      <c r="H17" s="37" t="s">
        <v>303</v>
      </c>
      <c r="I17" s="37">
        <f t="shared" si="1"/>
        <v>0</v>
      </c>
    </row>
    <row r="18" spans="1:9" ht="12.75">
      <c r="A18" s="17" t="s">
        <v>70</v>
      </c>
      <c r="B18" s="17"/>
      <c r="C18" s="17" t="s">
        <v>154</v>
      </c>
      <c r="D18" s="37">
        <f>'Stavební rozpočet'!H26</f>
        <v>0</v>
      </c>
      <c r="E18" s="37">
        <f>'Stavební rozpočet'!I26</f>
        <v>0</v>
      </c>
      <c r="F18" s="37">
        <f t="shared" si="0"/>
        <v>0</v>
      </c>
      <c r="G18" s="37">
        <f>'Stavební rozpočet'!L26</f>
        <v>0</v>
      </c>
      <c r="H18" s="37" t="s">
        <v>303</v>
      </c>
      <c r="I18" s="37">
        <f t="shared" si="1"/>
        <v>0</v>
      </c>
    </row>
    <row r="19" spans="1:9" ht="12.75">
      <c r="A19" s="17" t="s">
        <v>71</v>
      </c>
      <c r="B19" s="17"/>
      <c r="C19" s="17" t="s">
        <v>162</v>
      </c>
      <c r="D19" s="37">
        <f>'Stavební rozpočet'!H28</f>
        <v>0</v>
      </c>
      <c r="E19" s="37">
        <f>'Stavební rozpočet'!I28</f>
        <v>0</v>
      </c>
      <c r="F19" s="37">
        <f t="shared" si="0"/>
        <v>0</v>
      </c>
      <c r="G19" s="37">
        <f>'Stavební rozpočet'!L28</f>
        <v>0.13474</v>
      </c>
      <c r="H19" s="37" t="s">
        <v>302</v>
      </c>
      <c r="I19" s="37">
        <f t="shared" si="1"/>
        <v>0</v>
      </c>
    </row>
    <row r="20" spans="1:9" ht="12.75">
      <c r="A20" s="17" t="s">
        <v>71</v>
      </c>
      <c r="B20" s="17" t="s">
        <v>71</v>
      </c>
      <c r="C20" s="17" t="s">
        <v>162</v>
      </c>
      <c r="D20" s="37">
        <f>'Stavební rozpočet'!H29</f>
        <v>0</v>
      </c>
      <c r="E20" s="37">
        <f>'Stavební rozpočet'!I29</f>
        <v>0</v>
      </c>
      <c r="F20" s="37">
        <f t="shared" si="0"/>
        <v>0</v>
      </c>
      <c r="G20" s="37">
        <f>'Stavební rozpočet'!L29</f>
        <v>0.13474</v>
      </c>
      <c r="H20" s="37" t="s">
        <v>303</v>
      </c>
      <c r="I20" s="37">
        <f t="shared" si="1"/>
        <v>0</v>
      </c>
    </row>
    <row r="21" spans="1:9" ht="12.75">
      <c r="A21" s="17" t="s">
        <v>72</v>
      </c>
      <c r="B21" s="17"/>
      <c r="C21" s="17" t="s">
        <v>170</v>
      </c>
      <c r="D21" s="37">
        <f>'Stavební rozpočet'!H37</f>
        <v>0</v>
      </c>
      <c r="E21" s="37">
        <f>'Stavební rozpočet'!I37</f>
        <v>0</v>
      </c>
      <c r="F21" s="37">
        <f t="shared" si="0"/>
        <v>0</v>
      </c>
      <c r="G21" s="37">
        <f>'Stavební rozpočet'!L37</f>
        <v>0.00353</v>
      </c>
      <c r="H21" s="37" t="s">
        <v>302</v>
      </c>
      <c r="I21" s="37">
        <f t="shared" si="1"/>
        <v>0</v>
      </c>
    </row>
    <row r="22" spans="1:9" ht="12.75">
      <c r="A22" s="17" t="s">
        <v>72</v>
      </c>
      <c r="B22" s="17" t="s">
        <v>72</v>
      </c>
      <c r="C22" s="17" t="s">
        <v>170</v>
      </c>
      <c r="D22" s="37">
        <f>'Stavební rozpočet'!H38</f>
        <v>0</v>
      </c>
      <c r="E22" s="37">
        <f>'Stavební rozpočet'!I38</f>
        <v>0</v>
      </c>
      <c r="F22" s="37">
        <f t="shared" si="0"/>
        <v>0</v>
      </c>
      <c r="G22" s="37">
        <f>'Stavební rozpočet'!L38</f>
        <v>0.00353</v>
      </c>
      <c r="H22" s="37" t="s">
        <v>303</v>
      </c>
      <c r="I22" s="37">
        <f t="shared" si="1"/>
        <v>0</v>
      </c>
    </row>
    <row r="23" spans="1:9" ht="12.75">
      <c r="A23" s="17" t="s">
        <v>72</v>
      </c>
      <c r="B23" s="17"/>
      <c r="C23" s="17" t="s">
        <v>154</v>
      </c>
      <c r="D23" s="37">
        <f>'Stavební rozpočet'!H49</f>
        <v>0</v>
      </c>
      <c r="E23" s="37">
        <f>'Stavební rozpočet'!I49</f>
        <v>0</v>
      </c>
      <c r="F23" s="37">
        <f t="shared" si="0"/>
        <v>0</v>
      </c>
      <c r="G23" s="37">
        <f>'Stavební rozpočet'!L49</f>
        <v>0</v>
      </c>
      <c r="H23" s="37" t="s">
        <v>303</v>
      </c>
      <c r="I23" s="37">
        <f t="shared" si="1"/>
        <v>0</v>
      </c>
    </row>
    <row r="24" spans="1:9" ht="12.75">
      <c r="A24" s="17" t="s">
        <v>73</v>
      </c>
      <c r="B24" s="17"/>
      <c r="C24" s="17" t="s">
        <v>189</v>
      </c>
      <c r="D24" s="37">
        <f>'Stavební rozpočet'!H58</f>
        <v>0</v>
      </c>
      <c r="E24" s="37">
        <f>'Stavební rozpočet'!I58</f>
        <v>0</v>
      </c>
      <c r="F24" s="37">
        <f t="shared" si="0"/>
        <v>0</v>
      </c>
      <c r="G24" s="37">
        <f>'Stavební rozpočet'!L58</f>
        <v>0.24065999999999999</v>
      </c>
      <c r="H24" s="37" t="s">
        <v>302</v>
      </c>
      <c r="I24" s="37">
        <f t="shared" si="1"/>
        <v>0</v>
      </c>
    </row>
    <row r="25" spans="1:9" ht="12.75">
      <c r="A25" s="17" t="s">
        <v>73</v>
      </c>
      <c r="B25" s="17" t="s">
        <v>73</v>
      </c>
      <c r="C25" s="17" t="s">
        <v>189</v>
      </c>
      <c r="D25" s="37">
        <f>'Stavební rozpočet'!H59</f>
        <v>0</v>
      </c>
      <c r="E25" s="37">
        <f>'Stavební rozpočet'!I59</f>
        <v>0</v>
      </c>
      <c r="F25" s="37">
        <f t="shared" si="0"/>
        <v>0</v>
      </c>
      <c r="G25" s="37">
        <f>'Stavební rozpočet'!L59</f>
        <v>0</v>
      </c>
      <c r="H25" s="37" t="s">
        <v>303</v>
      </c>
      <c r="I25" s="37">
        <f t="shared" si="1"/>
        <v>0</v>
      </c>
    </row>
    <row r="26" spans="1:9" ht="12.75">
      <c r="A26" s="17" t="s">
        <v>73</v>
      </c>
      <c r="B26" s="17"/>
      <c r="C26" s="17" t="s">
        <v>154</v>
      </c>
      <c r="D26" s="37">
        <f>'Stavební rozpočet'!H63</f>
        <v>0</v>
      </c>
      <c r="E26" s="37">
        <f>'Stavební rozpočet'!I63</f>
        <v>0</v>
      </c>
      <c r="F26" s="37">
        <f t="shared" si="0"/>
        <v>0</v>
      </c>
      <c r="G26" s="37">
        <f>'Stavební rozpočet'!L63</f>
        <v>0.24065999999999999</v>
      </c>
      <c r="H26" s="37" t="s">
        <v>303</v>
      </c>
      <c r="I26" s="37">
        <f t="shared" si="1"/>
        <v>0</v>
      </c>
    </row>
    <row r="27" spans="1:9" ht="12.75">
      <c r="A27" s="17" t="s">
        <v>74</v>
      </c>
      <c r="B27" s="17"/>
      <c r="C27" s="17" t="s">
        <v>198</v>
      </c>
      <c r="D27" s="37">
        <f>'Stavební rozpočet'!H69</f>
        <v>0</v>
      </c>
      <c r="E27" s="37">
        <f>'Stavební rozpočet'!I69</f>
        <v>0</v>
      </c>
      <c r="F27" s="37">
        <f t="shared" si="0"/>
        <v>0</v>
      </c>
      <c r="G27" s="37">
        <f>'Stavební rozpočet'!L69</f>
        <v>0</v>
      </c>
      <c r="H27" s="37" t="s">
        <v>302</v>
      </c>
      <c r="I27" s="37">
        <f t="shared" si="1"/>
        <v>0</v>
      </c>
    </row>
    <row r="28" spans="1:9" ht="12.75">
      <c r="A28" s="17" t="s">
        <v>74</v>
      </c>
      <c r="B28" s="17" t="s">
        <v>74</v>
      </c>
      <c r="C28" s="17" t="s">
        <v>199</v>
      </c>
      <c r="D28" s="37">
        <f>'Stavební rozpočet'!H70</f>
        <v>0</v>
      </c>
      <c r="E28" s="37">
        <f>'Stavební rozpočet'!I70</f>
        <v>0</v>
      </c>
      <c r="F28" s="37">
        <f t="shared" si="0"/>
        <v>0</v>
      </c>
      <c r="G28" s="37">
        <f>'Stavební rozpočet'!L70</f>
        <v>0</v>
      </c>
      <c r="H28" s="37" t="s">
        <v>303</v>
      </c>
      <c r="I28" s="37">
        <f t="shared" si="1"/>
        <v>0</v>
      </c>
    </row>
    <row r="29" spans="1:9" ht="12.75">
      <c r="A29" s="17" t="s">
        <v>74</v>
      </c>
      <c r="B29" s="17"/>
      <c r="C29" s="17" t="s">
        <v>154</v>
      </c>
      <c r="D29" s="37">
        <f>'Stavební rozpočet'!H72</f>
        <v>0</v>
      </c>
      <c r="E29" s="37">
        <f>'Stavební rozpočet'!I72</f>
        <v>0</v>
      </c>
      <c r="F29" s="37">
        <f t="shared" si="0"/>
        <v>0</v>
      </c>
      <c r="G29" s="37">
        <f>'Stavební rozpočet'!L72</f>
        <v>0</v>
      </c>
      <c r="H29" s="37" t="s">
        <v>303</v>
      </c>
      <c r="I29" s="37">
        <f t="shared" si="1"/>
        <v>0</v>
      </c>
    </row>
    <row r="30" spans="1:9" ht="12.75">
      <c r="A30" s="17" t="s">
        <v>75</v>
      </c>
      <c r="B30" s="17"/>
      <c r="C30" s="17" t="s">
        <v>207</v>
      </c>
      <c r="D30" s="37">
        <f>'Stavební rozpočet'!H79</f>
        <v>0</v>
      </c>
      <c r="E30" s="37">
        <f>'Stavební rozpočet'!I79</f>
        <v>0</v>
      </c>
      <c r="F30" s="37">
        <f t="shared" si="0"/>
        <v>0</v>
      </c>
      <c r="G30" s="37">
        <f>'Stavební rozpočet'!L79</f>
        <v>0.01233</v>
      </c>
      <c r="H30" s="37" t="s">
        <v>302</v>
      </c>
      <c r="I30" s="37">
        <f t="shared" si="1"/>
        <v>0</v>
      </c>
    </row>
    <row r="31" spans="1:9" ht="12.75">
      <c r="A31" s="17" t="s">
        <v>75</v>
      </c>
      <c r="B31" s="17" t="s">
        <v>75</v>
      </c>
      <c r="C31" s="17" t="s">
        <v>207</v>
      </c>
      <c r="D31" s="37">
        <f>'Stavební rozpočet'!H80</f>
        <v>0</v>
      </c>
      <c r="E31" s="37">
        <f>'Stavební rozpočet'!I80</f>
        <v>0</v>
      </c>
      <c r="F31" s="37">
        <f t="shared" si="0"/>
        <v>0</v>
      </c>
      <c r="G31" s="37">
        <f>'Stavební rozpočet'!L80</f>
        <v>0.01233</v>
      </c>
      <c r="H31" s="37" t="s">
        <v>303</v>
      </c>
      <c r="I31" s="37">
        <f t="shared" si="1"/>
        <v>0</v>
      </c>
    </row>
    <row r="32" spans="1:9" ht="12.75">
      <c r="A32" s="17" t="s">
        <v>76</v>
      </c>
      <c r="B32" s="17"/>
      <c r="C32" s="17" t="s">
        <v>209</v>
      </c>
      <c r="D32" s="37">
        <f>'Stavební rozpočet'!H82</f>
        <v>0</v>
      </c>
      <c r="E32" s="37">
        <f>'Stavební rozpočet'!I82</f>
        <v>0</v>
      </c>
      <c r="F32" s="37">
        <f t="shared" si="0"/>
        <v>0</v>
      </c>
      <c r="G32" s="37">
        <f>'Stavební rozpočet'!L82</f>
        <v>0</v>
      </c>
      <c r="H32" s="37" t="s">
        <v>302</v>
      </c>
      <c r="I32" s="37">
        <f t="shared" si="1"/>
        <v>0</v>
      </c>
    </row>
    <row r="33" spans="1:9" ht="12.75">
      <c r="A33" s="17" t="s">
        <v>76</v>
      </c>
      <c r="B33" s="17" t="s">
        <v>129</v>
      </c>
      <c r="C33" s="17" t="s">
        <v>210</v>
      </c>
      <c r="D33" s="37">
        <f>'Stavební rozpočet'!H83</f>
        <v>0</v>
      </c>
      <c r="E33" s="37">
        <f>'Stavební rozpočet'!I83</f>
        <v>0</v>
      </c>
      <c r="F33" s="37">
        <f t="shared" si="0"/>
        <v>0</v>
      </c>
      <c r="G33" s="37">
        <f>'Stavební rozpočet'!L83</f>
        <v>0</v>
      </c>
      <c r="H33" s="37" t="s">
        <v>303</v>
      </c>
      <c r="I33" s="37">
        <f t="shared" si="1"/>
        <v>0</v>
      </c>
    </row>
    <row r="34" spans="1:9" ht="12.75">
      <c r="A34" s="17" t="s">
        <v>77</v>
      </c>
      <c r="B34" s="17"/>
      <c r="C34" s="17" t="s">
        <v>215</v>
      </c>
      <c r="D34" s="37">
        <f>'Stavební rozpočet'!H88</f>
        <v>0</v>
      </c>
      <c r="E34" s="37">
        <f>'Stavební rozpočet'!I88</f>
        <v>0</v>
      </c>
      <c r="F34" s="37">
        <f t="shared" si="0"/>
        <v>0</v>
      </c>
      <c r="G34" s="37">
        <f>'Stavební rozpočet'!L88</f>
        <v>0</v>
      </c>
      <c r="H34" s="37" t="s">
        <v>302</v>
      </c>
      <c r="I34" s="37">
        <f t="shared" si="1"/>
        <v>0</v>
      </c>
    </row>
    <row r="35" spans="1:9" ht="12.75">
      <c r="A35" s="17" t="s">
        <v>77</v>
      </c>
      <c r="B35" s="17" t="s">
        <v>133</v>
      </c>
      <c r="C35" s="17" t="s">
        <v>152</v>
      </c>
      <c r="D35" s="37">
        <f>'Stavební rozpočet'!H89</f>
        <v>0</v>
      </c>
      <c r="E35" s="37">
        <f>'Stavební rozpočet'!I89</f>
        <v>0</v>
      </c>
      <c r="F35" s="37">
        <f t="shared" si="0"/>
        <v>0</v>
      </c>
      <c r="G35" s="37">
        <f>'Stavební rozpočet'!L89</f>
        <v>0</v>
      </c>
      <c r="H35" s="37" t="s">
        <v>303</v>
      </c>
      <c r="I35" s="37">
        <f t="shared" si="1"/>
        <v>0</v>
      </c>
    </row>
    <row r="36" spans="1:9" ht="12.75">
      <c r="A36" s="17" t="s">
        <v>77</v>
      </c>
      <c r="B36" s="17" t="s">
        <v>135</v>
      </c>
      <c r="C36" s="17" t="s">
        <v>158</v>
      </c>
      <c r="D36" s="37">
        <f>'Stavební rozpočet'!H91</f>
        <v>0</v>
      </c>
      <c r="E36" s="37">
        <f>'Stavební rozpočet'!I91</f>
        <v>0</v>
      </c>
      <c r="F36" s="37">
        <f t="shared" si="0"/>
        <v>0</v>
      </c>
      <c r="G36" s="37">
        <f>'Stavební rozpočet'!L91</f>
        <v>0</v>
      </c>
      <c r="H36" s="37" t="s">
        <v>303</v>
      </c>
      <c r="I36" s="37">
        <f t="shared" si="1"/>
        <v>0</v>
      </c>
    </row>
    <row r="37" spans="1:9" ht="12.75">
      <c r="A37" s="17" t="s">
        <v>77</v>
      </c>
      <c r="B37" s="17" t="s">
        <v>137</v>
      </c>
      <c r="C37" s="17" t="s">
        <v>162</v>
      </c>
      <c r="D37" s="37">
        <f>'Stavební rozpočet'!H93</f>
        <v>0</v>
      </c>
      <c r="E37" s="37">
        <f>'Stavební rozpočet'!I93</f>
        <v>0</v>
      </c>
      <c r="F37" s="37">
        <f t="shared" si="0"/>
        <v>0</v>
      </c>
      <c r="G37" s="37">
        <f>'Stavební rozpočet'!L93</f>
        <v>0</v>
      </c>
      <c r="H37" s="37" t="s">
        <v>303</v>
      </c>
      <c r="I37" s="37">
        <f t="shared" si="1"/>
        <v>0</v>
      </c>
    </row>
    <row r="38" spans="1:9" ht="12.75">
      <c r="A38" s="17" t="s">
        <v>77</v>
      </c>
      <c r="B38" s="17" t="s">
        <v>139</v>
      </c>
      <c r="C38" s="17" t="s">
        <v>170</v>
      </c>
      <c r="D38" s="37">
        <f>'Stavební rozpočet'!H95</f>
        <v>0</v>
      </c>
      <c r="E38" s="37">
        <f>'Stavební rozpočet'!I95</f>
        <v>0</v>
      </c>
      <c r="F38" s="37">
        <f t="shared" si="0"/>
        <v>0</v>
      </c>
      <c r="G38" s="37">
        <f>'Stavební rozpočet'!L95</f>
        <v>0</v>
      </c>
      <c r="H38" s="37" t="s">
        <v>303</v>
      </c>
      <c r="I38" s="37">
        <f t="shared" si="1"/>
        <v>0</v>
      </c>
    </row>
    <row r="39" spans="1:9" ht="12.75">
      <c r="A39" s="17" t="s">
        <v>77</v>
      </c>
      <c r="B39" s="17" t="s">
        <v>141</v>
      </c>
      <c r="C39" s="17" t="s">
        <v>189</v>
      </c>
      <c r="D39" s="37">
        <f>'Stavební rozpočet'!H97</f>
        <v>0</v>
      </c>
      <c r="E39" s="37">
        <f>'Stavební rozpočet'!I97</f>
        <v>0</v>
      </c>
      <c r="F39" s="37">
        <f t="shared" si="0"/>
        <v>0</v>
      </c>
      <c r="G39" s="37">
        <f>'Stavební rozpočet'!L97</f>
        <v>0</v>
      </c>
      <c r="H39" s="37" t="s">
        <v>303</v>
      </c>
      <c r="I39" s="37">
        <f t="shared" si="1"/>
        <v>0</v>
      </c>
    </row>
    <row r="40" spans="1:9" ht="12.75">
      <c r="A40" s="17" t="s">
        <v>77</v>
      </c>
      <c r="B40" s="17" t="s">
        <v>143</v>
      </c>
      <c r="C40" s="17" t="s">
        <v>199</v>
      </c>
      <c r="D40" s="37">
        <f>'Stavební rozpočet'!H99</f>
        <v>0</v>
      </c>
      <c r="E40" s="37">
        <f>'Stavební rozpočet'!I99</f>
        <v>0</v>
      </c>
      <c r="F40" s="37">
        <f t="shared" si="0"/>
        <v>0</v>
      </c>
      <c r="G40" s="37">
        <f>'Stavební rozpočet'!L99</f>
        <v>0</v>
      </c>
      <c r="H40" s="37" t="s">
        <v>303</v>
      </c>
      <c r="I40" s="37">
        <f t="shared" si="1"/>
        <v>0</v>
      </c>
    </row>
    <row r="42" spans="5:6" ht="12.75">
      <c r="E42" s="48" t="s">
        <v>240</v>
      </c>
      <c r="F42" s="51">
        <f>SUM(I11:I40)</f>
        <v>0</v>
      </c>
    </row>
  </sheetData>
  <sheetProtection password="FB2E" sheet="1"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8"/>
      <c r="B1" s="54"/>
      <c r="C1" s="116" t="s">
        <v>318</v>
      </c>
      <c r="D1" s="84"/>
      <c r="E1" s="84"/>
      <c r="F1" s="84"/>
      <c r="G1" s="84"/>
      <c r="H1" s="84"/>
      <c r="I1" s="84"/>
    </row>
    <row r="2" spans="1:10" ht="12.75">
      <c r="A2" s="85" t="s">
        <v>1</v>
      </c>
      <c r="B2" s="86"/>
      <c r="C2" s="87" t="str">
        <f>'Stavební rozpočet'!D2</f>
        <v>Vytápění objektu SO-04 firmy Marwel s.r.o.</v>
      </c>
      <c r="D2" s="73"/>
      <c r="E2" s="90" t="s">
        <v>241</v>
      </c>
      <c r="F2" s="90" t="str">
        <f>'Stavební rozpočet'!J2</f>
        <v>Marwel s.r.o. Záříčí</v>
      </c>
      <c r="G2" s="86"/>
      <c r="H2" s="90" t="s">
        <v>343</v>
      </c>
      <c r="I2" s="117"/>
      <c r="J2" s="35"/>
    </row>
    <row r="3" spans="1:10" ht="12.75">
      <c r="A3" s="82"/>
      <c r="B3" s="75"/>
      <c r="C3" s="88"/>
      <c r="D3" s="88"/>
      <c r="E3" s="75"/>
      <c r="F3" s="75"/>
      <c r="G3" s="75"/>
      <c r="H3" s="75"/>
      <c r="I3" s="80"/>
      <c r="J3" s="35"/>
    </row>
    <row r="4" spans="1:10" ht="12.75">
      <c r="A4" s="76" t="s">
        <v>2</v>
      </c>
      <c r="B4" s="75"/>
      <c r="C4" s="74" t="str">
        <f>'Stavební rozpočet'!D4</f>
        <v>D 1.4.a - zařízení pro vytápění</v>
      </c>
      <c r="D4" s="75"/>
      <c r="E4" s="74" t="s">
        <v>242</v>
      </c>
      <c r="F4" s="74" t="str">
        <f>'Stavební rozpočet'!J4</f>
        <v>Spolprojekt,Jiráskova 839, Kroměříž</v>
      </c>
      <c r="G4" s="75"/>
      <c r="H4" s="74" t="s">
        <v>343</v>
      </c>
      <c r="I4" s="115" t="s">
        <v>347</v>
      </c>
      <c r="J4" s="35"/>
    </row>
    <row r="5" spans="1:10" ht="12.75">
      <c r="A5" s="82"/>
      <c r="B5" s="75"/>
      <c r="C5" s="75"/>
      <c r="D5" s="75"/>
      <c r="E5" s="75"/>
      <c r="F5" s="75"/>
      <c r="G5" s="75"/>
      <c r="H5" s="75"/>
      <c r="I5" s="80"/>
      <c r="J5" s="35"/>
    </row>
    <row r="6" spans="1:10" ht="12.75">
      <c r="A6" s="76" t="s">
        <v>3</v>
      </c>
      <c r="B6" s="75"/>
      <c r="C6" s="74" t="str">
        <f>'Stavební rozpočet'!D6</f>
        <v>Plučisko</v>
      </c>
      <c r="D6" s="75"/>
      <c r="E6" s="74" t="s">
        <v>243</v>
      </c>
      <c r="F6" s="74" t="str">
        <f>'Stavební rozpočet'!J6</f>
        <v> </v>
      </c>
      <c r="G6" s="75"/>
      <c r="H6" s="74" t="s">
        <v>343</v>
      </c>
      <c r="I6" s="115"/>
      <c r="J6" s="35"/>
    </row>
    <row r="7" spans="1:10" ht="12.75">
      <c r="A7" s="82"/>
      <c r="B7" s="75"/>
      <c r="C7" s="75"/>
      <c r="D7" s="75"/>
      <c r="E7" s="75"/>
      <c r="F7" s="75"/>
      <c r="G7" s="75"/>
      <c r="H7" s="75"/>
      <c r="I7" s="80"/>
      <c r="J7" s="35"/>
    </row>
    <row r="8" spans="1:10" ht="12.75">
      <c r="A8" s="76" t="s">
        <v>223</v>
      </c>
      <c r="B8" s="75"/>
      <c r="C8" s="74" t="str">
        <f>'Stavební rozpočet'!G4</f>
        <v>04.08.2019</v>
      </c>
      <c r="D8" s="75"/>
      <c r="E8" s="74" t="s">
        <v>224</v>
      </c>
      <c r="F8" s="74" t="str">
        <f>'Stavební rozpočet'!G6</f>
        <v> </v>
      </c>
      <c r="G8" s="75"/>
      <c r="H8" s="79" t="s">
        <v>344</v>
      </c>
      <c r="I8" s="115" t="s">
        <v>65</v>
      </c>
      <c r="J8" s="35"/>
    </row>
    <row r="9" spans="1:10" ht="12.75">
      <c r="A9" s="82"/>
      <c r="B9" s="75"/>
      <c r="C9" s="75"/>
      <c r="D9" s="75"/>
      <c r="E9" s="75"/>
      <c r="F9" s="75"/>
      <c r="G9" s="75"/>
      <c r="H9" s="75"/>
      <c r="I9" s="80"/>
      <c r="J9" s="35"/>
    </row>
    <row r="10" spans="1:10" ht="12.75">
      <c r="A10" s="76" t="s">
        <v>4</v>
      </c>
      <c r="B10" s="75"/>
      <c r="C10" s="74" t="str">
        <f>'Stavební rozpočet'!D8</f>
        <v> </v>
      </c>
      <c r="D10" s="75"/>
      <c r="E10" s="74" t="s">
        <v>244</v>
      </c>
      <c r="F10" s="74" t="str">
        <f>'Stavební rozpočet'!J8</f>
        <v>Bohuslav Řípa</v>
      </c>
      <c r="G10" s="75"/>
      <c r="H10" s="79" t="s">
        <v>345</v>
      </c>
      <c r="I10" s="113" t="str">
        <f>'Stavební rozpočet'!G8</f>
        <v>04.08.2019</v>
      </c>
      <c r="J10" s="35"/>
    </row>
    <row r="11" spans="1:10" ht="12.75">
      <c r="A11" s="111"/>
      <c r="B11" s="112"/>
      <c r="C11" s="112"/>
      <c r="D11" s="112"/>
      <c r="E11" s="112"/>
      <c r="F11" s="112"/>
      <c r="G11" s="112"/>
      <c r="H11" s="112"/>
      <c r="I11" s="114"/>
      <c r="J11" s="35"/>
    </row>
    <row r="12" spans="1:9" ht="23.25" customHeight="1">
      <c r="A12" s="107" t="s">
        <v>304</v>
      </c>
      <c r="B12" s="108"/>
      <c r="C12" s="108"/>
      <c r="D12" s="108"/>
      <c r="E12" s="108"/>
      <c r="F12" s="108"/>
      <c r="G12" s="108"/>
      <c r="H12" s="108"/>
      <c r="I12" s="108"/>
    </row>
    <row r="13" spans="1:10" ht="26.25" customHeight="1">
      <c r="A13" s="55" t="s">
        <v>305</v>
      </c>
      <c r="B13" s="109" t="s">
        <v>316</v>
      </c>
      <c r="C13" s="110"/>
      <c r="D13" s="55" t="s">
        <v>319</v>
      </c>
      <c r="E13" s="109" t="s">
        <v>328</v>
      </c>
      <c r="F13" s="110"/>
      <c r="G13" s="55" t="s">
        <v>329</v>
      </c>
      <c r="H13" s="109" t="s">
        <v>346</v>
      </c>
      <c r="I13" s="110"/>
      <c r="J13" s="35"/>
    </row>
    <row r="14" spans="1:10" ht="15" customHeight="1">
      <c r="A14" s="56" t="s">
        <v>306</v>
      </c>
      <c r="B14" s="59" t="s">
        <v>317</v>
      </c>
      <c r="C14" s="62">
        <f>SUM('Stavební rozpočet'!R12:R100)</f>
        <v>0</v>
      </c>
      <c r="D14" s="105" t="s">
        <v>320</v>
      </c>
      <c r="E14" s="106"/>
      <c r="F14" s="62">
        <v>0</v>
      </c>
      <c r="G14" s="105" t="s">
        <v>330</v>
      </c>
      <c r="H14" s="106"/>
      <c r="I14" s="62">
        <v>0</v>
      </c>
      <c r="J14" s="35"/>
    </row>
    <row r="15" spans="1:10" ht="15" customHeight="1">
      <c r="A15" s="57"/>
      <c r="B15" s="59" t="s">
        <v>245</v>
      </c>
      <c r="C15" s="62">
        <f>SUM('Stavební rozpočet'!S12:S100)</f>
        <v>0</v>
      </c>
      <c r="D15" s="105" t="s">
        <v>321</v>
      </c>
      <c r="E15" s="106"/>
      <c r="F15" s="62">
        <v>0</v>
      </c>
      <c r="G15" s="105" t="s">
        <v>331</v>
      </c>
      <c r="H15" s="106"/>
      <c r="I15" s="62">
        <v>0</v>
      </c>
      <c r="J15" s="35"/>
    </row>
    <row r="16" spans="1:10" ht="15" customHeight="1">
      <c r="A16" s="56" t="s">
        <v>307</v>
      </c>
      <c r="B16" s="59" t="s">
        <v>317</v>
      </c>
      <c r="C16" s="62">
        <f>SUM('Stavební rozpočet'!T12:T100)</f>
        <v>0</v>
      </c>
      <c r="D16" s="105" t="s">
        <v>322</v>
      </c>
      <c r="E16" s="106"/>
      <c r="F16" s="62">
        <v>0</v>
      </c>
      <c r="G16" s="105" t="s">
        <v>332</v>
      </c>
      <c r="H16" s="106"/>
      <c r="I16" s="62">
        <v>0</v>
      </c>
      <c r="J16" s="35"/>
    </row>
    <row r="17" spans="1:10" ht="15" customHeight="1">
      <c r="A17" s="57"/>
      <c r="B17" s="59" t="s">
        <v>245</v>
      </c>
      <c r="C17" s="62">
        <f>SUM('Stavební rozpočet'!U12:U100)</f>
        <v>0</v>
      </c>
      <c r="D17" s="105"/>
      <c r="E17" s="106"/>
      <c r="F17" s="63"/>
      <c r="G17" s="105" t="s">
        <v>333</v>
      </c>
      <c r="H17" s="106"/>
      <c r="I17" s="62">
        <v>0</v>
      </c>
      <c r="J17" s="35"/>
    </row>
    <row r="18" spans="1:10" ht="15" customHeight="1">
      <c r="A18" s="56" t="s">
        <v>308</v>
      </c>
      <c r="B18" s="59" t="s">
        <v>317</v>
      </c>
      <c r="C18" s="62">
        <f>SUM('Stavební rozpočet'!V12:V100)</f>
        <v>0</v>
      </c>
      <c r="D18" s="105"/>
      <c r="E18" s="106"/>
      <c r="F18" s="63"/>
      <c r="G18" s="105" t="s">
        <v>334</v>
      </c>
      <c r="H18" s="106"/>
      <c r="I18" s="62">
        <v>0</v>
      </c>
      <c r="J18" s="35"/>
    </row>
    <row r="19" spans="1:10" ht="15" customHeight="1">
      <c r="A19" s="57"/>
      <c r="B19" s="59" t="s">
        <v>245</v>
      </c>
      <c r="C19" s="62">
        <f>SUM('Stavební rozpočet'!W12:W100)</f>
        <v>0</v>
      </c>
      <c r="D19" s="105"/>
      <c r="E19" s="106"/>
      <c r="F19" s="63"/>
      <c r="G19" s="105" t="s">
        <v>335</v>
      </c>
      <c r="H19" s="106"/>
      <c r="I19" s="62">
        <v>0</v>
      </c>
      <c r="J19" s="35"/>
    </row>
    <row r="20" spans="1:10" ht="15" customHeight="1">
      <c r="A20" s="103" t="s">
        <v>154</v>
      </c>
      <c r="B20" s="104"/>
      <c r="C20" s="62">
        <f>SUM('Stavební rozpočet'!X12:X100)</f>
        <v>0</v>
      </c>
      <c r="D20" s="105"/>
      <c r="E20" s="106"/>
      <c r="F20" s="63"/>
      <c r="G20" s="105"/>
      <c r="H20" s="106"/>
      <c r="I20" s="63"/>
      <c r="J20" s="35"/>
    </row>
    <row r="21" spans="1:10" ht="15" customHeight="1">
      <c r="A21" s="103" t="s">
        <v>309</v>
      </c>
      <c r="B21" s="104"/>
      <c r="C21" s="62">
        <f>SUM('Stavební rozpočet'!P12:P100)</f>
        <v>0</v>
      </c>
      <c r="D21" s="105"/>
      <c r="E21" s="106"/>
      <c r="F21" s="63"/>
      <c r="G21" s="105"/>
      <c r="H21" s="106"/>
      <c r="I21" s="63"/>
      <c r="J21" s="35"/>
    </row>
    <row r="22" spans="1:10" ht="16.5" customHeight="1">
      <c r="A22" s="103" t="s">
        <v>310</v>
      </c>
      <c r="B22" s="104"/>
      <c r="C22" s="62">
        <f>SUM(C14:C21)</f>
        <v>0</v>
      </c>
      <c r="D22" s="103" t="s">
        <v>323</v>
      </c>
      <c r="E22" s="104"/>
      <c r="F22" s="62">
        <f>SUM(F14:F21)</f>
        <v>0</v>
      </c>
      <c r="G22" s="103" t="s">
        <v>336</v>
      </c>
      <c r="H22" s="104"/>
      <c r="I22" s="62">
        <f>SUM(I14:I21)</f>
        <v>0</v>
      </c>
      <c r="J22" s="35"/>
    </row>
    <row r="23" spans="1:10" ht="15" customHeight="1">
      <c r="A23" s="9"/>
      <c r="B23" s="9"/>
      <c r="C23" s="60"/>
      <c r="D23" s="103" t="s">
        <v>324</v>
      </c>
      <c r="E23" s="104"/>
      <c r="F23" s="64">
        <v>0</v>
      </c>
      <c r="G23" s="103" t="s">
        <v>337</v>
      </c>
      <c r="H23" s="104"/>
      <c r="I23" s="62">
        <v>0</v>
      </c>
      <c r="J23" s="35"/>
    </row>
    <row r="24" spans="4:10" ht="15" customHeight="1">
      <c r="D24" s="9"/>
      <c r="E24" s="9"/>
      <c r="F24" s="65"/>
      <c r="G24" s="103" t="s">
        <v>338</v>
      </c>
      <c r="H24" s="104"/>
      <c r="I24" s="62">
        <v>0</v>
      </c>
      <c r="J24" s="35"/>
    </row>
    <row r="25" spans="6:10" ht="15" customHeight="1">
      <c r="F25" s="66"/>
      <c r="G25" s="103" t="s">
        <v>339</v>
      </c>
      <c r="H25" s="104"/>
      <c r="I25" s="62">
        <v>0</v>
      </c>
      <c r="J25" s="35"/>
    </row>
    <row r="26" spans="1:9" ht="12.75">
      <c r="A26" s="54"/>
      <c r="B26" s="54"/>
      <c r="C26" s="54"/>
      <c r="G26" s="9"/>
      <c r="H26" s="9"/>
      <c r="I26" s="9"/>
    </row>
    <row r="27" spans="1:9" ht="15" customHeight="1">
      <c r="A27" s="98" t="s">
        <v>311</v>
      </c>
      <c r="B27" s="99"/>
      <c r="C27" s="67">
        <f>SUM('Stavební rozpočet'!Z12:Z100)</f>
        <v>0</v>
      </c>
      <c r="D27" s="61"/>
      <c r="E27" s="54"/>
      <c r="F27" s="54"/>
      <c r="G27" s="54"/>
      <c r="H27" s="54"/>
      <c r="I27" s="54"/>
    </row>
    <row r="28" spans="1:10" ht="15" customHeight="1">
      <c r="A28" s="98" t="s">
        <v>312</v>
      </c>
      <c r="B28" s="99"/>
      <c r="C28" s="67">
        <f>SUM('Stavební rozpočet'!AA12:AA100)+(F22+I22+F23+I23+I24+I25)</f>
        <v>0</v>
      </c>
      <c r="D28" s="98" t="s">
        <v>325</v>
      </c>
      <c r="E28" s="99"/>
      <c r="F28" s="67">
        <f>ROUND(C28*(15/100),2)</f>
        <v>0</v>
      </c>
      <c r="G28" s="98" t="s">
        <v>340</v>
      </c>
      <c r="H28" s="99"/>
      <c r="I28" s="67">
        <f>SUM(C27:C29)</f>
        <v>0</v>
      </c>
      <c r="J28" s="35"/>
    </row>
    <row r="29" spans="1:10" ht="15" customHeight="1">
      <c r="A29" s="98" t="s">
        <v>313</v>
      </c>
      <c r="B29" s="99"/>
      <c r="C29" s="67">
        <f>SUM('Stavební rozpočet'!AB12:AB100)</f>
        <v>0</v>
      </c>
      <c r="D29" s="98" t="s">
        <v>326</v>
      </c>
      <c r="E29" s="99"/>
      <c r="F29" s="67">
        <f>ROUND(C29*(21/100),2)</f>
        <v>0</v>
      </c>
      <c r="G29" s="98" t="s">
        <v>341</v>
      </c>
      <c r="H29" s="99"/>
      <c r="I29" s="67">
        <f>SUM(F28:F29)+I28</f>
        <v>0</v>
      </c>
      <c r="J29" s="35"/>
    </row>
    <row r="30" spans="1:9" ht="12.75">
      <c r="A30" s="58"/>
      <c r="B30" s="58"/>
      <c r="C30" s="58"/>
      <c r="D30" s="58"/>
      <c r="E30" s="58"/>
      <c r="F30" s="58"/>
      <c r="G30" s="58"/>
      <c r="H30" s="58"/>
      <c r="I30" s="58"/>
    </row>
    <row r="31" spans="1:10" ht="14.25" customHeight="1">
      <c r="A31" s="100" t="s">
        <v>314</v>
      </c>
      <c r="B31" s="101"/>
      <c r="C31" s="102"/>
      <c r="D31" s="100" t="s">
        <v>327</v>
      </c>
      <c r="E31" s="101"/>
      <c r="F31" s="102"/>
      <c r="G31" s="100" t="s">
        <v>342</v>
      </c>
      <c r="H31" s="101"/>
      <c r="I31" s="102"/>
      <c r="J31" s="36"/>
    </row>
    <row r="32" spans="1:10" ht="14.25" customHeight="1">
      <c r="A32" s="92"/>
      <c r="B32" s="93"/>
      <c r="C32" s="94"/>
      <c r="D32" s="92"/>
      <c r="E32" s="93"/>
      <c r="F32" s="94"/>
      <c r="G32" s="92"/>
      <c r="H32" s="93"/>
      <c r="I32" s="94"/>
      <c r="J32" s="36"/>
    </row>
    <row r="33" spans="1:10" ht="14.25" customHeight="1">
      <c r="A33" s="92"/>
      <c r="B33" s="93"/>
      <c r="C33" s="94"/>
      <c r="D33" s="92"/>
      <c r="E33" s="93"/>
      <c r="F33" s="94"/>
      <c r="G33" s="92"/>
      <c r="H33" s="93"/>
      <c r="I33" s="94"/>
      <c r="J33" s="36"/>
    </row>
    <row r="34" spans="1:10" ht="14.25" customHeight="1">
      <c r="A34" s="92"/>
      <c r="B34" s="93"/>
      <c r="C34" s="94"/>
      <c r="D34" s="92"/>
      <c r="E34" s="93"/>
      <c r="F34" s="94"/>
      <c r="G34" s="92"/>
      <c r="H34" s="93"/>
      <c r="I34" s="94"/>
      <c r="J34" s="36"/>
    </row>
    <row r="35" spans="1:10" ht="14.25" customHeight="1">
      <c r="A35" s="95" t="s">
        <v>315</v>
      </c>
      <c r="B35" s="96"/>
      <c r="C35" s="97"/>
      <c r="D35" s="95" t="s">
        <v>315</v>
      </c>
      <c r="E35" s="96"/>
      <c r="F35" s="97"/>
      <c r="G35" s="95" t="s">
        <v>315</v>
      </c>
      <c r="H35" s="96"/>
      <c r="I35" s="97"/>
      <c r="J35" s="36"/>
    </row>
    <row r="36" spans="1:9" ht="11.25" customHeight="1">
      <c r="A36" s="53" t="s">
        <v>66</v>
      </c>
      <c r="B36" s="52"/>
      <c r="C36" s="52"/>
      <c r="D36" s="52"/>
      <c r="E36" s="52"/>
      <c r="F36" s="52"/>
      <c r="G36" s="52"/>
      <c r="H36" s="52"/>
      <c r="I36" s="52"/>
    </row>
    <row r="37" spans="1:9" ht="12.75">
      <c r="A37" s="74"/>
      <c r="B37" s="75"/>
      <c r="C37" s="75"/>
      <c r="D37" s="75"/>
      <c r="E37" s="75"/>
      <c r="F37" s="75"/>
      <c r="G37" s="75"/>
      <c r="H37" s="75"/>
      <c r="I37" s="75"/>
    </row>
  </sheetData>
  <sheetProtection password="FB2E" sheet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Marwel</cp:lastModifiedBy>
  <dcterms:modified xsi:type="dcterms:W3CDTF">2019-10-01T09:04:24Z</dcterms:modified>
  <cp:category/>
  <cp:version/>
  <cp:contentType/>
  <cp:contentStatus/>
</cp:coreProperties>
</file>