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Stavební rozpočet" sheetId="1" r:id="rId1"/>
    <sheet name="Stavební rozpočet - součet" sheetId="2" state="hidden" r:id="rId2"/>
    <sheet name="Výkaz výměr" sheetId="3" state="hidden" r:id="rId3"/>
    <sheet name="Harmonogram" sheetId="4" state="hidden" r:id="rId4"/>
    <sheet name="Čerpání rozpočtu a fakturace" sheetId="5" state="hidden" r:id="rId5"/>
    <sheet name="Krycí list rozpočtu" sheetId="6" r:id="rId6"/>
  </sheets>
  <definedNames/>
  <calcPr fullCalcOnLoad="1"/>
</workbook>
</file>

<file path=xl/sharedStrings.xml><?xml version="1.0" encoding="utf-8"?>
<sst xmlns="http://schemas.openxmlformats.org/spreadsheetml/2006/main" count="2308" uniqueCount="752">
  <si>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</si>
  <si>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</si>
  <si>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</si>
  <si>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</si>
  <si>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</si>
  <si>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</si>
  <si>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</si>
  <si>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</si>
  <si>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</si>
  <si>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</si>
  <si>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</si>
  <si>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</si>
  <si>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</si>
  <si>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</si>
  <si>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</si>
  <si>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</si>
  <si>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</si>
  <si>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</si>
  <si>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</si>
  <si>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</si>
  <si>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</si>
  <si>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</si>
  <si>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</si>
  <si>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</si>
  <si>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</si>
  <si>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</si>
  <si>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</si>
  <si>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</si>
  <si>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</si>
  <si>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</si>
  <si>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</si>
  <si>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</si>
  <si>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</si>
  <si>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</si>
  <si>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</si>
  <si>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</si>
  <si>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</si>
  <si>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</si>
  <si>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</si>
  <si>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</si>
  <si>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</si>
  <si>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</si>
  <si>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</si>
  <si>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</si>
  <si>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</si>
  <si>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</si>
  <si>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</si>
  <si>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</si>
  <si>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</si>
  <si>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</si>
  <si>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</si>
  <si>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</si>
  <si>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</si>
  <si>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</si>
  <si>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</si>
  <si>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</si>
  <si>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</si>
  <si>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</si>
  <si>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</si>
  <si>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</si>
  <si>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</si>
  <si>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</si>
  <si>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</si>
  <si>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</si>
  <si>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</si>
  <si>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</si>
  <si>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</si>
  <si>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</si>
  <si>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</si>
  <si>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</si>
  <si>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</si>
  <si>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</si>
  <si>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</si>
  <si>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</si>
  <si>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</si>
  <si>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</si>
  <si>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</si>
  <si>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</si>
  <si>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</si>
  <si>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</si>
  <si>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</si>
  <si>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</si>
  <si>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</si>
  <si>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</si>
  <si>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</si>
  <si>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</si>
  <si>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</si>
  <si>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</si>
  <si>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</si>
  <si>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</si>
  <si>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</si>
  <si>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</si>
  <si>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</si>
  <si>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</si>
  <si>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</si>
  <si>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</si>
  <si>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</si>
  <si>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</si>
  <si>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</si>
  <si>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</si>
  <si>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</si>
  <si>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</si>
  <si>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</si>
  <si>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</si>
  <si>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</si>
  <si>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</si>
  <si>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</si>
  <si>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</si>
  <si>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</si>
  <si>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</si>
  <si>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</si>
  <si>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</si>
  <si>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</si>
  <si>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</si>
  <si>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</si>
  <si>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</si>
  <si>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</si>
  <si>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</si>
  <si>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</si>
  <si>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</si>
  <si>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</si>
  <si>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</si>
  <si>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Poznámka:</t>
  </si>
  <si>
    <t>Objekt</t>
  </si>
  <si>
    <t>Kód</t>
  </si>
  <si>
    <t>0</t>
  </si>
  <si>
    <t>072549111R00</t>
  </si>
  <si>
    <t>100001500R00</t>
  </si>
  <si>
    <t>139700010RAB</t>
  </si>
  <si>
    <t>131201111R00</t>
  </si>
  <si>
    <t>131201119R00</t>
  </si>
  <si>
    <t>132201112R00</t>
  </si>
  <si>
    <t>132201119R00</t>
  </si>
  <si>
    <t>151101102R00</t>
  </si>
  <si>
    <t>151101112R00</t>
  </si>
  <si>
    <t>167101101R00</t>
  </si>
  <si>
    <t>171201101R00</t>
  </si>
  <si>
    <t>174101101R00</t>
  </si>
  <si>
    <t>175100020RA0</t>
  </si>
  <si>
    <t>199000005R00</t>
  </si>
  <si>
    <t>273313621R00</t>
  </si>
  <si>
    <t>273361921RT4</t>
  </si>
  <si>
    <t>273321321R00</t>
  </si>
  <si>
    <t>289902111R00</t>
  </si>
  <si>
    <t>319300016RT1</t>
  </si>
  <si>
    <t>317941123RT5</t>
  </si>
  <si>
    <t>342277815R00</t>
  </si>
  <si>
    <t>564851111RT2</t>
  </si>
  <si>
    <t>591050010RAA</t>
  </si>
  <si>
    <t>602011141RU3</t>
  </si>
  <si>
    <t>601011141RT3</t>
  </si>
  <si>
    <t>601011172R00</t>
  </si>
  <si>
    <t>611421311R00</t>
  </si>
  <si>
    <t>612421311R00</t>
  </si>
  <si>
    <t>612409991RT2</t>
  </si>
  <si>
    <t>612421637R00</t>
  </si>
  <si>
    <t>622413102RT1</t>
  </si>
  <si>
    <t>622413126R00</t>
  </si>
  <si>
    <t>632411904R00</t>
  </si>
  <si>
    <t>711</t>
  </si>
  <si>
    <t>711111001RZ1</t>
  </si>
  <si>
    <t>711142559RY1</t>
  </si>
  <si>
    <t>711110010RAB</t>
  </si>
  <si>
    <t>713</t>
  </si>
  <si>
    <t>713511321RT1</t>
  </si>
  <si>
    <t>721</t>
  </si>
  <si>
    <t>721242112R00</t>
  </si>
  <si>
    <t>762</t>
  </si>
  <si>
    <t>762342202RT2</t>
  </si>
  <si>
    <t>762342204R00</t>
  </si>
  <si>
    <t>762395000R00</t>
  </si>
  <si>
    <t>762332932RT3</t>
  </si>
  <si>
    <t>762621130R00</t>
  </si>
  <si>
    <t>764</t>
  </si>
  <si>
    <t>764900010RA0</t>
  </si>
  <si>
    <t>764551605R00</t>
  </si>
  <si>
    <t>764252604RT1</t>
  </si>
  <si>
    <t>764410010RAB</t>
  </si>
  <si>
    <t>765</t>
  </si>
  <si>
    <t>765799310RK3</t>
  </si>
  <si>
    <t>765311544RT1</t>
  </si>
  <si>
    <t>765311561RU1</t>
  </si>
  <si>
    <t>765331221RT4</t>
  </si>
  <si>
    <t>767</t>
  </si>
  <si>
    <t>767995103R00</t>
  </si>
  <si>
    <t>767631800R00</t>
  </si>
  <si>
    <t>771</t>
  </si>
  <si>
    <t>771101210RT1</t>
  </si>
  <si>
    <t>771212113R00</t>
  </si>
  <si>
    <t>771130111R00</t>
  </si>
  <si>
    <t>783</t>
  </si>
  <si>
    <t>783201811R00</t>
  </si>
  <si>
    <t>784</t>
  </si>
  <si>
    <t>784401802R00</t>
  </si>
  <si>
    <t>784195212R00</t>
  </si>
  <si>
    <t>784191201R00</t>
  </si>
  <si>
    <t>831350013RAA</t>
  </si>
  <si>
    <t>831350012RAA</t>
  </si>
  <si>
    <t>871219111R00</t>
  </si>
  <si>
    <t>899000002RA0</t>
  </si>
  <si>
    <t>892271111R00</t>
  </si>
  <si>
    <t>941941041R00</t>
  </si>
  <si>
    <t>941941291R00</t>
  </si>
  <si>
    <t>941941841R00</t>
  </si>
  <si>
    <t>941955002R00</t>
  </si>
  <si>
    <t>952901114R00</t>
  </si>
  <si>
    <t>962100012RA0</t>
  </si>
  <si>
    <t>978011141R00</t>
  </si>
  <si>
    <t>978013141R00</t>
  </si>
  <si>
    <t>978015241R00</t>
  </si>
  <si>
    <t>971100021RAC</t>
  </si>
  <si>
    <t>978500010RA0</t>
  </si>
  <si>
    <t>981512114R00</t>
  </si>
  <si>
    <t>981331111R00</t>
  </si>
  <si>
    <t>981511113R00</t>
  </si>
  <si>
    <t>H01</t>
  </si>
  <si>
    <t>998011002R00</t>
  </si>
  <si>
    <t>H721</t>
  </si>
  <si>
    <t>998721202R00</t>
  </si>
  <si>
    <t>H764</t>
  </si>
  <si>
    <t>998764102R00</t>
  </si>
  <si>
    <t>H767</t>
  </si>
  <si>
    <t>998767202R00</t>
  </si>
  <si>
    <t>M46</t>
  </si>
  <si>
    <t>460120061R00</t>
  </si>
  <si>
    <t>460620013R00</t>
  </si>
  <si>
    <t>460600001RT8</t>
  </si>
  <si>
    <t>S</t>
  </si>
  <si>
    <t>979990107R00</t>
  </si>
  <si>
    <t>979081111RT3</t>
  </si>
  <si>
    <t>979081121RT3</t>
  </si>
  <si>
    <t>979088212R00</t>
  </si>
  <si>
    <t>979093111R00</t>
  </si>
  <si>
    <t>979990162R00</t>
  </si>
  <si>
    <t>979990105R00</t>
  </si>
  <si>
    <t>979990103R00</t>
  </si>
  <si>
    <t>979082111R00</t>
  </si>
  <si>
    <t>979086213R00</t>
  </si>
  <si>
    <t>28611224.A</t>
  </si>
  <si>
    <t>28611327.A</t>
  </si>
  <si>
    <t>553446454</t>
  </si>
  <si>
    <t>61110489</t>
  </si>
  <si>
    <t>61194017</t>
  </si>
  <si>
    <t>11163230</t>
  </si>
  <si>
    <t>583311005</t>
  </si>
  <si>
    <t>55243560</t>
  </si>
  <si>
    <t>592442570</t>
  </si>
  <si>
    <t>59764206</t>
  </si>
  <si>
    <t>597642410</t>
  </si>
  <si>
    <t>13380630</t>
  </si>
  <si>
    <t>62852265</t>
  </si>
  <si>
    <t>03VRN</t>
  </si>
  <si>
    <t>030001VRN</t>
  </si>
  <si>
    <t>033002VRN</t>
  </si>
  <si>
    <t>039002VRN</t>
  </si>
  <si>
    <t>06VRN</t>
  </si>
  <si>
    <t>065002VRN</t>
  </si>
  <si>
    <t>07VRN</t>
  </si>
  <si>
    <t>075002VRN</t>
  </si>
  <si>
    <t>Stavební úprava technického a společenského zázemí obce II.Etapa</t>
  </si>
  <si>
    <t>Stavební práce</t>
  </si>
  <si>
    <t>Obec Dukovany k.ú. Dukovany (633810)</t>
  </si>
  <si>
    <t>Zkrácený popis</t>
  </si>
  <si>
    <t>Rozměry</t>
  </si>
  <si>
    <t>Všeobecné konstrukce a práce</t>
  </si>
  <si>
    <t>Provedení zazdivky otvorů, cihly červené</t>
  </si>
  <si>
    <t>Zemní práce</t>
  </si>
  <si>
    <t>Dočištění stěny</t>
  </si>
  <si>
    <t>Hloubené vykopávky</t>
  </si>
  <si>
    <t>Vykopávka v uzavřeném prostoru v hornině 1-4</t>
  </si>
  <si>
    <t>Hloubení nezapaž. jam hor.3 do 100 m3, STROJNĚ</t>
  </si>
  <si>
    <t>Příplatek za lepivost - hloubení nezap.jam v hor.3</t>
  </si>
  <si>
    <t>Hloubení rýh š.do 60 cm v hor.3 nad 100 m3,STROJNĚ</t>
  </si>
  <si>
    <t>Přípl.za lepivost,hloubení rýh 60 cm,hor.3,STROJNĚ</t>
  </si>
  <si>
    <t>Roubení</t>
  </si>
  <si>
    <t>Pažení a rozepření stěn rýh - příložné - hl.do 4 m</t>
  </si>
  <si>
    <t>Odstranění pažení stěn rýh - příložné - hl. do 4 m</t>
  </si>
  <si>
    <t>Přemístění výkopku</t>
  </si>
  <si>
    <t>Nakládání výkopku z hor.1-4 v množství do 100 m3</t>
  </si>
  <si>
    <t>Konstrukce ze zemin</t>
  </si>
  <si>
    <t>Uložení sypaniny do násypů nezhutněných</t>
  </si>
  <si>
    <t>Zásyp jam, rýh, šachet se zhutněním</t>
  </si>
  <si>
    <t>Obsyp potrubí štěrkopískem</t>
  </si>
  <si>
    <t>Hloubení pro podzemní stěny, ražení a hloubení důlní</t>
  </si>
  <si>
    <t>Poplatek za skládku zeminy 1- 4</t>
  </si>
  <si>
    <t>Základy</t>
  </si>
  <si>
    <t>Beton základových desek prostý C 20/25</t>
  </si>
  <si>
    <t>Výztuž základových desek ze svařovaných sítí</t>
  </si>
  <si>
    <t>Železobeton základových desek C 20/25</t>
  </si>
  <si>
    <t>Zpevňování hornin a konstrukcí</t>
  </si>
  <si>
    <t>Otlučení nebo odsekání omítek stěn</t>
  </si>
  <si>
    <t>Zdi podpěrné a volné</t>
  </si>
  <si>
    <t>Dodatečné vložení izolace podřezáním strojně,fólie</t>
  </si>
  <si>
    <t>Osazení ocelových válcovaných nosníků  č.14-22</t>
  </si>
  <si>
    <t>Stěny a příčky</t>
  </si>
  <si>
    <t>Příčka z tvárnic HELUZ NATURE Energy tl. 250 mm</t>
  </si>
  <si>
    <t>Podkladní vrstvy komunikací, letišť a ploch</t>
  </si>
  <si>
    <t>Podklad ze štěrkodrti po zhutnění tloušťky 15 cm</t>
  </si>
  <si>
    <t>Kryty pozemních komunikací, letišť a ploch dlážděných (předlažby)</t>
  </si>
  <si>
    <t>Komunikace z dlažby zámkové, podklad beton prostý</t>
  </si>
  <si>
    <t>Omítky ze suchých směsí</t>
  </si>
  <si>
    <t>Štuk na stěnách vnitřní Cemix 033, ručně</t>
  </si>
  <si>
    <t>Štuk na stropech Cemix 033 ručně</t>
  </si>
  <si>
    <t>Štuk vnější Cemix 023 b ručně tl. 3 mm</t>
  </si>
  <si>
    <t>Úprava povrchů vnitřní</t>
  </si>
  <si>
    <t>Oprava váp.omítek stropů do 30% plochy - hrubých</t>
  </si>
  <si>
    <t>Oprava vápen.omítek stěn do 30 % pl. - hrubých</t>
  </si>
  <si>
    <t>Začištění omítek kolem oken,dveří apod.</t>
  </si>
  <si>
    <t>Omítka vnitřní zdiva, MVC, štuková</t>
  </si>
  <si>
    <t>Úprava povrchů vnější</t>
  </si>
  <si>
    <t>Penetrační nátěr savých podkladů, slož.3-4, Hasit</t>
  </si>
  <si>
    <t>Nátěr stěn vnějších, slož.3-4 , Hasit, vápenný</t>
  </si>
  <si>
    <t>Podlahy a podlahové konstrukce</t>
  </si>
  <si>
    <t>Penetrace savých podkladů Cemix 0,25 l/m2</t>
  </si>
  <si>
    <t>Izolace proti vodě</t>
  </si>
  <si>
    <t>Izolace proti vlhkosti vodor. nátěr ALP za studena</t>
  </si>
  <si>
    <t>Izolace proti vlhkosti svislá pásy přitavením</t>
  </si>
  <si>
    <t>Izolace proti vodě vodorovná nasucho</t>
  </si>
  <si>
    <t>Izolace tepelné</t>
  </si>
  <si>
    <t>Nátěr protipožární dřeva, C 1, Promadur 30</t>
  </si>
  <si>
    <t>Vnitřní kanalizace</t>
  </si>
  <si>
    <t>Lapač střešních splavenin HL600NHO D 110 až 125 mm</t>
  </si>
  <si>
    <t>Konstrukce tesařské</t>
  </si>
  <si>
    <t>Montáž laťování střech, vzdálenost latí do 22 cm</t>
  </si>
  <si>
    <t>Montáž kontralatí přibitím</t>
  </si>
  <si>
    <t>Spojovací a ochranné prostředky pro střechy</t>
  </si>
  <si>
    <t>Doplnění střešní vazby z hranolů do 224 cm2 vč.dod</t>
  </si>
  <si>
    <t>Montáž dveří tesařských dvoukřídlových</t>
  </si>
  <si>
    <t>Konstrukce klempířské</t>
  </si>
  <si>
    <t>Demontáž krytiny střech</t>
  </si>
  <si>
    <t>Svod z Ti Zn RHEINZINK, kruhový, D 150 mm</t>
  </si>
  <si>
    <t>Žlab podokapní půlkulatý TiZn RHEINZINK rš. 333 mm</t>
  </si>
  <si>
    <t>Oplechování parapetů z Pz plechu</t>
  </si>
  <si>
    <t>Krytina tvrdá</t>
  </si>
  <si>
    <t>Montáž fólie na krokve přibitím</t>
  </si>
  <si>
    <t>Nároží bobrovka, hřebenáči č.1 nos. do malty</t>
  </si>
  <si>
    <t>Úžlabí z bobrovek vykrývané, nokové</t>
  </si>
  <si>
    <t>Krytina betonová Bramac, střechy ostatní</t>
  </si>
  <si>
    <t>Konstrukce doplňkové stavební (zámečnické)</t>
  </si>
  <si>
    <t>Výroba a montáž kov. atypických konstr. do 20 kg</t>
  </si>
  <si>
    <t>Demontáž oken pro beztmelé zasklení,vč.zasklení</t>
  </si>
  <si>
    <t>Podlahy z dlaždic</t>
  </si>
  <si>
    <t>Penetrace podkladu pod dlažby</t>
  </si>
  <si>
    <t>Kladení dlažby keramické do TM, vel. do 400x400 mm</t>
  </si>
  <si>
    <t>Obklad soklíků rovných do tmele výšky do 100 mm</t>
  </si>
  <si>
    <t>Nátěry</t>
  </si>
  <si>
    <t>Odstranění nátěrů z kovových konstrukcí oškrábáním</t>
  </si>
  <si>
    <t>Malby</t>
  </si>
  <si>
    <t>Odstranění malby obroušením v místnosti H do 5 m</t>
  </si>
  <si>
    <t>Malba Primalex Plus, bílá, bez penetrace, 2 x</t>
  </si>
  <si>
    <t>Penetrace podkladu hloubková Primalex 1x</t>
  </si>
  <si>
    <t>Potrubí z trub kameninových</t>
  </si>
  <si>
    <t>Kanalizace z trub PVC hrdlových D 200 mm</t>
  </si>
  <si>
    <t>Kanalizace z trub PVC hrdlových D 160 mm</t>
  </si>
  <si>
    <t>Potrubí z trub plastických, skleněných a čedičových</t>
  </si>
  <si>
    <t>Kladení dren. potrubí bezvýkop.,flex.PVC, bez obs.</t>
  </si>
  <si>
    <t>Ostatní konstrukce a práce na trubním vedení</t>
  </si>
  <si>
    <t>Jímka dešťová</t>
  </si>
  <si>
    <t>Tlaková zkouška vodovodního potrubí DN 125</t>
  </si>
  <si>
    <t>Lešení a stavební výtahy</t>
  </si>
  <si>
    <t>Montáž lešení leh.řad.s podlahami,š.1,2 m, H 10 m</t>
  </si>
  <si>
    <t>Příplatek za každý měsíc použití lešení k pol.1041</t>
  </si>
  <si>
    <t>Demontáž lešení leh.řad.s podlahami,š.1,2 m,H 10 m</t>
  </si>
  <si>
    <t>Lešení lehké pomocné, výška podlahy do 1,9 m</t>
  </si>
  <si>
    <t>Různé dokončovací konstrukce a práce na pozemních stavbách</t>
  </si>
  <si>
    <t>Vyčištění budov o výšce podlaží nad 4 m</t>
  </si>
  <si>
    <t>Bourání konstrukcí</t>
  </si>
  <si>
    <t>Bourání nadzákladového zdiva smíšeného</t>
  </si>
  <si>
    <t>Prorážení otvorů a ostatní bourací práce</t>
  </si>
  <si>
    <t>Otlučení omítek vnitřních vápenných stropů do 30 %</t>
  </si>
  <si>
    <t>Otlučení omítek vnitřních stěn v rozsahu do 30 %</t>
  </si>
  <si>
    <t>Otlučení omítek vnějších MVC v složit.1-4 do 30 %</t>
  </si>
  <si>
    <t>Vybourání otvorů ve zdivu cihelném</t>
  </si>
  <si>
    <t>Odsekání vnitřních obkladů</t>
  </si>
  <si>
    <t>Demolice</t>
  </si>
  <si>
    <t>Demolice konstrukcí jiným způsobem, železobeton</t>
  </si>
  <si>
    <t>Demolice komínů z cihel.zdiva postup. rozebráním</t>
  </si>
  <si>
    <t>Demolice konstr. postup. rozebráním, beton prostý</t>
  </si>
  <si>
    <t>Budovy občanské výstavby</t>
  </si>
  <si>
    <t>Přesun hmot pro budovy zděné výšky do 12 m</t>
  </si>
  <si>
    <t>Přesun hmot pro vnitřní kanalizaci, výšky do 12 m</t>
  </si>
  <si>
    <t>Přesun hmot pro klempířské konstr., výšky do 12 m</t>
  </si>
  <si>
    <t>Přesun hmot pro zámečnické konstr., výšky do 12 m</t>
  </si>
  <si>
    <t>Zemní práce při montážích</t>
  </si>
  <si>
    <t>Odvoz zeminy</t>
  </si>
  <si>
    <t>Provizorní úprava terénu v přírodní hornině 3</t>
  </si>
  <si>
    <t>Naložení a odvoz zeminy</t>
  </si>
  <si>
    <t>Přesuny sutí</t>
  </si>
  <si>
    <t>Poplatek za uložení suti - směs betonu,cihel,dřeva, skupina odpadu 170904</t>
  </si>
  <si>
    <t>Odvoz suti a vybour. hmot na skládku do 1 km</t>
  </si>
  <si>
    <t>Příplatek k odvozu za každý další 1 km</t>
  </si>
  <si>
    <t>Nakládání suti na dopr.prostředky-zvlášt.zakl.obj.</t>
  </si>
  <si>
    <t>Uložení suti na skládku bez zhutnění</t>
  </si>
  <si>
    <t>Poplatek za uložení suti - dřevo+sklo, skupina odpadu 170904</t>
  </si>
  <si>
    <t>Poplatek za skládku suti - cihelné výrobky, skupina odpadu 170102</t>
  </si>
  <si>
    <t>Poplatek za uložení suti - beton, skupina odpadu 170101</t>
  </si>
  <si>
    <t>Vnitrostaveništní doprava suti do 10 m</t>
  </si>
  <si>
    <t>Nakládání vybouraných hmot na dopravní prostředek</t>
  </si>
  <si>
    <t>Ostatní materiál</t>
  </si>
  <si>
    <t>Trubka PVC drenážní flexibilní d 125 mm</t>
  </si>
  <si>
    <t>Zátka PVC d 125 mm pro drenážní trubky</t>
  </si>
  <si>
    <t>Garážová výklopná vrata N80 - ocel, 3000x2125</t>
  </si>
  <si>
    <t>Dveře balkonové dřevěné DARE OS1 900 x 2100 mm</t>
  </si>
  <si>
    <t>Okna atypicky členěná dvojitá</t>
  </si>
  <si>
    <t>Emulze asfaltová penetrační  DEKPRIMER</t>
  </si>
  <si>
    <t>Kamenivo těžené frakce  0/2  D Jihomor. kraj</t>
  </si>
  <si>
    <t>Lapač střešních splavenin gajgr DN 150</t>
  </si>
  <si>
    <t>Pás ochranný proti ptákům 5 m š.80 mm KMB</t>
  </si>
  <si>
    <t>Dlažba Taurus Granit matná 300x600x9 mm</t>
  </si>
  <si>
    <t>Dlažba Taurus Granit matná sokl 300x80x9 mm</t>
  </si>
  <si>
    <t>Tyč průřezu I 160, střední, jakost oceli S235</t>
  </si>
  <si>
    <t>Pás modifikovaný asfalt Glastek 40 special mineral</t>
  </si>
  <si>
    <t>VORN - Vedlejší a ostatní rozpočtové náklady</t>
  </si>
  <si>
    <t>Zařízení staveniště</t>
  </si>
  <si>
    <t>Připojení na energie a jejich spotřeba</t>
  </si>
  <si>
    <t>Odstranění zařízení staveniště</t>
  </si>
  <si>
    <t>Územní vlivy</t>
  </si>
  <si>
    <t>Mimostaveništní doprava</t>
  </si>
  <si>
    <t>Provozní vlivy</t>
  </si>
  <si>
    <t>Ochraná pásma objektů a inženýrských sítí</t>
  </si>
  <si>
    <t>Doba výstavby:</t>
  </si>
  <si>
    <t>Začátek výstavby:</t>
  </si>
  <si>
    <t>Konec výstavby:</t>
  </si>
  <si>
    <t>Zpracováno dne:</t>
  </si>
  <si>
    <t>MJ</t>
  </si>
  <si>
    <t>m3</t>
  </si>
  <si>
    <t>m2</t>
  </si>
  <si>
    <t>t</t>
  </si>
  <si>
    <t>m</t>
  </si>
  <si>
    <t>kus</t>
  </si>
  <si>
    <t>kg</t>
  </si>
  <si>
    <t>m3 OP</t>
  </si>
  <si>
    <t>%</t>
  </si>
  <si>
    <t>Soubor</t>
  </si>
  <si>
    <t>Množství</t>
  </si>
  <si>
    <t>18.09.2021</t>
  </si>
  <si>
    <t>Cena/MJ</t>
  </si>
  <si>
    <t>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</si>
  <si>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</si>
  <si>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</si>
  <si>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</si>
  <si>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</si>
  <si>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</si>
  <si>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</si>
  <si>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</si>
  <si>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 </t>
  </si>
  <si>
    <t>Montáž</t>
  </si>
  <si>
    <t>Celkem</t>
  </si>
  <si>
    <t>Hmotnost (t)</t>
  </si>
  <si>
    <t>Jednot.</t>
  </si>
  <si>
    <t>Cenová</t>
  </si>
  <si>
    <t>soustava</t>
  </si>
  <si>
    <t>RTS II / 2021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</si>
  <si>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</si>
  <si>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</si>
  <si>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</si>
  <si>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</si>
  <si>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</si>
  <si>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</si>
  <si>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</si>
  <si>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</si>
  <si>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</si>
  <si>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0_</t>
  </si>
  <si>
    <t>1_</t>
  </si>
  <si>
    <t>13_</t>
  </si>
  <si>
    <t>15_</t>
  </si>
  <si>
    <t>16_</t>
  </si>
  <si>
    <t>17_</t>
  </si>
  <si>
    <t>19_</t>
  </si>
  <si>
    <t>27_</t>
  </si>
  <si>
    <t>28_</t>
  </si>
  <si>
    <t>31_</t>
  </si>
  <si>
    <t>34_</t>
  </si>
  <si>
    <t>56_</t>
  </si>
  <si>
    <t>59_</t>
  </si>
  <si>
    <t>60_</t>
  </si>
  <si>
    <t>61_</t>
  </si>
  <si>
    <t>62_</t>
  </si>
  <si>
    <t>63_</t>
  </si>
  <si>
    <t>711_</t>
  </si>
  <si>
    <t>713_</t>
  </si>
  <si>
    <t>721_</t>
  </si>
  <si>
    <t>762_</t>
  </si>
  <si>
    <t>764_</t>
  </si>
  <si>
    <t>765_</t>
  </si>
  <si>
    <t>767_</t>
  </si>
  <si>
    <t>771_</t>
  </si>
  <si>
    <t>783_</t>
  </si>
  <si>
    <t>784_</t>
  </si>
  <si>
    <t>83_</t>
  </si>
  <si>
    <t>87_</t>
  </si>
  <si>
    <t>89_</t>
  </si>
  <si>
    <t>94_</t>
  </si>
  <si>
    <t>95_</t>
  </si>
  <si>
    <t>96_</t>
  </si>
  <si>
    <t>97_</t>
  </si>
  <si>
    <t>98_</t>
  </si>
  <si>
    <t>H01_</t>
  </si>
  <si>
    <t>H721_</t>
  </si>
  <si>
    <t>H764_</t>
  </si>
  <si>
    <t>H767_</t>
  </si>
  <si>
    <t>M46_</t>
  </si>
  <si>
    <t>S_</t>
  </si>
  <si>
    <t>Z99999_</t>
  </si>
  <si>
    <t>03VRN_</t>
  </si>
  <si>
    <t>06VRN_</t>
  </si>
  <si>
    <t>07VRN_</t>
  </si>
  <si>
    <t>2_</t>
  </si>
  <si>
    <t>3_</t>
  </si>
  <si>
    <t>5_</t>
  </si>
  <si>
    <t>6_</t>
  </si>
  <si>
    <t>71_</t>
  </si>
  <si>
    <t>72_</t>
  </si>
  <si>
    <t>76_</t>
  </si>
  <si>
    <t>77_</t>
  </si>
  <si>
    <t>78_</t>
  </si>
  <si>
    <t>8_</t>
  </si>
  <si>
    <t>9_</t>
  </si>
  <si>
    <t>Z_</t>
  </si>
  <si>
    <t> _</t>
  </si>
  <si>
    <t>_</t>
  </si>
  <si>
    <t>MAT</t>
  </si>
  <si>
    <t>WORK</t>
  </si>
  <si>
    <t>CELK</t>
  </si>
  <si>
    <t>ISWORK</t>
  </si>
  <si>
    <t>P</t>
  </si>
  <si>
    <t>M</t>
  </si>
  <si>
    <t>GROUPCODE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</si>
  <si>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</si>
  <si>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</si>
  <si>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</si>
  <si>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</si>
  <si>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</si>
  <si>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</si>
  <si>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F</t>
  </si>
  <si>
    <t>Výkaz výměr</t>
  </si>
  <si>
    <t>Potřebné množství</t>
  </si>
  <si>
    <t>Harmonogram</t>
  </si>
  <si>
    <t>Nh</t>
  </si>
  <si>
    <t>Zdroje</t>
  </si>
  <si>
    <t>Trvání</t>
  </si>
  <si>
    <t>Rozpočet (Kč)</t>
  </si>
  <si>
    <t>Čerpání rozpočtu a fakturace</t>
  </si>
  <si>
    <t>Rozpočtové náklady (Kč)</t>
  </si>
  <si>
    <t>Fakturovaná cena (Kč)</t>
  </si>
  <si>
    <t>Rozdíl v Kč</t>
  </si>
  <si>
    <t>Rozdíl v %</t>
  </si>
  <si>
    <t>Fakturované množství</t>
  </si>
  <si>
    <t>Rozdíl</t>
  </si>
  <si>
    <t>Uhrazená cena (Kč)</t>
  </si>
  <si>
    <t>Rozdíl úhrady v Kč</t>
  </si>
  <si>
    <t>Rozdíl úhrady v %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</si>
  <si>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</si>
  <si>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</si>
  <si>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</si>
  <si>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</si>
  <si>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</si>
  <si>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</si>
  <si>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</si>
  <si>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</si>
  <si>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</si>
  <si>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</si>
  <si>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</si>
  <si>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</si>
  <si>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</si>
  <si>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</si>
  <si>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</si>
  <si>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</si>
  <si>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</si>
  <si>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</si>
  <si>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</si>
  <si>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</si>
  <si>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</si>
  <si>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</si>
  <si>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</si>
  <si>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</si>
  <si>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</si>
  <si>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</si>
  <si>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Mimostav. doprava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</si>
  <si>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</si>
  <si>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</si>
  <si>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</si>
  <si>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</si>
  <si>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</si>
  <si>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</si>
  <si>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</si>
  <si>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</si>
  <si>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</si>
  <si>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</si>
  <si>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</si>
  <si>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</si>
  <si>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</si>
  <si>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100000000-VL</t>
  </si>
  <si>
    <t>Vlastní</t>
  </si>
  <si>
    <t>kpl</t>
  </si>
  <si>
    <t xml:space="preserve">Zajištění stropní k-ce při realizaci osazení nosníku garážových vrat </t>
  </si>
  <si>
    <t>289902100-VL</t>
  </si>
  <si>
    <t>Očištění nesoudržné omítky stěn a stropů ,vzduch - vap</t>
  </si>
  <si>
    <t xml:space="preserve">Dodatečné vložení izolace podřezáním </t>
  </si>
  <si>
    <t>Štuk na stěnách vnitřní, ručně</t>
  </si>
  <si>
    <t>Štuk na stropech, ručně</t>
  </si>
  <si>
    <t>Štuk vnější, ručně tl. 3 mm</t>
  </si>
  <si>
    <t>Oprava vápen.omítek stěn do 30 % pl. - hrubých, vnitřních</t>
  </si>
  <si>
    <t>Oprava vápen.omítek stěn do 30 % pl. - hrubých, venkovních</t>
  </si>
  <si>
    <t>Penetrační nátěr savých podkladů</t>
  </si>
  <si>
    <t xml:space="preserve">Nátěr stěn fasádní barva </t>
  </si>
  <si>
    <t>622413100-VL</t>
  </si>
  <si>
    <t>Penetrace savých podkladů 0,25 l/m2</t>
  </si>
  <si>
    <t>Nátěr protipožární kov, C 1</t>
  </si>
  <si>
    <t>721242100-VL</t>
  </si>
  <si>
    <t>713511300-VL</t>
  </si>
  <si>
    <t>Lapač střešních splavenin D 160 až 200 mm</t>
  </si>
  <si>
    <t>762621100-VL</t>
  </si>
  <si>
    <t>Sanace a injektáž stávajícího krovu</t>
  </si>
  <si>
    <t>Svod z Ti Zn, kruhový, D 150 mm</t>
  </si>
  <si>
    <t>Žlab podokapní půlkulatý TiZn  rš. 333 mm</t>
  </si>
  <si>
    <t>764410000-VL</t>
  </si>
  <si>
    <t xml:space="preserve">Komplexní oplechování z Pz plechu </t>
  </si>
  <si>
    <t>Nároží, hřebenáč</t>
  </si>
  <si>
    <t>765311500-VL</t>
  </si>
  <si>
    <t>Ukončení střešní k-ce ,štít</t>
  </si>
  <si>
    <t>Krytina, střechy falcované ostatní D+M</t>
  </si>
  <si>
    <t>765331200-VL</t>
  </si>
  <si>
    <t>767995100-VL</t>
  </si>
  <si>
    <t>767631800-VL</t>
  </si>
  <si>
    <t>Výroba a montáž kov. atypických konstr.</t>
  </si>
  <si>
    <t>Demontáž oken a dveří vč. zasklení a kovových předvýplní</t>
  </si>
  <si>
    <t>783201800-VL</t>
  </si>
  <si>
    <t xml:space="preserve">Odstranění nátěrů z kovových konstrukcí </t>
  </si>
  <si>
    <t>Odstranění malby H do 5 m</t>
  </si>
  <si>
    <t>Malba, bílá, bez penetrace, 2 x</t>
  </si>
  <si>
    <t>Penetrace podkladu hloubková</t>
  </si>
  <si>
    <t xml:space="preserve">Jímka dešťová </t>
  </si>
  <si>
    <t xml:space="preserve">Tlaková zkouška vodovodního potrubí DN 160 </t>
  </si>
  <si>
    <t>Elektro</t>
  </si>
  <si>
    <t>962100000-VL</t>
  </si>
  <si>
    <t xml:space="preserve">Elektro - instalace </t>
  </si>
  <si>
    <t>981512100-VL</t>
  </si>
  <si>
    <t>981331100-VL</t>
  </si>
  <si>
    <t>981511100-VL</t>
  </si>
  <si>
    <t>Demolice z cihel. zdiva</t>
  </si>
  <si>
    <t>Odvoz zeminy z výkopku</t>
  </si>
  <si>
    <t>460600000-VL</t>
  </si>
  <si>
    <t>979990100-VL</t>
  </si>
  <si>
    <t>979082100-VL</t>
  </si>
  <si>
    <t>979086200-VL</t>
  </si>
  <si>
    <t>Garážová vrata D+M</t>
  </si>
  <si>
    <t>553446454-VL</t>
  </si>
  <si>
    <t>61110400-VL</t>
  </si>
  <si>
    <t>Dveře dřevěné 2.NP</t>
  </si>
  <si>
    <t>61194000-VL</t>
  </si>
  <si>
    <t>Okna atypické</t>
  </si>
  <si>
    <t xml:space="preserve">Emulze asfaltová penetrační  </t>
  </si>
  <si>
    <t>Dlažba matná 300x600x9 mm</t>
  </si>
  <si>
    <t>Dlažba matná sokl 300x80x9 mm</t>
  </si>
  <si>
    <t xml:space="preserve">Pás modifikovaný asfalt </t>
  </si>
  <si>
    <t>20.10.2021</t>
  </si>
  <si>
    <t>Komunikace z dlažby zámkové</t>
  </si>
  <si>
    <t>Průduchy : 13 x 150 x 450 výsledek 0,87m3 x 2</t>
  </si>
  <si>
    <t>Okna 1.NP 20 x 1 x 1,3 x 0,45 výsledek 11,7m3</t>
  </si>
  <si>
    <t>Okna 2.NP 15 x 1 x 0,63 výsledek 9,45m3</t>
  </si>
  <si>
    <t>Vrátka 2.NP 1,7 x 3 výsledek 5,3m3</t>
  </si>
  <si>
    <t>Hloubení prostoru garáže 99,81 x 0,65 výsledek 64,87m3</t>
  </si>
  <si>
    <t>Hloubení rýhy deš´tové kanalizace v prostoru budovy 12,05 x 0,7 x 1,2 výsledek 10,12m3</t>
  </si>
  <si>
    <t>Hloubení jam na 12m3 jímky včetně prostoru na obsyp a lože výpočet: 2 x 12 + 12</t>
  </si>
  <si>
    <t xml:space="preserve">Hloubení rýhy deš´tové kanalizace mimo prostor budovy 189,12bm x 1,5 x 0,6 </t>
  </si>
  <si>
    <t>Hloubení rýhy deš´tové kanalizace mimo prostor budovy 201,17bm x 1,5 x 0,6 z toho 1/3 výsledek 54,86</t>
  </si>
  <si>
    <t xml:space="preserve">Výpočet: </t>
  </si>
  <si>
    <t>přebytek z rýhy na deštovou kanalizaci (1/3) 54,86m3</t>
  </si>
  <si>
    <t>prostor garáže 64,87m3</t>
  </si>
  <si>
    <t>z jímek 36m3</t>
  </si>
  <si>
    <t>Výpočet: 99,81 x 0,15</t>
  </si>
  <si>
    <t>Výpočet: 99,81 x 0,1 + přípočet hrubý beton výplň, zesílení</t>
  </si>
  <si>
    <t>Výpočet: 59,06 + 12,05 + 59,06 + 12,05</t>
  </si>
  <si>
    <t xml:space="preserve">Poznámka: nájezdový povrch před jednotlivými gar. vraty </t>
  </si>
  <si>
    <t>Výpočet: 58,56 x 11,05 výsledek 647,08</t>
  </si>
  <si>
    <t>Výpočet: 58,56 + 11,05 + 58,56 + 11,05 x 3,05 výsledek 424,62m2</t>
  </si>
  <si>
    <t>Přípočet: výška garáže + 10m2</t>
  </si>
  <si>
    <t>Odpočet: vrata 36,31m2</t>
  </si>
  <si>
    <t>Odpočet: okna 27,3m2</t>
  </si>
  <si>
    <t>Poznámka: Vnitřní i venkovní</t>
  </si>
  <si>
    <t>Výpočet: 719,12m2</t>
  </si>
  <si>
    <t>Odpočty: okna 1NP 21 x 1,3 výsledek 27,3</t>
  </si>
  <si>
    <t>Odpočty: okna 2NP 14 x 0,63 výsledek 8,82</t>
  </si>
  <si>
    <t>Odpočty: dveře dřevěné 2NP 4 x 1,57 výsledek 6,28</t>
  </si>
  <si>
    <t>Odpočty: gar. vrata výsledek 36,31m2</t>
  </si>
  <si>
    <t xml:space="preserve">Poznámka: Omítka na nové příčce tl. 200 ,oboustranně </t>
  </si>
  <si>
    <t>Příčka z tvárnic tl. 200 mm</t>
  </si>
  <si>
    <t>Výpočet:</t>
  </si>
  <si>
    <t>Venkovní plocha celkem 640,41</t>
  </si>
  <si>
    <t>Vnitřní plocha celkem 371,01</t>
  </si>
  <si>
    <t>Vnitřní plocha strop celkem 647,08</t>
  </si>
  <si>
    <t>Poznámka: komplexní penetrační nátěr mezi omítkovinou ,přechod nová vs. stará</t>
  </si>
  <si>
    <t xml:space="preserve">Poznámka: pod dlažbu garáž </t>
  </si>
  <si>
    <t>Poznámka: vnitřní slopuy, nátěry dle PD</t>
  </si>
  <si>
    <t>Výpočet: 8 x 5,3</t>
  </si>
  <si>
    <t>Výpočet: 59,06 x 2</t>
  </si>
  <si>
    <t>Poznámka: komplexní nové klempířské prvky budovy ,parapety ,okapnice , kovové rámečky s pletivovou výplní dle původního vzoru a dle PD</t>
  </si>
  <si>
    <t xml:space="preserve">Výpočet : 961,44 x 1,2 přesahy folie </t>
  </si>
  <si>
    <t>Poznámka: individuální mříž. předokenní ,atyp výroba dle PD</t>
  </si>
  <si>
    <t>Poznámka : demontáž oken 1NP a 2NP ,demontáž dveří 2NP ,kovová část větrání 2NP (podstavec z CPP 0,66 x 0,66 x 1,05 řeší položka 80 )emontáž dle PD</t>
  </si>
  <si>
    <t>kovová střešní krytina u obyt přístřešku ,likvidace a demontáž dle PD</t>
  </si>
  <si>
    <t>Poznámka : vnitřní sloupy</t>
  </si>
  <si>
    <t>Venkovní plocha celkem 640,41m2</t>
  </si>
  <si>
    <t>Vnitřní plocha celkem 371,01m2</t>
  </si>
  <si>
    <t>Vnitřní plocha strop celkem 647,08m2</t>
  </si>
  <si>
    <t>Poznámka : D+M kompletního potrubí včetně kolen ,T-kusu apod.</t>
  </si>
  <si>
    <t>Poznámka : D+M včetně obsypu / obetonování 2ks x 12m3</t>
  </si>
  <si>
    <t>Výpočet strany : 59,06 + 12,05 + 59,06 x 5,3</t>
  </si>
  <si>
    <t>Výpočet štít : 4,85 x 12,05 / 2</t>
  </si>
  <si>
    <t>Výpočet: 716, 86 x 3</t>
  </si>
  <si>
    <t>Výpočet: 602,21 + 50,89</t>
  </si>
  <si>
    <t xml:space="preserve">viz samostatný rozpočet </t>
  </si>
  <si>
    <t>Poznámka: příprava pro gar. vrata ,průraz pro deš´tovou kanalizaci 2x</t>
  </si>
  <si>
    <t xml:space="preserve">Poznámka: vnitřní prostory 1NP po celém obvodu </t>
  </si>
  <si>
    <t>Prostor jímky 11 x 11 x 0,25 výsledek 30,25m3</t>
  </si>
  <si>
    <t>Prostor podlahy garáž 99,81 x 0,1 výsledek 9,98m3</t>
  </si>
  <si>
    <t>Prostor pro garážová vrata výpočet: 36,31 x 0,45 výsledek 16,33m3</t>
  </si>
  <si>
    <t>Bourání vnitřní příčky 11,32 x 3,05 rovná se 34,52 x 0,25 výsledek 8,63m3</t>
  </si>
  <si>
    <t>Bourání přizdívky 4,48 x 3,05 x 0,15 výsledek 2,04m3</t>
  </si>
  <si>
    <t>Bourání vnitřních příček 15,52m3</t>
  </si>
  <si>
    <t>Bourání technologická šachta a podesta výsledek 4,78m3</t>
  </si>
  <si>
    <t>Bourání odvětrání ve 2NP výpočet 0,66 x 0,66 x 1,05 výsledek 2,74m3</t>
  </si>
  <si>
    <t>Bourání obyt. přístřešek kpl. zdivo 49,53 x 2,75 x 0,5 výsledek 68,10m3</t>
  </si>
  <si>
    <t>Bourání základového pasu 49,53 x 1 x 0,6 výsledek 29,71m3</t>
  </si>
  <si>
    <t>Bourání atika 30,01 x 1 x 0,45 výsledek 13,50m3</t>
  </si>
  <si>
    <t>Bourání Hurdis strop k-ce výpočet 6,37 x 3,23 + 12,05 x 5,06 tj x 0,25 výsledek 20,38m3</t>
  </si>
  <si>
    <t xml:space="preserve">Poznámka : schopné zúrodnění ,vysprávka po překopech kanalizace ,úprava okolí s dodáním ornice </t>
  </si>
  <si>
    <t xml:space="preserve">Poznámka: směs odpadu z demolice nebo rekonstrukce objektu </t>
  </si>
  <si>
    <t>Poznámka: Součet položek 21,55 + 24,55 + 336,01 + 115,15</t>
  </si>
  <si>
    <t>Výpočet : 497,26t x 20km (skládka Petrůvky)</t>
  </si>
  <si>
    <t xml:space="preserve">Poznámka: z výmněny krovů vazba ,z demolice obyt. přístřešku </t>
  </si>
  <si>
    <t>Výpočet: 161,35 x 1,9 + likvidace střešní krytiny 14,9t + z vybouraných konstrukcí pro přípravu gar. vrat 14,55t</t>
  </si>
  <si>
    <t>Výpočet: 40,23 x 1,9 + 20,38 x ,1,9</t>
  </si>
  <si>
    <t>3120 x 2660</t>
  </si>
  <si>
    <t>3400 x 2900</t>
  </si>
  <si>
    <t xml:space="preserve">Poznámka: 4ks dveřních výplní 2.NP dle PD </t>
  </si>
  <si>
    <t xml:space="preserve">Poznámka: komplexní dodávka nových oken dle PD </t>
  </si>
  <si>
    <t xml:space="preserve">Výpočet : 99,81m2 x 1,2 prořez </t>
  </si>
  <si>
    <t xml:space="preserve">Poznámka : svislá i vodorovná izolace ,výpočet včetně potřebného přesahu přeložení </t>
  </si>
  <si>
    <t>Zajištění stropní k-ce</t>
  </si>
  <si>
    <t>139700000-VL</t>
  </si>
  <si>
    <t>553446455-VL</t>
  </si>
  <si>
    <t>Poznámka : komplexní dodávka 2ks ,včetně přizpůsobení otvorů ,zapravení apod.</t>
  </si>
  <si>
    <t>Garážová vrata D+M vybavené dveřmi otvíravými otáčením</t>
  </si>
  <si>
    <t>553446000-VL</t>
  </si>
  <si>
    <t>553446001-VL</t>
  </si>
  <si>
    <t>Hasičský přístroj s platnou revizí 27A 9l</t>
  </si>
  <si>
    <t>Hasičský přístroj s platnou revizí 183B 6l pěna / prášek</t>
  </si>
  <si>
    <t>116</t>
  </si>
  <si>
    <t>117</t>
  </si>
  <si>
    <t>118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</si>
</sst>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d/mm/yy"/>
    <numFmt numFmtId="165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8"/>
      <color indexed="4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i/>
      <sz val="8"/>
      <color theme="4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43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03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18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8" fillId="33" borderId="18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8" fillId="33" borderId="27" xfId="0" applyNumberFormat="1" applyFont="1" applyFill="1" applyBorder="1" applyAlignment="1" applyProtection="1">
      <alignment horizontal="right" vertical="center"/>
      <protection/>
    </xf>
    <xf numFmtId="49" fontId="5" fillId="0" borderId="28" xfId="0" applyNumberFormat="1" applyFont="1" applyFill="1" applyBorder="1" applyAlignment="1" applyProtection="1">
      <alignment horizontal="right" vertical="center"/>
      <protection/>
    </xf>
    <xf numFmtId="49" fontId="8" fillId="33" borderId="28" xfId="0" applyNumberFormat="1" applyFont="1" applyFill="1" applyBorder="1" applyAlignment="1" applyProtection="1">
      <alignment horizontal="right" vertical="center"/>
      <protection/>
    </xf>
    <xf numFmtId="49" fontId="6" fillId="0" borderId="28" xfId="0" applyNumberFormat="1" applyFont="1" applyFill="1" applyBorder="1" applyAlignment="1" applyProtection="1">
      <alignment horizontal="right" vertical="center"/>
      <protection/>
    </xf>
    <xf numFmtId="49" fontId="5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8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29" xfId="0" applyNumberFormat="1" applyFont="1" applyFill="1" applyBorder="1" applyAlignment="1" applyProtection="1">
      <alignment horizontal="right" vertical="center"/>
      <protection/>
    </xf>
    <xf numFmtId="49" fontId="3" fillId="0" borderId="35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left" vertical="center"/>
      <protection/>
    </xf>
    <xf numFmtId="49" fontId="3" fillId="0" borderId="36" xfId="0" applyNumberFormat="1" applyFont="1" applyFill="1" applyBorder="1" applyAlignment="1" applyProtection="1">
      <alignment horizontal="right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22" xfId="0" applyNumberFormat="1" applyFont="1" applyFill="1" applyBorder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3" fillId="0" borderId="23" xfId="0" applyNumberFormat="1" applyFont="1" applyFill="1" applyBorder="1" applyAlignment="1" applyProtection="1">
      <alignment horizontal="righ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49" fontId="8" fillId="33" borderId="13" xfId="0" applyNumberFormat="1" applyFont="1" applyFill="1" applyBorder="1" applyAlignment="1" applyProtection="1">
      <alignment horizontal="left" vertical="center"/>
      <protection/>
    </xf>
    <xf numFmtId="49" fontId="3" fillId="0" borderId="33" xfId="0" applyNumberFormat="1" applyFont="1" applyFill="1" applyBorder="1" applyAlignment="1" applyProtection="1">
      <alignment horizontal="right" vertical="center"/>
      <protection/>
    </xf>
    <xf numFmtId="49" fontId="3" fillId="0" borderId="34" xfId="0" applyNumberFormat="1" applyFont="1" applyFill="1" applyBorder="1" applyAlignment="1" applyProtection="1">
      <alignment horizontal="right" vertical="center"/>
      <protection/>
    </xf>
    <xf numFmtId="4" fontId="5" fillId="0" borderId="38" xfId="0" applyNumberFormat="1" applyFont="1" applyFill="1" applyBorder="1" applyAlignment="1" applyProtection="1">
      <alignment horizontal="right" vertical="center"/>
      <protection/>
    </xf>
    <xf numFmtId="4" fontId="6" fillId="0" borderId="38" xfId="0" applyNumberFormat="1" applyFont="1" applyFill="1" applyBorder="1" applyAlignment="1" applyProtection="1">
      <alignment horizontal="right" vertical="center"/>
      <protection/>
    </xf>
    <xf numFmtId="4" fontId="5" fillId="0" borderId="39" xfId="0" applyNumberFormat="1" applyFont="1" applyFill="1" applyBorder="1" applyAlignment="1" applyProtection="1">
      <alignment horizontal="right" vertical="center"/>
      <protection/>
    </xf>
    <xf numFmtId="49" fontId="3" fillId="0" borderId="32" xfId="0" applyNumberFormat="1" applyFont="1" applyFill="1" applyBorder="1" applyAlignment="1" applyProtection="1">
      <alignment horizontal="right" vertical="center"/>
      <protection/>
    </xf>
    <xf numFmtId="4" fontId="8" fillId="33" borderId="40" xfId="0" applyNumberFormat="1" applyFont="1" applyFill="1" applyBorder="1" applyAlignment="1" applyProtection="1">
      <alignment horizontal="right" vertical="center"/>
      <protection/>
    </xf>
    <xf numFmtId="4" fontId="8" fillId="33" borderId="38" xfId="0" applyNumberFormat="1" applyFont="1" applyFill="1" applyBorder="1" applyAlignment="1" applyProtection="1">
      <alignment horizontal="right" vertical="center"/>
      <protection/>
    </xf>
    <xf numFmtId="4" fontId="8" fillId="33" borderId="41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Fill="1" applyBorder="1" applyAlignment="1" applyProtection="1">
      <alignment horizontal="right" vertical="center"/>
      <protection/>
    </xf>
    <xf numFmtId="4" fontId="8" fillId="33" borderId="30" xfId="0" applyNumberFormat="1" applyFont="1" applyFill="1" applyBorder="1" applyAlignment="1" applyProtection="1">
      <alignment horizontal="right" vertical="center"/>
      <protection/>
    </xf>
    <xf numFmtId="4" fontId="6" fillId="0" borderId="30" xfId="0" applyNumberFormat="1" applyFont="1" applyFill="1" applyBorder="1" applyAlignment="1" applyProtection="1">
      <alignment horizontal="right" vertical="center"/>
      <protection/>
    </xf>
    <xf numFmtId="4" fontId="5" fillId="0" borderId="42" xfId="0" applyNumberFormat="1" applyFont="1" applyFill="1" applyBorder="1" applyAlignment="1" applyProtection="1">
      <alignment horizontal="right" vertical="center"/>
      <protection/>
    </xf>
    <xf numFmtId="4" fontId="8" fillId="33" borderId="27" xfId="0" applyNumberFormat="1" applyFont="1" applyFill="1" applyBorder="1" applyAlignment="1" applyProtection="1">
      <alignment horizontal="right" vertical="center"/>
      <protection/>
    </xf>
    <xf numFmtId="4" fontId="5" fillId="0" borderId="28" xfId="0" applyNumberFormat="1" applyFont="1" applyFill="1" applyBorder="1" applyAlignment="1" applyProtection="1">
      <alignment horizontal="right" vertical="center"/>
      <protection/>
    </xf>
    <xf numFmtId="4" fontId="8" fillId="33" borderId="28" xfId="0" applyNumberFormat="1" applyFont="1" applyFill="1" applyBorder="1" applyAlignment="1" applyProtection="1">
      <alignment horizontal="right"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29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10" fillId="34" borderId="43" xfId="0" applyNumberFormat="1" applyFont="1" applyFill="1" applyBorder="1" applyAlignment="1" applyProtection="1">
      <alignment horizontal="center" vertical="center"/>
      <protection/>
    </xf>
    <xf numFmtId="49" fontId="11" fillId="0" borderId="44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vertical="center"/>
      <protection/>
    </xf>
    <xf numFmtId="49" fontId="12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" fontId="12" fillId="0" borderId="43" xfId="0" applyNumberFormat="1" applyFont="1" applyFill="1" applyBorder="1" applyAlignment="1" applyProtection="1">
      <alignment horizontal="right" vertical="center"/>
      <protection/>
    </xf>
    <xf numFmtId="49" fontId="12" fillId="0" borderId="43" xfId="0" applyNumberFormat="1" applyFont="1" applyFill="1" applyBorder="1" applyAlignment="1" applyProtection="1">
      <alignment horizontal="right" vertical="center"/>
      <protection/>
    </xf>
    <xf numFmtId="4" fontId="12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" fontId="11" fillId="34" borderId="48" xfId="0" applyNumberFormat="1" applyFont="1" applyFill="1" applyBorder="1" applyAlignment="1" applyProtection="1">
      <alignment horizontal="right" vertic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49" fontId="5" fillId="0" borderId="13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0" fontId="48" fillId="0" borderId="0" xfId="0" applyFont="1" applyAlignment="1">
      <alignment vertical="center"/>
    </xf>
    <xf numFmtId="49" fontId="48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Border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49" fontId="6" fillId="0" borderId="28" xfId="0" applyNumberFormat="1" applyFont="1" applyBorder="1" applyAlignment="1">
      <alignment horizontal="right" vertical="center"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0" fontId="8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49" xfId="0" applyNumberFormat="1" applyFont="1" applyFill="1" applyBorder="1" applyAlignment="1" applyProtection="1">
      <alignment horizontal="center" vertical="center"/>
      <protection/>
    </xf>
    <xf numFmtId="0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49" fontId="3" fillId="0" borderId="52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49" fontId="8" fillId="33" borderId="18" xfId="0" applyNumberFormat="1" applyFont="1" applyFill="1" applyBorder="1" applyAlignment="1" applyProtection="1">
      <alignment horizontal="left" vertical="center"/>
      <protection/>
    </xf>
    <xf numFmtId="0" fontId="8" fillId="33" borderId="1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5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 wrapText="1"/>
      <protection/>
    </xf>
    <xf numFmtId="0" fontId="1" fillId="0" borderId="47" xfId="0" applyNumberFormat="1" applyFont="1" applyFill="1" applyBorder="1" applyAlignment="1" applyProtection="1">
      <alignment horizontal="left" vertical="center" wrapText="1"/>
      <protection/>
    </xf>
    <xf numFmtId="49" fontId="3" fillId="0" borderId="56" xfId="0" applyNumberFormat="1" applyFont="1" applyFill="1" applyBorder="1" applyAlignment="1" applyProtection="1">
      <alignment horizontal="left" vertical="center"/>
      <protection/>
    </xf>
    <xf numFmtId="0" fontId="3" fillId="0" borderId="57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right" vertical="center"/>
      <protection/>
    </xf>
    <xf numFmtId="0" fontId="3" fillId="0" borderId="46" xfId="0" applyNumberFormat="1" applyFont="1" applyFill="1" applyBorder="1" applyAlignment="1" applyProtection="1">
      <alignment horizontal="right" vertical="center"/>
      <protection/>
    </xf>
    <xf numFmtId="0" fontId="3" fillId="0" borderId="59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60" xfId="0" applyNumberFormat="1" applyFont="1" applyFill="1" applyBorder="1" applyAlignment="1" applyProtection="1">
      <alignment horizontal="left" vertical="center"/>
      <protection/>
    </xf>
    <xf numFmtId="0" fontId="3" fillId="0" borderId="61" xfId="0" applyNumberFormat="1" applyFont="1" applyFill="1" applyBorder="1" applyAlignment="1" applyProtection="1">
      <alignment horizontal="left" vertical="center"/>
      <protection/>
    </xf>
    <xf numFmtId="49" fontId="12" fillId="0" borderId="3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38" xfId="0" applyNumberFormat="1" applyFont="1" applyFill="1" applyBorder="1" applyAlignment="1" applyProtection="1">
      <alignment horizontal="left" vertical="center"/>
      <protection/>
    </xf>
    <xf numFmtId="49" fontId="12" fillId="0" borderId="62" xfId="0" applyNumberFormat="1" applyFont="1" applyFill="1" applyBorder="1" applyAlignment="1" applyProtection="1">
      <alignment horizontal="left" vertical="center"/>
      <protection/>
    </xf>
    <xf numFmtId="0" fontId="12" fillId="0" borderId="54" xfId="0" applyNumberFormat="1" applyFont="1" applyFill="1" applyBorder="1" applyAlignment="1" applyProtection="1">
      <alignment horizontal="left" vertical="center"/>
      <protection/>
    </xf>
    <xf numFmtId="0" fontId="12" fillId="0" borderId="63" xfId="0" applyNumberFormat="1" applyFont="1" applyFill="1" applyBorder="1" applyAlignment="1" applyProtection="1">
      <alignment horizontal="left" vertical="center"/>
      <protection/>
    </xf>
    <xf numFmtId="49" fontId="11" fillId="34" borderId="64" xfId="0" applyNumberFormat="1" applyFont="1" applyFill="1" applyBorder="1" applyAlignment="1" applyProtection="1">
      <alignment horizontal="left" vertical="center"/>
      <protection/>
    </xf>
    <xf numFmtId="0" fontId="11" fillId="34" borderId="65" xfId="0" applyNumberFormat="1" applyFont="1" applyFill="1" applyBorder="1" applyAlignment="1" applyProtection="1">
      <alignment horizontal="left" vertical="center"/>
      <protection/>
    </xf>
    <xf numFmtId="49" fontId="12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0" fontId="12" fillId="0" borderId="40" xfId="0" applyNumberFormat="1" applyFont="1" applyFill="1" applyBorder="1" applyAlignment="1" applyProtection="1">
      <alignment horizontal="left" vertical="center"/>
      <protection/>
    </xf>
    <xf numFmtId="49" fontId="11" fillId="0" borderId="64" xfId="0" applyNumberFormat="1" applyFont="1" applyFill="1" applyBorder="1" applyAlignment="1" applyProtection="1">
      <alignment horizontal="left" vertical="center"/>
      <protection/>
    </xf>
    <xf numFmtId="0" fontId="11" fillId="0" borderId="48" xfId="0" applyNumberFormat="1" applyFont="1" applyFill="1" applyBorder="1" applyAlignment="1" applyProtection="1">
      <alignment horizontal="left" vertical="center"/>
      <protection/>
    </xf>
    <xf numFmtId="49" fontId="12" fillId="0" borderId="64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49" fontId="9" fillId="0" borderId="65" xfId="0" applyNumberFormat="1" applyFont="1" applyFill="1" applyBorder="1" applyAlignment="1" applyProtection="1">
      <alignment horizontal="center" vertical="center"/>
      <protection/>
    </xf>
    <xf numFmtId="0" fontId="9" fillId="0" borderId="65" xfId="0" applyNumberFormat="1" applyFont="1" applyFill="1" applyBorder="1" applyAlignment="1" applyProtection="1">
      <alignment horizontal="center" vertical="center"/>
      <protection/>
    </xf>
    <xf numFmtId="49" fontId="13" fillId="0" borderId="64" xfId="0" applyNumberFormat="1" applyFont="1" applyFill="1" applyBorder="1" applyAlignment="1" applyProtection="1">
      <alignment horizontal="left" vertical="center"/>
      <protection/>
    </xf>
    <xf numFmtId="0" fontId="13" fillId="0" borderId="48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4" fontId="49" fillId="0" borderId="0" xfId="0" applyNumberFormat="1" applyFont="1" applyFill="1" applyBorder="1" applyAlignment="1" applyProtection="1">
      <alignment horizontal="right" vertical="center"/>
      <protection/>
    </xf>
    <xf numFmtId="49" fontId="49" fillId="0" borderId="13" xfId="0" applyNumberFormat="1" applyFont="1" applyFill="1" applyBorder="1" applyAlignment="1" applyProtection="1">
      <alignment horizontal="left" vertical="center"/>
      <protection/>
    </xf>
    <xf numFmtId="49" fontId="49" fillId="0" borderId="0" xfId="0" applyNumberFormat="1" applyFont="1" applyFill="1" applyBorder="1" applyAlignment="1" applyProtection="1">
      <alignment horizontal="left" vertical="center"/>
      <protection/>
    </xf>
    <xf numFmtId="49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49" fontId="49" fillId="0" borderId="28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933450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685800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742950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219075</xdr:colOff>
      <xdr:row>0</xdr:row>
      <xdr:rowOff>647700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75"/>
  <sheetViews>
    <sheetView tabSelected="1" zoomScalePageLayoutView="0" workbookViewId="0" topLeftCell="A1">
      <pane ySplit="11" topLeftCell="A93" activePane="bottomLeft" state="frozen"/>
      <selection pane="topLeft" activeCell="A1" sqref="A1"/>
      <selection pane="bottomLeft" activeCell="D115" sqref="D115:E115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1.421875" style="0" customWidth="1"/>
    <col min="5" max="5" width="61.7109375" style="0" customWidth="1"/>
    <col min="6" max="6" width="6.71093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54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</row>
    <row r="2" spans="1:15" ht="12.75">
      <c r="A2" s="156" t="s">
        <v>1</v>
      </c>
      <c r="B2" s="157"/>
      <c r="C2" s="157"/>
      <c r="D2" s="158" t="s">
        <v>259</v>
      </c>
      <c r="E2" s="132"/>
      <c r="F2" s="160" t="s">
        <v>420</v>
      </c>
      <c r="G2" s="157"/>
      <c r="H2" s="160" t="s">
        <v>6</v>
      </c>
      <c r="I2" s="161" t="s">
        <v>438</v>
      </c>
      <c r="J2" s="160" t="s">
        <v>445</v>
      </c>
      <c r="K2" s="157"/>
      <c r="L2" s="157"/>
      <c r="M2" s="157"/>
      <c r="N2" s="162"/>
      <c r="O2" s="39"/>
    </row>
    <row r="3" spans="1:15" ht="12.75">
      <c r="A3" s="153"/>
      <c r="B3" s="134"/>
      <c r="C3" s="134"/>
      <c r="D3" s="159"/>
      <c r="E3" s="159"/>
      <c r="F3" s="134"/>
      <c r="G3" s="134"/>
      <c r="H3" s="134"/>
      <c r="I3" s="134"/>
      <c r="J3" s="134"/>
      <c r="K3" s="134"/>
      <c r="L3" s="134"/>
      <c r="M3" s="134"/>
      <c r="N3" s="151"/>
      <c r="O3" s="39"/>
    </row>
    <row r="4" spans="1:15" ht="12.75">
      <c r="A4" s="147" t="s">
        <v>2</v>
      </c>
      <c r="B4" s="134"/>
      <c r="C4" s="134"/>
      <c r="D4" s="133" t="s">
        <v>260</v>
      </c>
      <c r="E4" s="134"/>
      <c r="F4" s="150" t="s">
        <v>421</v>
      </c>
      <c r="G4" s="134"/>
      <c r="H4" s="150" t="s">
        <v>656</v>
      </c>
      <c r="I4" s="133" t="s">
        <v>439</v>
      </c>
      <c r="J4" s="150" t="s">
        <v>445</v>
      </c>
      <c r="K4" s="134"/>
      <c r="L4" s="134"/>
      <c r="M4" s="134"/>
      <c r="N4" s="151"/>
      <c r="O4" s="39"/>
    </row>
    <row r="5" spans="1:15" ht="12.75">
      <c r="A5" s="15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51"/>
      <c r="O5" s="39"/>
    </row>
    <row r="6" spans="1:15" ht="12.75">
      <c r="A6" s="147" t="s">
        <v>3</v>
      </c>
      <c r="B6" s="134"/>
      <c r="C6" s="134"/>
      <c r="D6" s="133" t="s">
        <v>261</v>
      </c>
      <c r="E6" s="134"/>
      <c r="F6" s="150" t="s">
        <v>422</v>
      </c>
      <c r="G6" s="134"/>
      <c r="H6" s="150" t="s">
        <v>6</v>
      </c>
      <c r="I6" s="133" t="s">
        <v>440</v>
      </c>
      <c r="J6" s="150" t="s">
        <v>445</v>
      </c>
      <c r="K6" s="134"/>
      <c r="L6" s="134"/>
      <c r="M6" s="134"/>
      <c r="N6" s="151"/>
      <c r="O6" s="39"/>
    </row>
    <row r="7" spans="1:15" ht="12.75">
      <c r="A7" s="15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51"/>
      <c r="O7" s="39"/>
    </row>
    <row r="8" spans="1:15" ht="12.75">
      <c r="A8" s="147" t="s">
        <v>4</v>
      </c>
      <c r="B8" s="134"/>
      <c r="C8" s="134"/>
      <c r="D8" s="133" t="s">
        <v>6</v>
      </c>
      <c r="E8" s="134"/>
      <c r="F8" s="150" t="s">
        <v>423</v>
      </c>
      <c r="G8" s="134"/>
      <c r="H8" s="150" t="s">
        <v>656</v>
      </c>
      <c r="I8" s="133" t="s">
        <v>441</v>
      </c>
      <c r="J8" s="150" t="s">
        <v>445</v>
      </c>
      <c r="K8" s="134"/>
      <c r="L8" s="134"/>
      <c r="M8" s="134"/>
      <c r="N8" s="151"/>
      <c r="O8" s="39"/>
    </row>
    <row r="9" spans="1:15" ht="12.75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52"/>
      <c r="O9" s="39"/>
    </row>
    <row r="10" spans="1:64" ht="12.75">
      <c r="A10" s="1" t="s">
        <v>5</v>
      </c>
      <c r="B10" s="10" t="s">
        <v>123</v>
      </c>
      <c r="C10" s="10" t="s">
        <v>124</v>
      </c>
      <c r="D10" s="138" t="s">
        <v>262</v>
      </c>
      <c r="E10" s="139"/>
      <c r="F10" s="10" t="s">
        <v>424</v>
      </c>
      <c r="G10" s="20" t="s">
        <v>434</v>
      </c>
      <c r="H10" s="24" t="s">
        <v>436</v>
      </c>
      <c r="I10" s="140" t="s">
        <v>442</v>
      </c>
      <c r="J10" s="141"/>
      <c r="K10" s="142"/>
      <c r="L10" s="140" t="s">
        <v>448</v>
      </c>
      <c r="M10" s="142"/>
      <c r="N10" s="32" t="s">
        <v>450</v>
      </c>
      <c r="O10" s="40"/>
      <c r="BK10" s="31" t="s">
        <v>524</v>
      </c>
      <c r="BL10" s="45" t="s">
        <v>527</v>
      </c>
    </row>
    <row r="11" spans="1:62" ht="12.75">
      <c r="A11" s="2" t="s">
        <v>6</v>
      </c>
      <c r="B11" s="11" t="s">
        <v>6</v>
      </c>
      <c r="C11" s="11" t="s">
        <v>6</v>
      </c>
      <c r="D11" s="143" t="s">
        <v>263</v>
      </c>
      <c r="E11" s="144"/>
      <c r="F11" s="11" t="s">
        <v>6</v>
      </c>
      <c r="G11" s="11" t="s">
        <v>6</v>
      </c>
      <c r="H11" s="25" t="s">
        <v>437</v>
      </c>
      <c r="I11" s="26" t="s">
        <v>443</v>
      </c>
      <c r="J11" s="28" t="s">
        <v>446</v>
      </c>
      <c r="K11" s="29" t="s">
        <v>447</v>
      </c>
      <c r="L11" s="26" t="s">
        <v>449</v>
      </c>
      <c r="M11" s="29" t="s">
        <v>447</v>
      </c>
      <c r="N11" s="33" t="s">
        <v>451</v>
      </c>
      <c r="O11" s="40"/>
      <c r="Z11" s="31" t="s">
        <v>453</v>
      </c>
      <c r="AA11" s="31" t="s">
        <v>454</v>
      </c>
      <c r="AB11" s="31" t="s">
        <v>455</v>
      </c>
      <c r="AC11" s="31" t="s">
        <v>456</v>
      </c>
      <c r="AD11" s="31" t="s">
        <v>457</v>
      </c>
      <c r="AE11" s="31" t="s">
        <v>458</v>
      </c>
      <c r="AF11" s="31" t="s">
        <v>459</v>
      </c>
      <c r="AG11" s="31" t="s">
        <v>460</v>
      </c>
      <c r="AH11" s="31" t="s">
        <v>461</v>
      </c>
      <c r="BH11" s="31" t="s">
        <v>521</v>
      </c>
      <c r="BI11" s="31" t="s">
        <v>522</v>
      </c>
      <c r="BJ11" s="31" t="s">
        <v>523</v>
      </c>
    </row>
    <row r="12" spans="1:47" ht="12.75">
      <c r="A12" s="3"/>
      <c r="B12" s="12"/>
      <c r="C12" s="12" t="s">
        <v>125</v>
      </c>
      <c r="D12" s="145" t="s">
        <v>264</v>
      </c>
      <c r="E12" s="146"/>
      <c r="F12" s="18" t="s">
        <v>6</v>
      </c>
      <c r="G12" s="18" t="s">
        <v>6</v>
      </c>
      <c r="H12" s="18" t="s">
        <v>6</v>
      </c>
      <c r="I12" s="46">
        <f>SUM(I13:I13)</f>
        <v>0</v>
      </c>
      <c r="J12" s="46">
        <f>SUM(J13:J13)</f>
        <v>0</v>
      </c>
      <c r="K12" s="46">
        <f>SUM(K13:K13)</f>
        <v>0</v>
      </c>
      <c r="L12" s="30"/>
      <c r="M12" s="46">
        <f>SUM(M13:M13)</f>
        <v>0</v>
      </c>
      <c r="N12" s="34"/>
      <c r="O12" s="39"/>
      <c r="AI12" s="31"/>
      <c r="AS12" s="47">
        <f>SUM(AJ13:AJ13)</f>
        <v>0</v>
      </c>
      <c r="AT12" s="47">
        <f>SUM(AK13:AK13)</f>
        <v>0</v>
      </c>
      <c r="AU12" s="47">
        <f>SUM(AL13:AL13)</f>
        <v>0</v>
      </c>
    </row>
    <row r="13" spans="1:64" ht="12.75">
      <c r="A13" s="4" t="s">
        <v>7</v>
      </c>
      <c r="B13" s="13"/>
      <c r="C13" s="13" t="s">
        <v>126</v>
      </c>
      <c r="D13" s="125" t="s">
        <v>265</v>
      </c>
      <c r="E13" s="126"/>
      <c r="F13" s="13" t="s">
        <v>425</v>
      </c>
      <c r="G13" s="21">
        <v>28.2</v>
      </c>
      <c r="H13" s="21">
        <v>0</v>
      </c>
      <c r="I13" s="21">
        <f>G13*AO13</f>
        <v>0</v>
      </c>
      <c r="J13" s="21">
        <f>G13*AP13</f>
        <v>0</v>
      </c>
      <c r="K13" s="21">
        <f>G13*H13</f>
        <v>0</v>
      </c>
      <c r="L13" s="21">
        <v>0</v>
      </c>
      <c r="M13" s="21">
        <f>G13*L13</f>
        <v>0</v>
      </c>
      <c r="N13" s="35" t="s">
        <v>452</v>
      </c>
      <c r="O13" s="39"/>
      <c r="Z13" s="41">
        <f>IF(AQ13="5",BJ13,0)</f>
        <v>0</v>
      </c>
      <c r="AB13" s="41">
        <f>IF(AQ13="1",BH13,0)</f>
        <v>0</v>
      </c>
      <c r="AC13" s="41">
        <f>IF(AQ13="1",BI13,0)</f>
        <v>0</v>
      </c>
      <c r="AD13" s="41">
        <f>IF(AQ13="7",BH13,0)</f>
        <v>0</v>
      </c>
      <c r="AE13" s="41">
        <f>IF(AQ13="7",BI13,0)</f>
        <v>0</v>
      </c>
      <c r="AF13" s="41">
        <f>IF(AQ13="2",BH13,0)</f>
        <v>0</v>
      </c>
      <c r="AG13" s="41">
        <f>IF(AQ13="2",BI13,0)</f>
        <v>0</v>
      </c>
      <c r="AH13" s="41">
        <f>IF(AQ13="0",BJ13,0)</f>
        <v>0</v>
      </c>
      <c r="AI13" s="31"/>
      <c r="AJ13" s="21">
        <f>IF(AN13=0,K13,0)</f>
        <v>0</v>
      </c>
      <c r="AK13" s="21">
        <f>IF(AN13=15,K13,0)</f>
        <v>0</v>
      </c>
      <c r="AL13" s="21">
        <f>IF(AN13=21,K13,0)</f>
        <v>0</v>
      </c>
      <c r="AN13" s="41">
        <v>21</v>
      </c>
      <c r="AO13" s="41">
        <f>H13*0</f>
        <v>0</v>
      </c>
      <c r="AP13" s="41">
        <f>H13*(1-0)</f>
        <v>0</v>
      </c>
      <c r="AQ13" s="42" t="s">
        <v>7</v>
      </c>
      <c r="AV13" s="41">
        <f>AW13+AX13</f>
        <v>0</v>
      </c>
      <c r="AW13" s="41">
        <f>G13*AO13</f>
        <v>0</v>
      </c>
      <c r="AX13" s="41">
        <f>G13*AP13</f>
        <v>0</v>
      </c>
      <c r="AY13" s="44" t="s">
        <v>462</v>
      </c>
      <c r="AZ13" s="44" t="s">
        <v>462</v>
      </c>
      <c r="BA13" s="31" t="s">
        <v>520</v>
      </c>
      <c r="BC13" s="41">
        <f>AW13+AX13</f>
        <v>0</v>
      </c>
      <c r="BD13" s="41">
        <f>H13/(100-BE13)*100</f>
        <v>0</v>
      </c>
      <c r="BE13" s="41">
        <v>0</v>
      </c>
      <c r="BF13" s="41">
        <f>M13</f>
        <v>0</v>
      </c>
      <c r="BH13" s="21">
        <f>G13*AO13</f>
        <v>0</v>
      </c>
      <c r="BI13" s="21">
        <f>G13*AP13</f>
        <v>0</v>
      </c>
      <c r="BJ13" s="21">
        <f>G13*H13</f>
        <v>0</v>
      </c>
      <c r="BK13" s="21" t="s">
        <v>525</v>
      </c>
      <c r="BL13" s="41">
        <v>0</v>
      </c>
    </row>
    <row r="14" spans="1:64" ht="12.75">
      <c r="A14" s="109"/>
      <c r="B14" s="110"/>
      <c r="C14" s="110"/>
      <c r="D14" s="110"/>
      <c r="E14" s="111" t="s">
        <v>658</v>
      </c>
      <c r="F14" s="110"/>
      <c r="G14" s="112"/>
      <c r="H14" s="112"/>
      <c r="I14" s="112"/>
      <c r="J14" s="112"/>
      <c r="K14" s="112"/>
      <c r="L14" s="112"/>
      <c r="M14" s="112"/>
      <c r="N14" s="113"/>
      <c r="O14" s="39"/>
      <c r="Z14" s="41"/>
      <c r="AB14" s="41"/>
      <c r="AC14" s="41"/>
      <c r="AD14" s="41"/>
      <c r="AE14" s="41"/>
      <c r="AF14" s="41"/>
      <c r="AG14" s="41"/>
      <c r="AH14" s="41"/>
      <c r="AI14" s="31"/>
      <c r="AJ14" s="21"/>
      <c r="AK14" s="21"/>
      <c r="AL14" s="21"/>
      <c r="AN14" s="41"/>
      <c r="AO14" s="41"/>
      <c r="AP14" s="41"/>
      <c r="AQ14" s="42"/>
      <c r="AV14" s="41"/>
      <c r="AW14" s="41"/>
      <c r="AX14" s="41"/>
      <c r="AY14" s="44"/>
      <c r="AZ14" s="44"/>
      <c r="BA14" s="31"/>
      <c r="BC14" s="41"/>
      <c r="BD14" s="41"/>
      <c r="BE14" s="41"/>
      <c r="BF14" s="41"/>
      <c r="BH14" s="21"/>
      <c r="BI14" s="21"/>
      <c r="BJ14" s="21"/>
      <c r="BK14" s="21"/>
      <c r="BL14" s="41"/>
    </row>
    <row r="15" spans="1:64" ht="12.75">
      <c r="A15" s="109"/>
      <c r="B15" s="110"/>
      <c r="C15" s="110"/>
      <c r="D15" s="110"/>
      <c r="E15" s="111" t="s">
        <v>659</v>
      </c>
      <c r="F15" s="110"/>
      <c r="G15" s="112"/>
      <c r="H15" s="112"/>
      <c r="I15" s="112"/>
      <c r="J15" s="112"/>
      <c r="K15" s="112"/>
      <c r="L15" s="112"/>
      <c r="M15" s="112"/>
      <c r="N15" s="113"/>
      <c r="O15" s="39"/>
      <c r="Z15" s="41"/>
      <c r="AB15" s="41"/>
      <c r="AC15" s="41"/>
      <c r="AD15" s="41"/>
      <c r="AE15" s="41"/>
      <c r="AF15" s="41"/>
      <c r="AG15" s="41"/>
      <c r="AH15" s="41"/>
      <c r="AI15" s="31"/>
      <c r="AJ15" s="21"/>
      <c r="AK15" s="21"/>
      <c r="AL15" s="21"/>
      <c r="AN15" s="41"/>
      <c r="AO15" s="41"/>
      <c r="AP15" s="41"/>
      <c r="AQ15" s="42"/>
      <c r="AV15" s="41"/>
      <c r="AW15" s="41"/>
      <c r="AX15" s="41"/>
      <c r="AY15" s="44"/>
      <c r="AZ15" s="44"/>
      <c r="BA15" s="31"/>
      <c r="BC15" s="41"/>
      <c r="BD15" s="41"/>
      <c r="BE15" s="41"/>
      <c r="BF15" s="41"/>
      <c r="BH15" s="21"/>
      <c r="BI15" s="21"/>
      <c r="BJ15" s="21"/>
      <c r="BK15" s="21"/>
      <c r="BL15" s="41"/>
    </row>
    <row r="16" spans="1:64" ht="12.75">
      <c r="A16" s="109"/>
      <c r="B16" s="110"/>
      <c r="C16" s="110"/>
      <c r="D16" s="110"/>
      <c r="E16" s="111" t="s">
        <v>660</v>
      </c>
      <c r="F16" s="110"/>
      <c r="G16" s="112"/>
      <c r="H16" s="112"/>
      <c r="I16" s="112"/>
      <c r="J16" s="112"/>
      <c r="K16" s="112"/>
      <c r="L16" s="112"/>
      <c r="M16" s="112"/>
      <c r="N16" s="113"/>
      <c r="O16" s="39"/>
      <c r="Z16" s="41"/>
      <c r="AB16" s="41"/>
      <c r="AC16" s="41"/>
      <c r="AD16" s="41"/>
      <c r="AE16" s="41"/>
      <c r="AF16" s="41"/>
      <c r="AG16" s="41"/>
      <c r="AH16" s="41"/>
      <c r="AI16" s="31"/>
      <c r="AJ16" s="21"/>
      <c r="AK16" s="21"/>
      <c r="AL16" s="21"/>
      <c r="AN16" s="41"/>
      <c r="AO16" s="41"/>
      <c r="AP16" s="41"/>
      <c r="AQ16" s="42"/>
      <c r="AV16" s="41"/>
      <c r="AW16" s="41"/>
      <c r="AX16" s="41"/>
      <c r="AY16" s="44"/>
      <c r="AZ16" s="44"/>
      <c r="BA16" s="31"/>
      <c r="BC16" s="41"/>
      <c r="BD16" s="41"/>
      <c r="BE16" s="41"/>
      <c r="BF16" s="41"/>
      <c r="BH16" s="21"/>
      <c r="BI16" s="21"/>
      <c r="BJ16" s="21"/>
      <c r="BK16" s="21"/>
      <c r="BL16" s="41"/>
    </row>
    <row r="17" spans="1:64" ht="12.75">
      <c r="A17" s="109"/>
      <c r="B17" s="110"/>
      <c r="C17" s="110"/>
      <c r="D17" s="110"/>
      <c r="E17" s="111" t="s">
        <v>661</v>
      </c>
      <c r="F17" s="110"/>
      <c r="G17" s="112"/>
      <c r="H17" s="112"/>
      <c r="I17" s="112"/>
      <c r="J17" s="112"/>
      <c r="K17" s="112"/>
      <c r="L17" s="112"/>
      <c r="M17" s="112"/>
      <c r="N17" s="113"/>
      <c r="O17" s="39"/>
      <c r="Z17" s="41"/>
      <c r="AB17" s="41"/>
      <c r="AC17" s="41"/>
      <c r="AD17" s="41"/>
      <c r="AE17" s="41"/>
      <c r="AF17" s="41"/>
      <c r="AG17" s="41"/>
      <c r="AH17" s="41"/>
      <c r="AI17" s="31"/>
      <c r="AJ17" s="21"/>
      <c r="AK17" s="21"/>
      <c r="AL17" s="21"/>
      <c r="AN17" s="41"/>
      <c r="AO17" s="41"/>
      <c r="AP17" s="41"/>
      <c r="AQ17" s="42"/>
      <c r="AV17" s="41"/>
      <c r="AW17" s="41"/>
      <c r="AX17" s="41"/>
      <c r="AY17" s="44"/>
      <c r="AZ17" s="44"/>
      <c r="BA17" s="31"/>
      <c r="BC17" s="41"/>
      <c r="BD17" s="41"/>
      <c r="BE17" s="41"/>
      <c r="BF17" s="41"/>
      <c r="BH17" s="21"/>
      <c r="BI17" s="21"/>
      <c r="BJ17" s="21"/>
      <c r="BK17" s="21"/>
      <c r="BL17" s="41"/>
    </row>
    <row r="18" spans="1:47" ht="12.75">
      <c r="A18" s="5"/>
      <c r="B18" s="14"/>
      <c r="C18" s="14" t="s">
        <v>7</v>
      </c>
      <c r="D18" s="127" t="s">
        <v>740</v>
      </c>
      <c r="E18" s="127"/>
      <c r="F18" s="19" t="s">
        <v>6</v>
      </c>
      <c r="G18" s="19" t="s">
        <v>6</v>
      </c>
      <c r="H18" s="19" t="s">
        <v>6</v>
      </c>
      <c r="I18" s="47">
        <f>SUM(I19:I19)</f>
        <v>0</v>
      </c>
      <c r="J18" s="47">
        <f>SUM(J19:J19)</f>
        <v>0</v>
      </c>
      <c r="K18" s="47">
        <f>SUM(K19:K19)</f>
        <v>0</v>
      </c>
      <c r="L18" s="31"/>
      <c r="M18" s="47">
        <f>SUM(M19:M19)</f>
        <v>0</v>
      </c>
      <c r="N18" s="36"/>
      <c r="O18" s="39"/>
      <c r="AI18" s="31"/>
      <c r="AS18" s="47">
        <f>SUM(AJ19:AJ19)</f>
        <v>0</v>
      </c>
      <c r="AT18" s="47">
        <f>SUM(AK19:AK19)</f>
        <v>0</v>
      </c>
      <c r="AU18" s="47">
        <f>SUM(AL19:AL19)</f>
        <v>0</v>
      </c>
    </row>
    <row r="19" spans="1:64" ht="12.75">
      <c r="A19" s="4" t="s">
        <v>8</v>
      </c>
      <c r="B19" s="13"/>
      <c r="C19" s="13" t="s">
        <v>592</v>
      </c>
      <c r="D19" s="125" t="s">
        <v>595</v>
      </c>
      <c r="E19" s="125"/>
      <c r="F19" s="13" t="s">
        <v>594</v>
      </c>
      <c r="G19" s="21">
        <v>1</v>
      </c>
      <c r="H19" s="21">
        <v>0</v>
      </c>
      <c r="I19" s="21">
        <f>G19*AO19</f>
        <v>0</v>
      </c>
      <c r="J19" s="21">
        <f>G19*AP19</f>
        <v>0</v>
      </c>
      <c r="K19" s="21">
        <f>G19*H19</f>
        <v>0</v>
      </c>
      <c r="L19" s="21">
        <v>0</v>
      </c>
      <c r="M19" s="21">
        <f>G19*L19</f>
        <v>0</v>
      </c>
      <c r="N19" s="35" t="s">
        <v>593</v>
      </c>
      <c r="O19" s="39"/>
      <c r="Z19" s="41">
        <f>IF(AQ19="5",BJ19,0)</f>
        <v>0</v>
      </c>
      <c r="AB19" s="41">
        <f>IF(AQ19="1",BH19,0)</f>
        <v>0</v>
      </c>
      <c r="AC19" s="41">
        <f>IF(AQ19="1",BI19,0)</f>
        <v>0</v>
      </c>
      <c r="AD19" s="41">
        <f>IF(AQ19="7",BH19,0)</f>
        <v>0</v>
      </c>
      <c r="AE19" s="41">
        <f>IF(AQ19="7",BI19,0)</f>
        <v>0</v>
      </c>
      <c r="AF19" s="41">
        <f>IF(AQ19="2",BH19,0)</f>
        <v>0</v>
      </c>
      <c r="AG19" s="41">
        <f>IF(AQ19="2",BI19,0)</f>
        <v>0</v>
      </c>
      <c r="AH19" s="41">
        <f>IF(AQ19="0",BJ19,0)</f>
        <v>0</v>
      </c>
      <c r="AI19" s="31"/>
      <c r="AJ19" s="21">
        <f>IF(AN19=0,K19,0)</f>
        <v>0</v>
      </c>
      <c r="AK19" s="21">
        <f>IF(AN19=15,K19,0)</f>
        <v>0</v>
      </c>
      <c r="AL19" s="21">
        <f>IF(AN19=21,K19,0)</f>
        <v>0</v>
      </c>
      <c r="AN19" s="41">
        <v>21</v>
      </c>
      <c r="AO19" s="41">
        <f>H19*0</f>
        <v>0</v>
      </c>
      <c r="AP19" s="41">
        <f>H19*(1-0)</f>
        <v>0</v>
      </c>
      <c r="AQ19" s="42" t="s">
        <v>7</v>
      </c>
      <c r="AV19" s="41">
        <f>AW19+AX19</f>
        <v>0</v>
      </c>
      <c r="AW19" s="41">
        <f>G19*AO19</f>
        <v>0</v>
      </c>
      <c r="AX19" s="41">
        <f>G19*AP19</f>
        <v>0</v>
      </c>
      <c r="AY19" s="44" t="s">
        <v>463</v>
      </c>
      <c r="AZ19" s="44" t="s">
        <v>463</v>
      </c>
      <c r="BA19" s="31" t="s">
        <v>520</v>
      </c>
      <c r="BC19" s="41">
        <f>AW19+AX19</f>
        <v>0</v>
      </c>
      <c r="BD19" s="41">
        <f>H19/(100-BE19)*100</f>
        <v>0</v>
      </c>
      <c r="BE19" s="41">
        <v>0</v>
      </c>
      <c r="BF19" s="41">
        <f>M19</f>
        <v>0</v>
      </c>
      <c r="BH19" s="21">
        <f>G19*AO19</f>
        <v>0</v>
      </c>
      <c r="BI19" s="21">
        <f>G19*AP19</f>
        <v>0</v>
      </c>
      <c r="BJ19" s="21">
        <f>G19*H19</f>
        <v>0</v>
      </c>
      <c r="BK19" s="21" t="s">
        <v>525</v>
      </c>
      <c r="BL19" s="41">
        <v>1</v>
      </c>
    </row>
    <row r="20" spans="1:47" ht="12.75">
      <c r="A20" s="5"/>
      <c r="B20" s="14"/>
      <c r="C20" s="14" t="s">
        <v>19</v>
      </c>
      <c r="D20" s="127" t="s">
        <v>268</v>
      </c>
      <c r="E20" s="127"/>
      <c r="F20" s="19" t="s">
        <v>6</v>
      </c>
      <c r="G20" s="19" t="s">
        <v>6</v>
      </c>
      <c r="H20" s="19" t="s">
        <v>6</v>
      </c>
      <c r="I20" s="47">
        <f>SUM(I21:I29)</f>
        <v>0</v>
      </c>
      <c r="J20" s="47">
        <f>SUM(J21:J29)</f>
        <v>0</v>
      </c>
      <c r="K20" s="47">
        <f>SUM(K21:K29)</f>
        <v>0</v>
      </c>
      <c r="L20" s="31"/>
      <c r="M20" s="47">
        <f>SUM(M21:M29)</f>
        <v>0</v>
      </c>
      <c r="N20" s="36"/>
      <c r="O20" s="39"/>
      <c r="AI20" s="31"/>
      <c r="AS20" s="47">
        <f>SUM(AJ21:AJ29)</f>
        <v>0</v>
      </c>
      <c r="AT20" s="47">
        <f>SUM(AK21:AK29)</f>
        <v>0</v>
      </c>
      <c r="AU20" s="47">
        <f>SUM(AL21:AL29)</f>
        <v>0</v>
      </c>
    </row>
    <row r="21" spans="1:64" ht="12.75">
      <c r="A21" s="4" t="s">
        <v>9</v>
      </c>
      <c r="B21" s="13"/>
      <c r="C21" s="13" t="s">
        <v>741</v>
      </c>
      <c r="D21" s="125" t="s">
        <v>269</v>
      </c>
      <c r="E21" s="125"/>
      <c r="F21" s="13" t="s">
        <v>425</v>
      </c>
      <c r="G21" s="21">
        <v>74.99</v>
      </c>
      <c r="H21" s="21">
        <v>0</v>
      </c>
      <c r="I21" s="21">
        <f>G21*AO21</f>
        <v>0</v>
      </c>
      <c r="J21" s="21">
        <f>G21*AP21</f>
        <v>0</v>
      </c>
      <c r="K21" s="21">
        <f>G21*H21</f>
        <v>0</v>
      </c>
      <c r="L21" s="21">
        <v>0</v>
      </c>
      <c r="M21" s="21">
        <f>G21*L21</f>
        <v>0</v>
      </c>
      <c r="N21" s="35" t="s">
        <v>593</v>
      </c>
      <c r="O21" s="39"/>
      <c r="Z21" s="41">
        <f>IF(AQ21="5",BJ21,0)</f>
        <v>0</v>
      </c>
      <c r="AB21" s="41">
        <f>IF(AQ21="1",BH21,0)</f>
        <v>0</v>
      </c>
      <c r="AC21" s="41">
        <f>IF(AQ21="1",BI21,0)</f>
        <v>0</v>
      </c>
      <c r="AD21" s="41">
        <f>IF(AQ21="7",BH21,0)</f>
        <v>0</v>
      </c>
      <c r="AE21" s="41">
        <f>IF(AQ21="7",BI21,0)</f>
        <v>0</v>
      </c>
      <c r="AF21" s="41">
        <f>IF(AQ21="2",BH21,0)</f>
        <v>0</v>
      </c>
      <c r="AG21" s="41">
        <f>IF(AQ21="2",BI21,0)</f>
        <v>0</v>
      </c>
      <c r="AH21" s="41">
        <f>IF(AQ21="0",BJ21,0)</f>
        <v>0</v>
      </c>
      <c r="AI21" s="31"/>
      <c r="AJ21" s="21">
        <f>IF(AN21=0,K21,0)</f>
        <v>0</v>
      </c>
      <c r="AK21" s="21">
        <f>IF(AN21=15,K21,0)</f>
        <v>0</v>
      </c>
      <c r="AL21" s="21">
        <f>IF(AN21=21,K21,0)</f>
        <v>0</v>
      </c>
      <c r="AN21" s="41">
        <v>21</v>
      </c>
      <c r="AO21" s="41">
        <f>H21*0</f>
        <v>0</v>
      </c>
      <c r="AP21" s="41">
        <f>H21*(1-0)</f>
        <v>0</v>
      </c>
      <c r="AQ21" s="42" t="s">
        <v>7</v>
      </c>
      <c r="AV21" s="41">
        <f>AW21+AX21</f>
        <v>0</v>
      </c>
      <c r="AW21" s="41">
        <f>G21*AO21</f>
        <v>0</v>
      </c>
      <c r="AX21" s="41">
        <f>G21*AP21</f>
        <v>0</v>
      </c>
      <c r="AY21" s="44" t="s">
        <v>464</v>
      </c>
      <c r="AZ21" s="44" t="s">
        <v>463</v>
      </c>
      <c r="BA21" s="31" t="s">
        <v>520</v>
      </c>
      <c r="BC21" s="41">
        <f>AW21+AX21</f>
        <v>0</v>
      </c>
      <c r="BD21" s="41">
        <f>H21/(100-BE21)*100</f>
        <v>0</v>
      </c>
      <c r="BE21" s="41">
        <v>0</v>
      </c>
      <c r="BF21" s="41">
        <f>M21</f>
        <v>0</v>
      </c>
      <c r="BH21" s="21">
        <f>G21*AO21</f>
        <v>0</v>
      </c>
      <c r="BI21" s="21">
        <f>G21*AP21</f>
        <v>0</v>
      </c>
      <c r="BJ21" s="21">
        <f>G21*H21</f>
        <v>0</v>
      </c>
      <c r="BK21" s="21" t="s">
        <v>525</v>
      </c>
      <c r="BL21" s="41">
        <v>13</v>
      </c>
    </row>
    <row r="22" spans="1:64" ht="12.75">
      <c r="A22" s="109"/>
      <c r="B22" s="110"/>
      <c r="C22" s="110"/>
      <c r="D22" s="110"/>
      <c r="E22" s="111" t="s">
        <v>662</v>
      </c>
      <c r="F22" s="110"/>
      <c r="G22" s="112"/>
      <c r="H22" s="112"/>
      <c r="I22" s="112"/>
      <c r="J22" s="112"/>
      <c r="K22" s="112"/>
      <c r="L22" s="112"/>
      <c r="M22" s="112"/>
      <c r="N22" s="113"/>
      <c r="O22" s="39"/>
      <c r="Z22" s="41"/>
      <c r="AB22" s="41"/>
      <c r="AC22" s="41"/>
      <c r="AD22" s="41"/>
      <c r="AE22" s="41"/>
      <c r="AF22" s="41"/>
      <c r="AG22" s="41"/>
      <c r="AH22" s="41"/>
      <c r="AI22" s="31"/>
      <c r="AJ22" s="21"/>
      <c r="AK22" s="21"/>
      <c r="AL22" s="21"/>
      <c r="AN22" s="41"/>
      <c r="AO22" s="41"/>
      <c r="AP22" s="41"/>
      <c r="AQ22" s="42"/>
      <c r="AV22" s="41"/>
      <c r="AW22" s="41"/>
      <c r="AX22" s="41"/>
      <c r="AY22" s="44"/>
      <c r="AZ22" s="44"/>
      <c r="BA22" s="31"/>
      <c r="BC22" s="41"/>
      <c r="BD22" s="41"/>
      <c r="BE22" s="41"/>
      <c r="BF22" s="41"/>
      <c r="BH22" s="21"/>
      <c r="BI22" s="21"/>
      <c r="BJ22" s="21"/>
      <c r="BK22" s="21"/>
      <c r="BL22" s="41"/>
    </row>
    <row r="23" spans="1:64" ht="12.75">
      <c r="A23" s="109"/>
      <c r="B23" s="110"/>
      <c r="C23" s="110"/>
      <c r="D23" s="110"/>
      <c r="E23" s="111" t="s">
        <v>663</v>
      </c>
      <c r="F23" s="110"/>
      <c r="G23" s="112"/>
      <c r="H23" s="112"/>
      <c r="I23" s="112"/>
      <c r="J23" s="112"/>
      <c r="K23" s="112"/>
      <c r="L23" s="112"/>
      <c r="M23" s="112"/>
      <c r="N23" s="113"/>
      <c r="O23" s="39"/>
      <c r="Z23" s="41"/>
      <c r="AB23" s="41"/>
      <c r="AC23" s="41"/>
      <c r="AD23" s="41"/>
      <c r="AE23" s="41"/>
      <c r="AF23" s="41"/>
      <c r="AG23" s="41"/>
      <c r="AH23" s="41"/>
      <c r="AI23" s="31"/>
      <c r="AJ23" s="21"/>
      <c r="AK23" s="21"/>
      <c r="AL23" s="21"/>
      <c r="AN23" s="41"/>
      <c r="AO23" s="41"/>
      <c r="AP23" s="41"/>
      <c r="AQ23" s="42"/>
      <c r="AV23" s="41"/>
      <c r="AW23" s="41"/>
      <c r="AX23" s="41"/>
      <c r="AY23" s="44"/>
      <c r="AZ23" s="44"/>
      <c r="BA23" s="31"/>
      <c r="BC23" s="41"/>
      <c r="BD23" s="41"/>
      <c r="BE23" s="41"/>
      <c r="BF23" s="41"/>
      <c r="BH23" s="21"/>
      <c r="BI23" s="21"/>
      <c r="BJ23" s="21"/>
      <c r="BK23" s="21"/>
      <c r="BL23" s="41"/>
    </row>
    <row r="24" spans="1:64" ht="12.75">
      <c r="A24" s="4" t="s">
        <v>10</v>
      </c>
      <c r="B24" s="13"/>
      <c r="C24" s="13" t="s">
        <v>129</v>
      </c>
      <c r="D24" s="125" t="s">
        <v>270</v>
      </c>
      <c r="E24" s="126"/>
      <c r="F24" s="13" t="s">
        <v>425</v>
      </c>
      <c r="G24" s="21">
        <v>36</v>
      </c>
      <c r="H24" s="21">
        <v>0</v>
      </c>
      <c r="I24" s="21">
        <f>G24*AO24</f>
        <v>0</v>
      </c>
      <c r="J24" s="21">
        <f>G24*AP24</f>
        <v>0</v>
      </c>
      <c r="K24" s="21">
        <f>G24*H24</f>
        <v>0</v>
      </c>
      <c r="L24" s="21">
        <v>0</v>
      </c>
      <c r="M24" s="21">
        <f>G24*L24</f>
        <v>0</v>
      </c>
      <c r="N24" s="35" t="s">
        <v>452</v>
      </c>
      <c r="O24" s="39"/>
      <c r="Z24" s="41">
        <f>IF(AQ24="5",BJ24,0)</f>
        <v>0</v>
      </c>
      <c r="AB24" s="41">
        <f>IF(AQ24="1",BH24,0)</f>
        <v>0</v>
      </c>
      <c r="AC24" s="41">
        <f>IF(AQ24="1",BI24,0)</f>
        <v>0</v>
      </c>
      <c r="AD24" s="41">
        <f>IF(AQ24="7",BH24,0)</f>
        <v>0</v>
      </c>
      <c r="AE24" s="41">
        <f>IF(AQ24="7",BI24,0)</f>
        <v>0</v>
      </c>
      <c r="AF24" s="41">
        <f>IF(AQ24="2",BH24,0)</f>
        <v>0</v>
      </c>
      <c r="AG24" s="41">
        <f>IF(AQ24="2",BI24,0)</f>
        <v>0</v>
      </c>
      <c r="AH24" s="41">
        <f>IF(AQ24="0",BJ24,0)</f>
        <v>0</v>
      </c>
      <c r="AI24" s="31"/>
      <c r="AJ24" s="21">
        <f>IF(AN24=0,K24,0)</f>
        <v>0</v>
      </c>
      <c r="AK24" s="21">
        <f>IF(AN24=15,K24,0)</f>
        <v>0</v>
      </c>
      <c r="AL24" s="21">
        <f>IF(AN24=21,K24,0)</f>
        <v>0</v>
      </c>
      <c r="AN24" s="41">
        <v>21</v>
      </c>
      <c r="AO24" s="41">
        <f>H24*0</f>
        <v>0</v>
      </c>
      <c r="AP24" s="41">
        <f>H24*(1-0)</f>
        <v>0</v>
      </c>
      <c r="AQ24" s="42" t="s">
        <v>7</v>
      </c>
      <c r="AV24" s="41">
        <f>AW24+AX24</f>
        <v>0</v>
      </c>
      <c r="AW24" s="41">
        <f>G24*AO24</f>
        <v>0</v>
      </c>
      <c r="AX24" s="41">
        <f>G24*AP24</f>
        <v>0</v>
      </c>
      <c r="AY24" s="44" t="s">
        <v>464</v>
      </c>
      <c r="AZ24" s="44" t="s">
        <v>463</v>
      </c>
      <c r="BA24" s="31" t="s">
        <v>520</v>
      </c>
      <c r="BC24" s="41">
        <f>AW24+AX24</f>
        <v>0</v>
      </c>
      <c r="BD24" s="41">
        <f>H24/(100-BE24)*100</f>
        <v>0</v>
      </c>
      <c r="BE24" s="41">
        <v>0</v>
      </c>
      <c r="BF24" s="41">
        <f>M24</f>
        <v>0</v>
      </c>
      <c r="BH24" s="21">
        <f>G24*AO24</f>
        <v>0</v>
      </c>
      <c r="BI24" s="21">
        <f>G24*AP24</f>
        <v>0</v>
      </c>
      <c r="BJ24" s="21">
        <f>G24*H24</f>
        <v>0</v>
      </c>
      <c r="BK24" s="21" t="s">
        <v>525</v>
      </c>
      <c r="BL24" s="41">
        <v>13</v>
      </c>
    </row>
    <row r="25" spans="1:64" ht="12.75">
      <c r="A25" s="109"/>
      <c r="B25" s="110"/>
      <c r="C25" s="110"/>
      <c r="D25" s="110"/>
      <c r="E25" s="111" t="s">
        <v>664</v>
      </c>
      <c r="F25" s="110"/>
      <c r="G25" s="112"/>
      <c r="H25" s="112"/>
      <c r="I25" s="112"/>
      <c r="J25" s="112"/>
      <c r="K25" s="112"/>
      <c r="L25" s="112"/>
      <c r="M25" s="112"/>
      <c r="N25" s="113"/>
      <c r="O25" s="39"/>
      <c r="Z25" s="41"/>
      <c r="AB25" s="41"/>
      <c r="AC25" s="41"/>
      <c r="AD25" s="41"/>
      <c r="AE25" s="41"/>
      <c r="AF25" s="41"/>
      <c r="AG25" s="41"/>
      <c r="AH25" s="41"/>
      <c r="AI25" s="31"/>
      <c r="AJ25" s="21"/>
      <c r="AK25" s="21"/>
      <c r="AL25" s="21"/>
      <c r="AN25" s="41"/>
      <c r="AO25" s="41"/>
      <c r="AP25" s="41"/>
      <c r="AQ25" s="42"/>
      <c r="AV25" s="41"/>
      <c r="AW25" s="41"/>
      <c r="AX25" s="41"/>
      <c r="AY25" s="44"/>
      <c r="AZ25" s="44"/>
      <c r="BA25" s="31"/>
      <c r="BC25" s="41"/>
      <c r="BD25" s="41"/>
      <c r="BE25" s="41"/>
      <c r="BF25" s="41"/>
      <c r="BH25" s="21"/>
      <c r="BI25" s="21"/>
      <c r="BJ25" s="21"/>
      <c r="BK25" s="21"/>
      <c r="BL25" s="41"/>
    </row>
    <row r="26" spans="1:64" ht="12.75">
      <c r="A26" s="4" t="s">
        <v>11</v>
      </c>
      <c r="B26" s="13"/>
      <c r="C26" s="13" t="s">
        <v>130</v>
      </c>
      <c r="D26" s="125" t="s">
        <v>271</v>
      </c>
      <c r="E26" s="126"/>
      <c r="F26" s="13" t="s">
        <v>425</v>
      </c>
      <c r="G26" s="21">
        <v>36</v>
      </c>
      <c r="H26" s="21">
        <v>0</v>
      </c>
      <c r="I26" s="21">
        <f>G26*AO26</f>
        <v>0</v>
      </c>
      <c r="J26" s="21">
        <f>G26*AP26</f>
        <v>0</v>
      </c>
      <c r="K26" s="21">
        <f>G26*H26</f>
        <v>0</v>
      </c>
      <c r="L26" s="21">
        <v>0</v>
      </c>
      <c r="M26" s="21">
        <f>G26*L26</f>
        <v>0</v>
      </c>
      <c r="N26" s="35" t="s">
        <v>452</v>
      </c>
      <c r="O26" s="39"/>
      <c r="Z26" s="41">
        <f>IF(AQ26="5",BJ26,0)</f>
        <v>0</v>
      </c>
      <c r="AB26" s="41">
        <f>IF(AQ26="1",BH26,0)</f>
        <v>0</v>
      </c>
      <c r="AC26" s="41">
        <f>IF(AQ26="1",BI26,0)</f>
        <v>0</v>
      </c>
      <c r="AD26" s="41">
        <f>IF(AQ26="7",BH26,0)</f>
        <v>0</v>
      </c>
      <c r="AE26" s="41">
        <f>IF(AQ26="7",BI26,0)</f>
        <v>0</v>
      </c>
      <c r="AF26" s="41">
        <f>IF(AQ26="2",BH26,0)</f>
        <v>0</v>
      </c>
      <c r="AG26" s="41">
        <f>IF(AQ26="2",BI26,0)</f>
        <v>0</v>
      </c>
      <c r="AH26" s="41">
        <f>IF(AQ26="0",BJ26,0)</f>
        <v>0</v>
      </c>
      <c r="AI26" s="31"/>
      <c r="AJ26" s="21">
        <f>IF(AN26=0,K26,0)</f>
        <v>0</v>
      </c>
      <c r="AK26" s="21">
        <f>IF(AN26=15,K26,0)</f>
        <v>0</v>
      </c>
      <c r="AL26" s="21">
        <f>IF(AN26=21,K26,0)</f>
        <v>0</v>
      </c>
      <c r="AN26" s="41">
        <v>21</v>
      </c>
      <c r="AO26" s="41">
        <f>H26*0</f>
        <v>0</v>
      </c>
      <c r="AP26" s="41">
        <f>H26*(1-0)</f>
        <v>0</v>
      </c>
      <c r="AQ26" s="42" t="s">
        <v>7</v>
      </c>
      <c r="AV26" s="41">
        <f>AW26+AX26</f>
        <v>0</v>
      </c>
      <c r="AW26" s="41">
        <f>G26*AO26</f>
        <v>0</v>
      </c>
      <c r="AX26" s="41">
        <f>G26*AP26</f>
        <v>0</v>
      </c>
      <c r="AY26" s="44" t="s">
        <v>464</v>
      </c>
      <c r="AZ26" s="44" t="s">
        <v>463</v>
      </c>
      <c r="BA26" s="31" t="s">
        <v>520</v>
      </c>
      <c r="BC26" s="41">
        <f>AW26+AX26</f>
        <v>0</v>
      </c>
      <c r="BD26" s="41">
        <f>H26/(100-BE26)*100</f>
        <v>0</v>
      </c>
      <c r="BE26" s="41">
        <v>0</v>
      </c>
      <c r="BF26" s="41">
        <f>M26</f>
        <v>0</v>
      </c>
      <c r="BH26" s="21">
        <f>G26*AO26</f>
        <v>0</v>
      </c>
      <c r="BI26" s="21">
        <f>G26*AP26</f>
        <v>0</v>
      </c>
      <c r="BJ26" s="21">
        <f>G26*H26</f>
        <v>0</v>
      </c>
      <c r="BK26" s="21" t="s">
        <v>525</v>
      </c>
      <c r="BL26" s="41">
        <v>13</v>
      </c>
    </row>
    <row r="27" spans="1:64" ht="12.75">
      <c r="A27" s="4" t="s">
        <v>12</v>
      </c>
      <c r="B27" s="13"/>
      <c r="C27" s="13" t="s">
        <v>131</v>
      </c>
      <c r="D27" s="125" t="s">
        <v>272</v>
      </c>
      <c r="E27" s="126"/>
      <c r="F27" s="13" t="s">
        <v>425</v>
      </c>
      <c r="G27" s="21">
        <v>170.2</v>
      </c>
      <c r="H27" s="21">
        <v>0</v>
      </c>
      <c r="I27" s="21">
        <f>G27*AO27</f>
        <v>0</v>
      </c>
      <c r="J27" s="21">
        <f>G27*AP27</f>
        <v>0</v>
      </c>
      <c r="K27" s="21">
        <f>G27*H27</f>
        <v>0</v>
      </c>
      <c r="L27" s="21">
        <v>0</v>
      </c>
      <c r="M27" s="21">
        <f>G27*L27</f>
        <v>0</v>
      </c>
      <c r="N27" s="35" t="s">
        <v>452</v>
      </c>
      <c r="O27" s="39"/>
      <c r="Z27" s="41">
        <f>IF(AQ27="5",BJ27,0)</f>
        <v>0</v>
      </c>
      <c r="AB27" s="41">
        <f>IF(AQ27="1",BH27,0)</f>
        <v>0</v>
      </c>
      <c r="AC27" s="41">
        <f>IF(AQ27="1",BI27,0)</f>
        <v>0</v>
      </c>
      <c r="AD27" s="41">
        <f>IF(AQ27="7",BH27,0)</f>
        <v>0</v>
      </c>
      <c r="AE27" s="41">
        <f>IF(AQ27="7",BI27,0)</f>
        <v>0</v>
      </c>
      <c r="AF27" s="41">
        <f>IF(AQ27="2",BH27,0)</f>
        <v>0</v>
      </c>
      <c r="AG27" s="41">
        <f>IF(AQ27="2",BI27,0)</f>
        <v>0</v>
      </c>
      <c r="AH27" s="41">
        <f>IF(AQ27="0",BJ27,0)</f>
        <v>0</v>
      </c>
      <c r="AI27" s="31"/>
      <c r="AJ27" s="21">
        <f>IF(AN27=0,K27,0)</f>
        <v>0</v>
      </c>
      <c r="AK27" s="21">
        <f>IF(AN27=15,K27,0)</f>
        <v>0</v>
      </c>
      <c r="AL27" s="21">
        <f>IF(AN27=21,K27,0)</f>
        <v>0</v>
      </c>
      <c r="AN27" s="41">
        <v>21</v>
      </c>
      <c r="AO27" s="41">
        <f>H27*0</f>
        <v>0</v>
      </c>
      <c r="AP27" s="41">
        <f>H27*(1-0)</f>
        <v>0</v>
      </c>
      <c r="AQ27" s="42" t="s">
        <v>7</v>
      </c>
      <c r="AV27" s="41">
        <f>AW27+AX27</f>
        <v>0</v>
      </c>
      <c r="AW27" s="41">
        <f>G27*AO27</f>
        <v>0</v>
      </c>
      <c r="AX27" s="41">
        <f>G27*AP27</f>
        <v>0</v>
      </c>
      <c r="AY27" s="44" t="s">
        <v>464</v>
      </c>
      <c r="AZ27" s="44" t="s">
        <v>463</v>
      </c>
      <c r="BA27" s="31" t="s">
        <v>520</v>
      </c>
      <c r="BC27" s="41">
        <f>AW27+AX27</f>
        <v>0</v>
      </c>
      <c r="BD27" s="41">
        <f>H27/(100-BE27)*100</f>
        <v>0</v>
      </c>
      <c r="BE27" s="41">
        <v>0</v>
      </c>
      <c r="BF27" s="41">
        <f>M27</f>
        <v>0</v>
      </c>
      <c r="BH27" s="21">
        <f>G27*AO27</f>
        <v>0</v>
      </c>
      <c r="BI27" s="21">
        <f>G27*AP27</f>
        <v>0</v>
      </c>
      <c r="BJ27" s="21">
        <f>G27*H27</f>
        <v>0</v>
      </c>
      <c r="BK27" s="21" t="s">
        <v>525</v>
      </c>
      <c r="BL27" s="41">
        <v>13</v>
      </c>
    </row>
    <row r="28" spans="1:64" ht="12.75">
      <c r="A28" s="109"/>
      <c r="B28" s="110"/>
      <c r="C28" s="110"/>
      <c r="D28" s="110"/>
      <c r="E28" s="111" t="s">
        <v>665</v>
      </c>
      <c r="F28" s="110"/>
      <c r="G28" s="112"/>
      <c r="H28" s="112"/>
      <c r="I28" s="112"/>
      <c r="J28" s="112"/>
      <c r="K28" s="112"/>
      <c r="L28" s="112"/>
      <c r="M28" s="112"/>
      <c r="N28" s="113"/>
      <c r="O28" s="39"/>
      <c r="Z28" s="41"/>
      <c r="AB28" s="41"/>
      <c r="AC28" s="41"/>
      <c r="AD28" s="41"/>
      <c r="AE28" s="41"/>
      <c r="AF28" s="41"/>
      <c r="AG28" s="41"/>
      <c r="AH28" s="41"/>
      <c r="AI28" s="31"/>
      <c r="AJ28" s="21"/>
      <c r="AK28" s="21"/>
      <c r="AL28" s="21"/>
      <c r="AN28" s="41"/>
      <c r="AO28" s="41"/>
      <c r="AP28" s="41"/>
      <c r="AQ28" s="42"/>
      <c r="AV28" s="41"/>
      <c r="AW28" s="41"/>
      <c r="AX28" s="41"/>
      <c r="AY28" s="44"/>
      <c r="AZ28" s="44"/>
      <c r="BA28" s="31"/>
      <c r="BC28" s="41"/>
      <c r="BD28" s="41"/>
      <c r="BE28" s="41"/>
      <c r="BF28" s="41"/>
      <c r="BH28" s="21"/>
      <c r="BI28" s="21"/>
      <c r="BJ28" s="21"/>
      <c r="BK28" s="21"/>
      <c r="BL28" s="41"/>
    </row>
    <row r="29" spans="1:64" ht="12.75">
      <c r="A29" s="4" t="s">
        <v>13</v>
      </c>
      <c r="B29" s="13"/>
      <c r="C29" s="13" t="s">
        <v>132</v>
      </c>
      <c r="D29" s="125" t="s">
        <v>273</v>
      </c>
      <c r="E29" s="126"/>
      <c r="F29" s="13" t="s">
        <v>425</v>
      </c>
      <c r="G29" s="21">
        <v>170.2</v>
      </c>
      <c r="H29" s="21">
        <v>0</v>
      </c>
      <c r="I29" s="21">
        <f>G29*AO29</f>
        <v>0</v>
      </c>
      <c r="J29" s="21">
        <f>G29*AP29</f>
        <v>0</v>
      </c>
      <c r="K29" s="21">
        <f>G29*H29</f>
        <v>0</v>
      </c>
      <c r="L29" s="21">
        <v>0</v>
      </c>
      <c r="M29" s="21">
        <f>G29*L29</f>
        <v>0</v>
      </c>
      <c r="N29" s="35" t="s">
        <v>452</v>
      </c>
      <c r="O29" s="39"/>
      <c r="Z29" s="41">
        <f>IF(AQ29="5",BJ29,0)</f>
        <v>0</v>
      </c>
      <c r="AB29" s="41">
        <f>IF(AQ29="1",BH29,0)</f>
        <v>0</v>
      </c>
      <c r="AC29" s="41">
        <f>IF(AQ29="1",BI29,0)</f>
        <v>0</v>
      </c>
      <c r="AD29" s="41">
        <f>IF(AQ29="7",BH29,0)</f>
        <v>0</v>
      </c>
      <c r="AE29" s="41">
        <f>IF(AQ29="7",BI29,0)</f>
        <v>0</v>
      </c>
      <c r="AF29" s="41">
        <f>IF(AQ29="2",BH29,0)</f>
        <v>0</v>
      </c>
      <c r="AG29" s="41">
        <f>IF(AQ29="2",BI29,0)</f>
        <v>0</v>
      </c>
      <c r="AH29" s="41">
        <f>IF(AQ29="0",BJ29,0)</f>
        <v>0</v>
      </c>
      <c r="AI29" s="31"/>
      <c r="AJ29" s="21">
        <f>IF(AN29=0,K29,0)</f>
        <v>0</v>
      </c>
      <c r="AK29" s="21">
        <f>IF(AN29=15,K29,0)</f>
        <v>0</v>
      </c>
      <c r="AL29" s="21">
        <f>IF(AN29=21,K29,0)</f>
        <v>0</v>
      </c>
      <c r="AN29" s="41">
        <v>21</v>
      </c>
      <c r="AO29" s="41">
        <f>H29*0</f>
        <v>0</v>
      </c>
      <c r="AP29" s="41">
        <f>H29*(1-0)</f>
        <v>0</v>
      </c>
      <c r="AQ29" s="42" t="s">
        <v>7</v>
      </c>
      <c r="AV29" s="41">
        <f>AW29+AX29</f>
        <v>0</v>
      </c>
      <c r="AW29" s="41">
        <f>G29*AO29</f>
        <v>0</v>
      </c>
      <c r="AX29" s="41">
        <f>G29*AP29</f>
        <v>0</v>
      </c>
      <c r="AY29" s="44" t="s">
        <v>464</v>
      </c>
      <c r="AZ29" s="44" t="s">
        <v>463</v>
      </c>
      <c r="BA29" s="31" t="s">
        <v>520</v>
      </c>
      <c r="BC29" s="41">
        <f>AW29+AX29</f>
        <v>0</v>
      </c>
      <c r="BD29" s="41">
        <f>H29/(100-BE29)*100</f>
        <v>0</v>
      </c>
      <c r="BE29" s="41">
        <v>0</v>
      </c>
      <c r="BF29" s="41">
        <f>M29</f>
        <v>0</v>
      </c>
      <c r="BH29" s="21">
        <f>G29*AO29</f>
        <v>0</v>
      </c>
      <c r="BI29" s="21">
        <f>G29*AP29</f>
        <v>0</v>
      </c>
      <c r="BJ29" s="21">
        <f>G29*H29</f>
        <v>0</v>
      </c>
      <c r="BK29" s="21" t="s">
        <v>525</v>
      </c>
      <c r="BL29" s="41">
        <v>13</v>
      </c>
    </row>
    <row r="30" spans="1:47" ht="12.75">
      <c r="A30" s="5"/>
      <c r="B30" s="14"/>
      <c r="C30" s="14" t="s">
        <v>21</v>
      </c>
      <c r="D30" s="127" t="s">
        <v>274</v>
      </c>
      <c r="E30" s="128"/>
      <c r="F30" s="19" t="s">
        <v>6</v>
      </c>
      <c r="G30" s="19" t="s">
        <v>6</v>
      </c>
      <c r="H30" s="19" t="s">
        <v>6</v>
      </c>
      <c r="I30" s="47">
        <f>SUM(I31:I32)</f>
        <v>0</v>
      </c>
      <c r="J30" s="47">
        <f>SUM(J31:J32)</f>
        <v>0</v>
      </c>
      <c r="K30" s="47">
        <f>SUM(K31:K32)</f>
        <v>0</v>
      </c>
      <c r="L30" s="31"/>
      <c r="M30" s="47">
        <f>SUM(M31:M32)</f>
        <v>0.259505</v>
      </c>
      <c r="N30" s="36"/>
      <c r="O30" s="39"/>
      <c r="AI30" s="31"/>
      <c r="AS30" s="47">
        <f>SUM(AJ31:AJ32)</f>
        <v>0</v>
      </c>
      <c r="AT30" s="47">
        <f>SUM(AK31:AK32)</f>
        <v>0</v>
      </c>
      <c r="AU30" s="47">
        <f>SUM(AL31:AL32)</f>
        <v>0</v>
      </c>
    </row>
    <row r="31" spans="1:64" ht="12.75">
      <c r="A31" s="4" t="s">
        <v>14</v>
      </c>
      <c r="B31" s="13"/>
      <c r="C31" s="13" t="s">
        <v>133</v>
      </c>
      <c r="D31" s="125" t="s">
        <v>275</v>
      </c>
      <c r="E31" s="126"/>
      <c r="F31" s="13" t="s">
        <v>426</v>
      </c>
      <c r="G31" s="21">
        <v>301.75</v>
      </c>
      <c r="H31" s="21">
        <v>0</v>
      </c>
      <c r="I31" s="21">
        <f>G31*AO31</f>
        <v>0</v>
      </c>
      <c r="J31" s="21">
        <f>G31*AP31</f>
        <v>0</v>
      </c>
      <c r="K31" s="21">
        <f>G31*H31</f>
        <v>0</v>
      </c>
      <c r="L31" s="21">
        <v>0.00086</v>
      </c>
      <c r="M31" s="21">
        <f>G31*L31</f>
        <v>0.259505</v>
      </c>
      <c r="N31" s="35" t="s">
        <v>452</v>
      </c>
      <c r="O31" s="39"/>
      <c r="Z31" s="41">
        <f>IF(AQ31="5",BJ31,0)</f>
        <v>0</v>
      </c>
      <c r="AB31" s="41">
        <f>IF(AQ31="1",BH31,0)</f>
        <v>0</v>
      </c>
      <c r="AC31" s="41">
        <f>IF(AQ31="1",BI31,0)</f>
        <v>0</v>
      </c>
      <c r="AD31" s="41">
        <f>IF(AQ31="7",BH31,0)</f>
        <v>0</v>
      </c>
      <c r="AE31" s="41">
        <f>IF(AQ31="7",BI31,0)</f>
        <v>0</v>
      </c>
      <c r="AF31" s="41">
        <f>IF(AQ31="2",BH31,0)</f>
        <v>0</v>
      </c>
      <c r="AG31" s="41">
        <f>IF(AQ31="2",BI31,0)</f>
        <v>0</v>
      </c>
      <c r="AH31" s="41">
        <f>IF(AQ31="0",BJ31,0)</f>
        <v>0</v>
      </c>
      <c r="AI31" s="31"/>
      <c r="AJ31" s="21">
        <f>IF(AN31=0,K31,0)</f>
        <v>0</v>
      </c>
      <c r="AK31" s="21">
        <f>IF(AN31=15,K31,0)</f>
        <v>0</v>
      </c>
      <c r="AL31" s="21">
        <f>IF(AN31=21,K31,0)</f>
        <v>0</v>
      </c>
      <c r="AN31" s="41">
        <v>21</v>
      </c>
      <c r="AO31" s="41">
        <f>H31*0.0812556238083558</f>
        <v>0</v>
      </c>
      <c r="AP31" s="41">
        <f>H31*(1-0.0812556238083558)</f>
        <v>0</v>
      </c>
      <c r="AQ31" s="42" t="s">
        <v>7</v>
      </c>
      <c r="AV31" s="41">
        <f>AW31+AX31</f>
        <v>0</v>
      </c>
      <c r="AW31" s="41">
        <f>G31*AO31</f>
        <v>0</v>
      </c>
      <c r="AX31" s="41">
        <f>G31*AP31</f>
        <v>0</v>
      </c>
      <c r="AY31" s="44" t="s">
        <v>465</v>
      </c>
      <c r="AZ31" s="44" t="s">
        <v>463</v>
      </c>
      <c r="BA31" s="31" t="s">
        <v>520</v>
      </c>
      <c r="BC31" s="41">
        <f>AW31+AX31</f>
        <v>0</v>
      </c>
      <c r="BD31" s="41">
        <f>H31/(100-BE31)*100</f>
        <v>0</v>
      </c>
      <c r="BE31" s="41">
        <v>0</v>
      </c>
      <c r="BF31" s="41">
        <f>M31</f>
        <v>0.259505</v>
      </c>
      <c r="BH31" s="21">
        <f>G31*AO31</f>
        <v>0</v>
      </c>
      <c r="BI31" s="21">
        <f>G31*AP31</f>
        <v>0</v>
      </c>
      <c r="BJ31" s="21">
        <f>G31*H31</f>
        <v>0</v>
      </c>
      <c r="BK31" s="21" t="s">
        <v>525</v>
      </c>
      <c r="BL31" s="41">
        <v>15</v>
      </c>
    </row>
    <row r="32" spans="1:64" ht="12.75">
      <c r="A32" s="4" t="s">
        <v>15</v>
      </c>
      <c r="B32" s="13"/>
      <c r="C32" s="13" t="s">
        <v>134</v>
      </c>
      <c r="D32" s="125" t="s">
        <v>276</v>
      </c>
      <c r="E32" s="126"/>
      <c r="F32" s="13" t="s">
        <v>426</v>
      </c>
      <c r="G32" s="21">
        <v>301.75</v>
      </c>
      <c r="H32" s="21">
        <v>0</v>
      </c>
      <c r="I32" s="21">
        <f>G32*AO32</f>
        <v>0</v>
      </c>
      <c r="J32" s="21">
        <f>G32*AP32</f>
        <v>0</v>
      </c>
      <c r="K32" s="21">
        <f>G32*H32</f>
        <v>0</v>
      </c>
      <c r="L32" s="21">
        <v>0</v>
      </c>
      <c r="M32" s="21">
        <f>G32*L32</f>
        <v>0</v>
      </c>
      <c r="N32" s="35" t="s">
        <v>452</v>
      </c>
      <c r="O32" s="39"/>
      <c r="Z32" s="41">
        <f>IF(AQ32="5",BJ32,0)</f>
        <v>0</v>
      </c>
      <c r="AB32" s="41">
        <f>IF(AQ32="1",BH32,0)</f>
        <v>0</v>
      </c>
      <c r="AC32" s="41">
        <f>IF(AQ32="1",BI32,0)</f>
        <v>0</v>
      </c>
      <c r="AD32" s="41">
        <f>IF(AQ32="7",BH32,0)</f>
        <v>0</v>
      </c>
      <c r="AE32" s="41">
        <f>IF(AQ32="7",BI32,0)</f>
        <v>0</v>
      </c>
      <c r="AF32" s="41">
        <f>IF(AQ32="2",BH32,0)</f>
        <v>0</v>
      </c>
      <c r="AG32" s="41">
        <f>IF(AQ32="2",BI32,0)</f>
        <v>0</v>
      </c>
      <c r="AH32" s="41">
        <f>IF(AQ32="0",BJ32,0)</f>
        <v>0</v>
      </c>
      <c r="AI32" s="31"/>
      <c r="AJ32" s="21">
        <f>IF(AN32=0,K32,0)</f>
        <v>0</v>
      </c>
      <c r="AK32" s="21">
        <f>IF(AN32=15,K32,0)</f>
        <v>0</v>
      </c>
      <c r="AL32" s="21">
        <f>IF(AN32=21,K32,0)</f>
        <v>0</v>
      </c>
      <c r="AN32" s="41">
        <v>21</v>
      </c>
      <c r="AO32" s="41">
        <f>H32*0</f>
        <v>0</v>
      </c>
      <c r="AP32" s="41">
        <f>H32*(1-0)</f>
        <v>0</v>
      </c>
      <c r="AQ32" s="42" t="s">
        <v>7</v>
      </c>
      <c r="AV32" s="41">
        <f>AW32+AX32</f>
        <v>0</v>
      </c>
      <c r="AW32" s="41">
        <f>G32*AO32</f>
        <v>0</v>
      </c>
      <c r="AX32" s="41">
        <f>G32*AP32</f>
        <v>0</v>
      </c>
      <c r="AY32" s="44" t="s">
        <v>465</v>
      </c>
      <c r="AZ32" s="44" t="s">
        <v>463</v>
      </c>
      <c r="BA32" s="31" t="s">
        <v>520</v>
      </c>
      <c r="BC32" s="41">
        <f>AW32+AX32</f>
        <v>0</v>
      </c>
      <c r="BD32" s="41">
        <f>H32/(100-BE32)*100</f>
        <v>0</v>
      </c>
      <c r="BE32" s="41">
        <v>0</v>
      </c>
      <c r="BF32" s="41">
        <f>M32</f>
        <v>0</v>
      </c>
      <c r="BH32" s="21">
        <f>G32*AO32</f>
        <v>0</v>
      </c>
      <c r="BI32" s="21">
        <f>G32*AP32</f>
        <v>0</v>
      </c>
      <c r="BJ32" s="21">
        <f>G32*H32</f>
        <v>0</v>
      </c>
      <c r="BK32" s="21" t="s">
        <v>525</v>
      </c>
      <c r="BL32" s="41">
        <v>15</v>
      </c>
    </row>
    <row r="33" spans="1:47" ht="12.75">
      <c r="A33" s="5"/>
      <c r="B33" s="14"/>
      <c r="C33" s="14" t="s">
        <v>22</v>
      </c>
      <c r="D33" s="127" t="s">
        <v>277</v>
      </c>
      <c r="E33" s="128"/>
      <c r="F33" s="19" t="s">
        <v>6</v>
      </c>
      <c r="G33" s="19" t="s">
        <v>6</v>
      </c>
      <c r="H33" s="19" t="s">
        <v>6</v>
      </c>
      <c r="I33" s="47">
        <f>SUM(I34:I34)</f>
        <v>0</v>
      </c>
      <c r="J33" s="47">
        <f>SUM(J34:J34)</f>
        <v>0</v>
      </c>
      <c r="K33" s="47">
        <f>SUM(K34:K34)</f>
        <v>0</v>
      </c>
      <c r="L33" s="31"/>
      <c r="M33" s="47">
        <f>SUM(M34:M34)</f>
        <v>0</v>
      </c>
      <c r="N33" s="36"/>
      <c r="O33" s="39"/>
      <c r="AI33" s="31"/>
      <c r="AS33" s="47">
        <f>SUM(AJ34:AJ34)</f>
        <v>0</v>
      </c>
      <c r="AT33" s="47">
        <f>SUM(AK34:AK34)</f>
        <v>0</v>
      </c>
      <c r="AU33" s="47">
        <f>SUM(AL34:AL34)</f>
        <v>0</v>
      </c>
    </row>
    <row r="34" spans="1:64" ht="12.75">
      <c r="A34" s="4" t="s">
        <v>16</v>
      </c>
      <c r="B34" s="13"/>
      <c r="C34" s="13" t="s">
        <v>135</v>
      </c>
      <c r="D34" s="125" t="s">
        <v>278</v>
      </c>
      <c r="E34" s="126"/>
      <c r="F34" s="13" t="s">
        <v>425</v>
      </c>
      <c r="G34" s="21">
        <v>119.73</v>
      </c>
      <c r="H34" s="21">
        <v>0</v>
      </c>
      <c r="I34" s="21">
        <f>G34*AO34</f>
        <v>0</v>
      </c>
      <c r="J34" s="21">
        <f>G34*AP34</f>
        <v>0</v>
      </c>
      <c r="K34" s="21">
        <f>G34*H34</f>
        <v>0</v>
      </c>
      <c r="L34" s="21">
        <v>0</v>
      </c>
      <c r="M34" s="21">
        <f>G34*L34</f>
        <v>0</v>
      </c>
      <c r="N34" s="35" t="s">
        <v>452</v>
      </c>
      <c r="O34" s="39"/>
      <c r="Z34" s="41">
        <f>IF(AQ34="5",BJ34,0)</f>
        <v>0</v>
      </c>
      <c r="AB34" s="41">
        <f>IF(AQ34="1",BH34,0)</f>
        <v>0</v>
      </c>
      <c r="AC34" s="41">
        <f>IF(AQ34="1",BI34,0)</f>
        <v>0</v>
      </c>
      <c r="AD34" s="41">
        <f>IF(AQ34="7",BH34,0)</f>
        <v>0</v>
      </c>
      <c r="AE34" s="41">
        <f>IF(AQ34="7",BI34,0)</f>
        <v>0</v>
      </c>
      <c r="AF34" s="41">
        <f>IF(AQ34="2",BH34,0)</f>
        <v>0</v>
      </c>
      <c r="AG34" s="41">
        <f>IF(AQ34="2",BI34,0)</f>
        <v>0</v>
      </c>
      <c r="AH34" s="41">
        <f>IF(AQ34="0",BJ34,0)</f>
        <v>0</v>
      </c>
      <c r="AI34" s="31"/>
      <c r="AJ34" s="21">
        <f>IF(AN34=0,K34,0)</f>
        <v>0</v>
      </c>
      <c r="AK34" s="21">
        <f>IF(AN34=15,K34,0)</f>
        <v>0</v>
      </c>
      <c r="AL34" s="21">
        <f>IF(AN34=21,K34,0)</f>
        <v>0</v>
      </c>
      <c r="AN34" s="41">
        <v>21</v>
      </c>
      <c r="AO34" s="41">
        <f>H34*0</f>
        <v>0</v>
      </c>
      <c r="AP34" s="41">
        <f>H34*(1-0)</f>
        <v>0</v>
      </c>
      <c r="AQ34" s="42" t="s">
        <v>7</v>
      </c>
      <c r="AV34" s="41">
        <f>AW34+AX34</f>
        <v>0</v>
      </c>
      <c r="AW34" s="41">
        <f>G34*AO34</f>
        <v>0</v>
      </c>
      <c r="AX34" s="41">
        <f>G34*AP34</f>
        <v>0</v>
      </c>
      <c r="AY34" s="44" t="s">
        <v>466</v>
      </c>
      <c r="AZ34" s="44" t="s">
        <v>463</v>
      </c>
      <c r="BA34" s="31" t="s">
        <v>520</v>
      </c>
      <c r="BC34" s="41">
        <f>AW34+AX34</f>
        <v>0</v>
      </c>
      <c r="BD34" s="41">
        <f>H34/(100-BE34)*100</f>
        <v>0</v>
      </c>
      <c r="BE34" s="41">
        <v>0</v>
      </c>
      <c r="BF34" s="41">
        <f>M34</f>
        <v>0</v>
      </c>
      <c r="BH34" s="21">
        <f>G34*AO34</f>
        <v>0</v>
      </c>
      <c r="BI34" s="21">
        <f>G34*AP34</f>
        <v>0</v>
      </c>
      <c r="BJ34" s="21">
        <f>G34*H34</f>
        <v>0</v>
      </c>
      <c r="BK34" s="21" t="s">
        <v>525</v>
      </c>
      <c r="BL34" s="41">
        <v>16</v>
      </c>
    </row>
    <row r="35" spans="1:64" ht="12.75">
      <c r="A35" s="109"/>
      <c r="B35" s="110"/>
      <c r="C35" s="110"/>
      <c r="D35" s="110"/>
      <c r="E35" s="111" t="s">
        <v>666</v>
      </c>
      <c r="F35" s="110"/>
      <c r="G35" s="112"/>
      <c r="H35" s="112"/>
      <c r="I35" s="112"/>
      <c r="J35" s="112"/>
      <c r="K35" s="112"/>
      <c r="L35" s="112"/>
      <c r="M35" s="112"/>
      <c r="N35" s="113"/>
      <c r="O35" s="39"/>
      <c r="Z35" s="41"/>
      <c r="AB35" s="41"/>
      <c r="AC35" s="41"/>
      <c r="AD35" s="41"/>
      <c r="AE35" s="41"/>
      <c r="AF35" s="41"/>
      <c r="AG35" s="41"/>
      <c r="AH35" s="41"/>
      <c r="AI35" s="31"/>
      <c r="AJ35" s="21"/>
      <c r="AK35" s="21"/>
      <c r="AL35" s="21"/>
      <c r="AN35" s="41"/>
      <c r="AO35" s="41"/>
      <c r="AP35" s="41"/>
      <c r="AQ35" s="42"/>
      <c r="AV35" s="41"/>
      <c r="AW35" s="41"/>
      <c r="AX35" s="41"/>
      <c r="AY35" s="44"/>
      <c r="AZ35" s="44"/>
      <c r="BA35" s="31"/>
      <c r="BC35" s="41"/>
      <c r="BD35" s="41"/>
      <c r="BE35" s="41"/>
      <c r="BF35" s="41"/>
      <c r="BH35" s="21"/>
      <c r="BI35" s="21"/>
      <c r="BJ35" s="21"/>
      <c r="BK35" s="21"/>
      <c r="BL35" s="41"/>
    </row>
    <row r="36" spans="1:64" ht="12.75">
      <c r="A36" s="109"/>
      <c r="B36" s="110"/>
      <c r="C36" s="110"/>
      <c r="D36" s="110"/>
      <c r="E36" s="111" t="s">
        <v>662</v>
      </c>
      <c r="F36" s="110"/>
      <c r="G36" s="112"/>
      <c r="H36" s="112"/>
      <c r="I36" s="112"/>
      <c r="J36" s="112"/>
      <c r="K36" s="112"/>
      <c r="L36" s="112"/>
      <c r="M36" s="112"/>
      <c r="N36" s="113"/>
      <c r="O36" s="39"/>
      <c r="Z36" s="41"/>
      <c r="AB36" s="41"/>
      <c r="AC36" s="41"/>
      <c r="AD36" s="41"/>
      <c r="AE36" s="41"/>
      <c r="AF36" s="41"/>
      <c r="AG36" s="41"/>
      <c r="AH36" s="41"/>
      <c r="AI36" s="31"/>
      <c r="AJ36" s="21"/>
      <c r="AK36" s="21"/>
      <c r="AL36" s="21"/>
      <c r="AN36" s="41"/>
      <c r="AO36" s="41"/>
      <c r="AP36" s="41"/>
      <c r="AQ36" s="42"/>
      <c r="AV36" s="41"/>
      <c r="AW36" s="41"/>
      <c r="AX36" s="41"/>
      <c r="AY36" s="44"/>
      <c r="AZ36" s="44"/>
      <c r="BA36" s="31"/>
      <c r="BC36" s="41"/>
      <c r="BD36" s="41"/>
      <c r="BE36" s="41"/>
      <c r="BF36" s="41"/>
      <c r="BH36" s="21"/>
      <c r="BI36" s="21"/>
      <c r="BJ36" s="21"/>
      <c r="BK36" s="21"/>
      <c r="BL36" s="41"/>
    </row>
    <row r="37" spans="1:47" ht="12.75">
      <c r="A37" s="5"/>
      <c r="B37" s="14"/>
      <c r="C37" s="14" t="s">
        <v>23</v>
      </c>
      <c r="D37" s="127" t="s">
        <v>279</v>
      </c>
      <c r="E37" s="128"/>
      <c r="F37" s="19" t="s">
        <v>6</v>
      </c>
      <c r="G37" s="19" t="s">
        <v>6</v>
      </c>
      <c r="H37" s="19" t="s">
        <v>6</v>
      </c>
      <c r="I37" s="47">
        <f>SUM(I38:I40)</f>
        <v>0</v>
      </c>
      <c r="J37" s="47">
        <f>SUM(J38:J40)</f>
        <v>0</v>
      </c>
      <c r="K37" s="47">
        <f>SUM(K38:K40)</f>
        <v>0</v>
      </c>
      <c r="L37" s="31"/>
      <c r="M37" s="47">
        <f>SUM(M38:M40)</f>
        <v>91.61619999999999</v>
      </c>
      <c r="N37" s="36"/>
      <c r="O37" s="39"/>
      <c r="AI37" s="31"/>
      <c r="AS37" s="47">
        <f>SUM(AJ38:AJ40)</f>
        <v>0</v>
      </c>
      <c r="AT37" s="47">
        <f>SUM(AK38:AK40)</f>
        <v>0</v>
      </c>
      <c r="AU37" s="47">
        <f>SUM(AL38:AL40)</f>
        <v>0</v>
      </c>
    </row>
    <row r="38" spans="1:64" ht="12.75">
      <c r="A38" s="4" t="s">
        <v>17</v>
      </c>
      <c r="B38" s="13"/>
      <c r="C38" s="13" t="s">
        <v>136</v>
      </c>
      <c r="D38" s="125" t="s">
        <v>280</v>
      </c>
      <c r="E38" s="126"/>
      <c r="F38" s="13" t="s">
        <v>425</v>
      </c>
      <c r="G38" s="21">
        <v>54.86</v>
      </c>
      <c r="H38" s="21">
        <v>0</v>
      </c>
      <c r="I38" s="21">
        <f>G38*AO38</f>
        <v>0</v>
      </c>
      <c r="J38" s="21">
        <f>G38*AP38</f>
        <v>0</v>
      </c>
      <c r="K38" s="21">
        <f>G38*H38</f>
        <v>0</v>
      </c>
      <c r="L38" s="21">
        <v>0</v>
      </c>
      <c r="M38" s="21">
        <f>G38*L38</f>
        <v>0</v>
      </c>
      <c r="N38" s="35" t="s">
        <v>452</v>
      </c>
      <c r="O38" s="39"/>
      <c r="Z38" s="41">
        <f>IF(AQ38="5",BJ38,0)</f>
        <v>0</v>
      </c>
      <c r="AB38" s="41">
        <f>IF(AQ38="1",BH38,0)</f>
        <v>0</v>
      </c>
      <c r="AC38" s="41">
        <f>IF(AQ38="1",BI38,0)</f>
        <v>0</v>
      </c>
      <c r="AD38" s="41">
        <f>IF(AQ38="7",BH38,0)</f>
        <v>0</v>
      </c>
      <c r="AE38" s="41">
        <f>IF(AQ38="7",BI38,0)</f>
        <v>0</v>
      </c>
      <c r="AF38" s="41">
        <f>IF(AQ38="2",BH38,0)</f>
        <v>0</v>
      </c>
      <c r="AG38" s="41">
        <f>IF(AQ38="2",BI38,0)</f>
        <v>0</v>
      </c>
      <c r="AH38" s="41">
        <f>IF(AQ38="0",BJ38,0)</f>
        <v>0</v>
      </c>
      <c r="AI38" s="31"/>
      <c r="AJ38" s="21">
        <f>IF(AN38=0,K38,0)</f>
        <v>0</v>
      </c>
      <c r="AK38" s="21">
        <f>IF(AN38=15,K38,0)</f>
        <v>0</v>
      </c>
      <c r="AL38" s="21">
        <f>IF(AN38=21,K38,0)</f>
        <v>0</v>
      </c>
      <c r="AN38" s="41">
        <v>21</v>
      </c>
      <c r="AO38" s="41">
        <f>H38*0</f>
        <v>0</v>
      </c>
      <c r="AP38" s="41">
        <f>H38*(1-0)</f>
        <v>0</v>
      </c>
      <c r="AQ38" s="42" t="s">
        <v>7</v>
      </c>
      <c r="AV38" s="41">
        <f>AW38+AX38</f>
        <v>0</v>
      </c>
      <c r="AW38" s="41">
        <f>G38*AO38</f>
        <v>0</v>
      </c>
      <c r="AX38" s="41">
        <f>G38*AP38</f>
        <v>0</v>
      </c>
      <c r="AY38" s="44" t="s">
        <v>467</v>
      </c>
      <c r="AZ38" s="44" t="s">
        <v>463</v>
      </c>
      <c r="BA38" s="31" t="s">
        <v>520</v>
      </c>
      <c r="BC38" s="41">
        <f>AW38+AX38</f>
        <v>0</v>
      </c>
      <c r="BD38" s="41">
        <f>H38/(100-BE38)*100</f>
        <v>0</v>
      </c>
      <c r="BE38" s="41">
        <v>0</v>
      </c>
      <c r="BF38" s="41">
        <f>M38</f>
        <v>0</v>
      </c>
      <c r="BH38" s="21">
        <f>G38*AO38</f>
        <v>0</v>
      </c>
      <c r="BI38" s="21">
        <f>G38*AP38</f>
        <v>0</v>
      </c>
      <c r="BJ38" s="21">
        <f>G38*H38</f>
        <v>0</v>
      </c>
      <c r="BK38" s="21" t="s">
        <v>525</v>
      </c>
      <c r="BL38" s="41">
        <v>17</v>
      </c>
    </row>
    <row r="39" spans="1:64" ht="12.75">
      <c r="A39" s="4" t="s">
        <v>18</v>
      </c>
      <c r="B39" s="13"/>
      <c r="C39" s="13" t="s">
        <v>137</v>
      </c>
      <c r="D39" s="125" t="s">
        <v>281</v>
      </c>
      <c r="E39" s="126"/>
      <c r="F39" s="13" t="s">
        <v>425</v>
      </c>
      <c r="G39" s="21">
        <v>126.19</v>
      </c>
      <c r="H39" s="21">
        <v>0</v>
      </c>
      <c r="I39" s="21">
        <f>G39*AO39</f>
        <v>0</v>
      </c>
      <c r="J39" s="21">
        <f>G39*AP39</f>
        <v>0</v>
      </c>
      <c r="K39" s="21">
        <f>G39*H39</f>
        <v>0</v>
      </c>
      <c r="L39" s="21">
        <v>0</v>
      </c>
      <c r="M39" s="21">
        <f>G39*L39</f>
        <v>0</v>
      </c>
      <c r="N39" s="35" t="s">
        <v>452</v>
      </c>
      <c r="O39" s="39"/>
      <c r="Z39" s="41">
        <f>IF(AQ39="5",BJ39,0)</f>
        <v>0</v>
      </c>
      <c r="AB39" s="41">
        <f>IF(AQ39="1",BH39,0)</f>
        <v>0</v>
      </c>
      <c r="AC39" s="41">
        <f>IF(AQ39="1",BI39,0)</f>
        <v>0</v>
      </c>
      <c r="AD39" s="41">
        <f>IF(AQ39="7",BH39,0)</f>
        <v>0</v>
      </c>
      <c r="AE39" s="41">
        <f>IF(AQ39="7",BI39,0)</f>
        <v>0</v>
      </c>
      <c r="AF39" s="41">
        <f>IF(AQ39="2",BH39,0)</f>
        <v>0</v>
      </c>
      <c r="AG39" s="41">
        <f>IF(AQ39="2",BI39,0)</f>
        <v>0</v>
      </c>
      <c r="AH39" s="41">
        <f>IF(AQ39="0",BJ39,0)</f>
        <v>0</v>
      </c>
      <c r="AI39" s="31"/>
      <c r="AJ39" s="21">
        <f>IF(AN39=0,K39,0)</f>
        <v>0</v>
      </c>
      <c r="AK39" s="21">
        <f>IF(AN39=15,K39,0)</f>
        <v>0</v>
      </c>
      <c r="AL39" s="21">
        <f>IF(AN39=21,K39,0)</f>
        <v>0</v>
      </c>
      <c r="AN39" s="41">
        <v>21</v>
      </c>
      <c r="AO39" s="41">
        <f>H39*0</f>
        <v>0</v>
      </c>
      <c r="AP39" s="41">
        <f>H39*(1-0)</f>
        <v>0</v>
      </c>
      <c r="AQ39" s="42" t="s">
        <v>7</v>
      </c>
      <c r="AV39" s="41">
        <f>AW39+AX39</f>
        <v>0</v>
      </c>
      <c r="AW39" s="41">
        <f>G39*AO39</f>
        <v>0</v>
      </c>
      <c r="AX39" s="41">
        <f>G39*AP39</f>
        <v>0</v>
      </c>
      <c r="AY39" s="44" t="s">
        <v>467</v>
      </c>
      <c r="AZ39" s="44" t="s">
        <v>463</v>
      </c>
      <c r="BA39" s="31" t="s">
        <v>520</v>
      </c>
      <c r="BC39" s="41">
        <f>AW39+AX39</f>
        <v>0</v>
      </c>
      <c r="BD39" s="41">
        <f>H39/(100-BE39)*100</f>
        <v>0</v>
      </c>
      <c r="BE39" s="41">
        <v>0</v>
      </c>
      <c r="BF39" s="41">
        <f>M39</f>
        <v>0</v>
      </c>
      <c r="BH39" s="21">
        <f>G39*AO39</f>
        <v>0</v>
      </c>
      <c r="BI39" s="21">
        <f>G39*AP39</f>
        <v>0</v>
      </c>
      <c r="BJ39" s="21">
        <f>G39*H39</f>
        <v>0</v>
      </c>
      <c r="BK39" s="21" t="s">
        <v>525</v>
      </c>
      <c r="BL39" s="41">
        <v>17</v>
      </c>
    </row>
    <row r="40" spans="1:64" ht="12.75">
      <c r="A40" s="4" t="s">
        <v>19</v>
      </c>
      <c r="B40" s="13"/>
      <c r="C40" s="13" t="s">
        <v>138</v>
      </c>
      <c r="D40" s="125" t="s">
        <v>282</v>
      </c>
      <c r="E40" s="126"/>
      <c r="F40" s="13" t="s">
        <v>425</v>
      </c>
      <c r="G40" s="21">
        <v>54.86</v>
      </c>
      <c r="H40" s="21">
        <v>0</v>
      </c>
      <c r="I40" s="21">
        <f>G40*AO40</f>
        <v>0</v>
      </c>
      <c r="J40" s="21">
        <f>G40*AP40</f>
        <v>0</v>
      </c>
      <c r="K40" s="21">
        <f>G40*H40</f>
        <v>0</v>
      </c>
      <c r="L40" s="21">
        <v>1.67</v>
      </c>
      <c r="M40" s="21">
        <f>G40*L40</f>
        <v>91.61619999999999</v>
      </c>
      <c r="N40" s="35" t="s">
        <v>452</v>
      </c>
      <c r="O40" s="39"/>
      <c r="Z40" s="41">
        <f>IF(AQ40="5",BJ40,0)</f>
        <v>0</v>
      </c>
      <c r="AB40" s="41">
        <f>IF(AQ40="1",BH40,0)</f>
        <v>0</v>
      </c>
      <c r="AC40" s="41">
        <f>IF(AQ40="1",BI40,0)</f>
        <v>0</v>
      </c>
      <c r="AD40" s="41">
        <f>IF(AQ40="7",BH40,0)</f>
        <v>0</v>
      </c>
      <c r="AE40" s="41">
        <f>IF(AQ40="7",BI40,0)</f>
        <v>0</v>
      </c>
      <c r="AF40" s="41">
        <f>IF(AQ40="2",BH40,0)</f>
        <v>0</v>
      </c>
      <c r="AG40" s="41">
        <f>IF(AQ40="2",BI40,0)</f>
        <v>0</v>
      </c>
      <c r="AH40" s="41">
        <f>IF(AQ40="0",BJ40,0)</f>
        <v>0</v>
      </c>
      <c r="AI40" s="31"/>
      <c r="AJ40" s="21">
        <f>IF(AN40=0,K40,0)</f>
        <v>0</v>
      </c>
      <c r="AK40" s="21">
        <f>IF(AN40=15,K40,0)</f>
        <v>0</v>
      </c>
      <c r="AL40" s="21">
        <f>IF(AN40=21,K40,0)</f>
        <v>0</v>
      </c>
      <c r="AN40" s="41">
        <v>21</v>
      </c>
      <c r="AO40" s="41">
        <f>H40*0.388271968880037</f>
        <v>0</v>
      </c>
      <c r="AP40" s="41">
        <f>H40*(1-0.388271968880037)</f>
        <v>0</v>
      </c>
      <c r="AQ40" s="42" t="s">
        <v>7</v>
      </c>
      <c r="AV40" s="41">
        <f>AW40+AX40</f>
        <v>0</v>
      </c>
      <c r="AW40" s="41">
        <f>G40*AO40</f>
        <v>0</v>
      </c>
      <c r="AX40" s="41">
        <f>G40*AP40</f>
        <v>0</v>
      </c>
      <c r="AY40" s="44" t="s">
        <v>467</v>
      </c>
      <c r="AZ40" s="44" t="s">
        <v>463</v>
      </c>
      <c r="BA40" s="31" t="s">
        <v>520</v>
      </c>
      <c r="BC40" s="41">
        <f>AW40+AX40</f>
        <v>0</v>
      </c>
      <c r="BD40" s="41">
        <f>H40/(100-BE40)*100</f>
        <v>0</v>
      </c>
      <c r="BE40" s="41">
        <v>0</v>
      </c>
      <c r="BF40" s="41">
        <f>M40</f>
        <v>91.61619999999999</v>
      </c>
      <c r="BH40" s="21">
        <f>G40*AO40</f>
        <v>0</v>
      </c>
      <c r="BI40" s="21">
        <f>G40*AP40</f>
        <v>0</v>
      </c>
      <c r="BJ40" s="21">
        <f>G40*H40</f>
        <v>0</v>
      </c>
      <c r="BK40" s="21" t="s">
        <v>525</v>
      </c>
      <c r="BL40" s="41">
        <v>17</v>
      </c>
    </row>
    <row r="41" spans="1:47" ht="12.75">
      <c r="A41" s="5"/>
      <c r="B41" s="14"/>
      <c r="C41" s="14" t="s">
        <v>25</v>
      </c>
      <c r="D41" s="127" t="s">
        <v>283</v>
      </c>
      <c r="E41" s="128"/>
      <c r="F41" s="19" t="s">
        <v>6</v>
      </c>
      <c r="G41" s="19" t="s">
        <v>6</v>
      </c>
      <c r="H41" s="19" t="s">
        <v>6</v>
      </c>
      <c r="I41" s="47">
        <f>SUM(I42:I42)</f>
        <v>0</v>
      </c>
      <c r="J41" s="47">
        <f>SUM(J42:J42)</f>
        <v>0</v>
      </c>
      <c r="K41" s="47">
        <f>SUM(K42:K42)</f>
        <v>0</v>
      </c>
      <c r="L41" s="31"/>
      <c r="M41" s="47">
        <f>SUM(M42:M42)</f>
        <v>0</v>
      </c>
      <c r="N41" s="36"/>
      <c r="O41" s="39"/>
      <c r="AI41" s="31"/>
      <c r="AS41" s="47">
        <f>SUM(AJ42:AJ42)</f>
        <v>0</v>
      </c>
      <c r="AT41" s="47">
        <f>SUM(AK42:AK42)</f>
        <v>0</v>
      </c>
      <c r="AU41" s="47">
        <f>SUM(AL42:AL42)</f>
        <v>0</v>
      </c>
    </row>
    <row r="42" spans="1:64" ht="12.75">
      <c r="A42" s="4" t="s">
        <v>20</v>
      </c>
      <c r="B42" s="13"/>
      <c r="C42" s="13" t="s">
        <v>139</v>
      </c>
      <c r="D42" s="125" t="s">
        <v>284</v>
      </c>
      <c r="E42" s="126"/>
      <c r="F42" s="13" t="s">
        <v>427</v>
      </c>
      <c r="G42" s="21">
        <v>155.76</v>
      </c>
      <c r="H42" s="21">
        <v>0</v>
      </c>
      <c r="I42" s="21">
        <f>G42*AO42</f>
        <v>0</v>
      </c>
      <c r="J42" s="21">
        <f>G42*AP42</f>
        <v>0</v>
      </c>
      <c r="K42" s="21">
        <f>G42*H42</f>
        <v>0</v>
      </c>
      <c r="L42" s="21">
        <v>0</v>
      </c>
      <c r="M42" s="21">
        <f>G42*L42</f>
        <v>0</v>
      </c>
      <c r="N42" s="35" t="s">
        <v>452</v>
      </c>
      <c r="O42" s="39"/>
      <c r="Z42" s="41">
        <f>IF(AQ42="5",BJ42,0)</f>
        <v>0</v>
      </c>
      <c r="AB42" s="41">
        <f>IF(AQ42="1",BH42,0)</f>
        <v>0</v>
      </c>
      <c r="AC42" s="41">
        <f>IF(AQ42="1",BI42,0)</f>
        <v>0</v>
      </c>
      <c r="AD42" s="41">
        <f>IF(AQ42="7",BH42,0)</f>
        <v>0</v>
      </c>
      <c r="AE42" s="41">
        <f>IF(AQ42="7",BI42,0)</f>
        <v>0</v>
      </c>
      <c r="AF42" s="41">
        <f>IF(AQ42="2",BH42,0)</f>
        <v>0</v>
      </c>
      <c r="AG42" s="41">
        <f>IF(AQ42="2",BI42,0)</f>
        <v>0</v>
      </c>
      <c r="AH42" s="41">
        <f>IF(AQ42="0",BJ42,0)</f>
        <v>0</v>
      </c>
      <c r="AI42" s="31"/>
      <c r="AJ42" s="21">
        <f>IF(AN42=0,K42,0)</f>
        <v>0</v>
      </c>
      <c r="AK42" s="21">
        <f>IF(AN42=15,K42,0)</f>
        <v>0</v>
      </c>
      <c r="AL42" s="21">
        <f>IF(AN42=21,K42,0)</f>
        <v>0</v>
      </c>
      <c r="AN42" s="41">
        <v>21</v>
      </c>
      <c r="AO42" s="41">
        <f>H42*0</f>
        <v>0</v>
      </c>
      <c r="AP42" s="41">
        <f>H42*(1-0)</f>
        <v>0</v>
      </c>
      <c r="AQ42" s="42" t="s">
        <v>7</v>
      </c>
      <c r="AV42" s="41">
        <f>AW42+AX42</f>
        <v>0</v>
      </c>
      <c r="AW42" s="41">
        <f>G42*AO42</f>
        <v>0</v>
      </c>
      <c r="AX42" s="41">
        <f>G42*AP42</f>
        <v>0</v>
      </c>
      <c r="AY42" s="44" t="s">
        <v>468</v>
      </c>
      <c r="AZ42" s="44" t="s">
        <v>463</v>
      </c>
      <c r="BA42" s="31" t="s">
        <v>520</v>
      </c>
      <c r="BC42" s="41">
        <f>AW42+AX42</f>
        <v>0</v>
      </c>
      <c r="BD42" s="41">
        <f>H42/(100-BE42)*100</f>
        <v>0</v>
      </c>
      <c r="BE42" s="41">
        <v>0</v>
      </c>
      <c r="BF42" s="41">
        <f>M42</f>
        <v>0</v>
      </c>
      <c r="BH42" s="21">
        <f>G42*AO42</f>
        <v>0</v>
      </c>
      <c r="BI42" s="21">
        <f>G42*AP42</f>
        <v>0</v>
      </c>
      <c r="BJ42" s="21">
        <f>G42*H42</f>
        <v>0</v>
      </c>
      <c r="BK42" s="21" t="s">
        <v>525</v>
      </c>
      <c r="BL42" s="41">
        <v>19</v>
      </c>
    </row>
    <row r="43" spans="1:64" ht="12.75">
      <c r="A43" s="109"/>
      <c r="B43" s="110"/>
      <c r="C43" s="110"/>
      <c r="D43" s="114"/>
      <c r="E43" s="111" t="s">
        <v>667</v>
      </c>
      <c r="F43" s="110"/>
      <c r="G43" s="112"/>
      <c r="H43" s="112"/>
      <c r="I43" s="112"/>
      <c r="J43" s="112"/>
      <c r="K43" s="112"/>
      <c r="L43" s="112"/>
      <c r="M43" s="112"/>
      <c r="N43" s="113"/>
      <c r="O43" s="39"/>
      <c r="Z43" s="41"/>
      <c r="AB43" s="41"/>
      <c r="AC43" s="41"/>
      <c r="AD43" s="41"/>
      <c r="AE43" s="41"/>
      <c r="AF43" s="41"/>
      <c r="AG43" s="41"/>
      <c r="AH43" s="41"/>
      <c r="AI43" s="31"/>
      <c r="AJ43" s="21"/>
      <c r="AK43" s="21"/>
      <c r="AL43" s="21"/>
      <c r="AN43" s="41"/>
      <c r="AO43" s="41"/>
      <c r="AP43" s="41"/>
      <c r="AQ43" s="42"/>
      <c r="AV43" s="41"/>
      <c r="AW43" s="41"/>
      <c r="AX43" s="41"/>
      <c r="AY43" s="44"/>
      <c r="AZ43" s="44"/>
      <c r="BA43" s="31"/>
      <c r="BC43" s="41"/>
      <c r="BD43" s="41"/>
      <c r="BE43" s="41"/>
      <c r="BF43" s="41"/>
      <c r="BH43" s="21"/>
      <c r="BI43" s="21"/>
      <c r="BJ43" s="21"/>
      <c r="BK43" s="21"/>
      <c r="BL43" s="41"/>
    </row>
    <row r="44" spans="1:64" ht="12.75">
      <c r="A44" s="109"/>
      <c r="B44" s="110"/>
      <c r="C44" s="110"/>
      <c r="D44" s="114"/>
      <c r="E44" s="111" t="s">
        <v>668</v>
      </c>
      <c r="F44" s="110"/>
      <c r="G44" s="112"/>
      <c r="H44" s="112"/>
      <c r="I44" s="112"/>
      <c r="J44" s="112"/>
      <c r="K44" s="112"/>
      <c r="L44" s="112"/>
      <c r="M44" s="112"/>
      <c r="N44" s="113"/>
      <c r="O44" s="39"/>
      <c r="Z44" s="41"/>
      <c r="AB44" s="41"/>
      <c r="AC44" s="41"/>
      <c r="AD44" s="41"/>
      <c r="AE44" s="41"/>
      <c r="AF44" s="41"/>
      <c r="AG44" s="41"/>
      <c r="AH44" s="41"/>
      <c r="AI44" s="31"/>
      <c r="AJ44" s="21"/>
      <c r="AK44" s="21"/>
      <c r="AL44" s="21"/>
      <c r="AN44" s="41"/>
      <c r="AO44" s="41"/>
      <c r="AP44" s="41"/>
      <c r="AQ44" s="42"/>
      <c r="AV44" s="41"/>
      <c r="AW44" s="41"/>
      <c r="AX44" s="41"/>
      <c r="AY44" s="44"/>
      <c r="AZ44" s="44"/>
      <c r="BA44" s="31"/>
      <c r="BC44" s="41"/>
      <c r="BD44" s="41"/>
      <c r="BE44" s="41"/>
      <c r="BF44" s="41"/>
      <c r="BH44" s="21"/>
      <c r="BI44" s="21"/>
      <c r="BJ44" s="21"/>
      <c r="BK44" s="21"/>
      <c r="BL44" s="41"/>
    </row>
    <row r="45" spans="1:64" ht="12.75">
      <c r="A45" s="109"/>
      <c r="B45" s="110"/>
      <c r="C45" s="110"/>
      <c r="D45" s="114"/>
      <c r="E45" s="111" t="s">
        <v>669</v>
      </c>
      <c r="F45" s="110"/>
      <c r="G45" s="112"/>
      <c r="H45" s="112"/>
      <c r="I45" s="112"/>
      <c r="J45" s="112"/>
      <c r="K45" s="112"/>
      <c r="L45" s="112"/>
      <c r="M45" s="112"/>
      <c r="N45" s="113"/>
      <c r="O45" s="39"/>
      <c r="Z45" s="41"/>
      <c r="AB45" s="41"/>
      <c r="AC45" s="41"/>
      <c r="AD45" s="41"/>
      <c r="AE45" s="41"/>
      <c r="AF45" s="41"/>
      <c r="AG45" s="41"/>
      <c r="AH45" s="41"/>
      <c r="AI45" s="31"/>
      <c r="AJ45" s="21"/>
      <c r="AK45" s="21"/>
      <c r="AL45" s="21"/>
      <c r="AN45" s="41"/>
      <c r="AO45" s="41"/>
      <c r="AP45" s="41"/>
      <c r="AQ45" s="42"/>
      <c r="AV45" s="41"/>
      <c r="AW45" s="41"/>
      <c r="AX45" s="41"/>
      <c r="AY45" s="44"/>
      <c r="AZ45" s="44"/>
      <c r="BA45" s="31"/>
      <c r="BC45" s="41"/>
      <c r="BD45" s="41"/>
      <c r="BE45" s="41"/>
      <c r="BF45" s="41"/>
      <c r="BH45" s="21"/>
      <c r="BI45" s="21"/>
      <c r="BJ45" s="21"/>
      <c r="BK45" s="21"/>
      <c r="BL45" s="41"/>
    </row>
    <row r="46" spans="1:64" ht="12.75">
      <c r="A46" s="109"/>
      <c r="B46" s="110"/>
      <c r="C46" s="110"/>
      <c r="D46" s="114"/>
      <c r="E46" s="111" t="s">
        <v>670</v>
      </c>
      <c r="F46" s="110"/>
      <c r="G46" s="112"/>
      <c r="H46" s="112"/>
      <c r="I46" s="112"/>
      <c r="J46" s="112"/>
      <c r="K46" s="112"/>
      <c r="L46" s="112"/>
      <c r="M46" s="112"/>
      <c r="N46" s="113"/>
      <c r="O46" s="39"/>
      <c r="Z46" s="41"/>
      <c r="AB46" s="41"/>
      <c r="AC46" s="41"/>
      <c r="AD46" s="41"/>
      <c r="AE46" s="41"/>
      <c r="AF46" s="41"/>
      <c r="AG46" s="41"/>
      <c r="AH46" s="41"/>
      <c r="AI46" s="31"/>
      <c r="AJ46" s="21"/>
      <c r="AK46" s="21"/>
      <c r="AL46" s="21"/>
      <c r="AN46" s="41"/>
      <c r="AO46" s="41"/>
      <c r="AP46" s="41"/>
      <c r="AQ46" s="42"/>
      <c r="AV46" s="41"/>
      <c r="AW46" s="41"/>
      <c r="AX46" s="41"/>
      <c r="AY46" s="44"/>
      <c r="AZ46" s="44"/>
      <c r="BA46" s="31"/>
      <c r="BC46" s="41"/>
      <c r="BD46" s="41"/>
      <c r="BE46" s="41"/>
      <c r="BF46" s="41"/>
      <c r="BH46" s="21"/>
      <c r="BI46" s="21"/>
      <c r="BJ46" s="21"/>
      <c r="BK46" s="21"/>
      <c r="BL46" s="41"/>
    </row>
    <row r="47" spans="1:47" ht="12.75">
      <c r="A47" s="5"/>
      <c r="B47" s="14"/>
      <c r="C47" s="14" t="s">
        <v>33</v>
      </c>
      <c r="D47" s="127" t="s">
        <v>285</v>
      </c>
      <c r="E47" s="128"/>
      <c r="F47" s="19" t="s">
        <v>6</v>
      </c>
      <c r="G47" s="19" t="s">
        <v>6</v>
      </c>
      <c r="H47" s="19" t="s">
        <v>6</v>
      </c>
      <c r="I47" s="47">
        <f>SUM(I48:I51)</f>
        <v>0</v>
      </c>
      <c r="J47" s="47">
        <f>SUM(J48:J51)</f>
        <v>0</v>
      </c>
      <c r="K47" s="47">
        <f>SUM(K48:K51)</f>
        <v>0</v>
      </c>
      <c r="L47" s="31"/>
      <c r="M47" s="47">
        <f>SUM(M48:M51)</f>
        <v>79.5284052</v>
      </c>
      <c r="N47" s="36"/>
      <c r="O47" s="39"/>
      <c r="AI47" s="31"/>
      <c r="AS47" s="47">
        <f>SUM(AJ48:AJ51)</f>
        <v>0</v>
      </c>
      <c r="AT47" s="47">
        <f>SUM(AK48:AK51)</f>
        <v>0</v>
      </c>
      <c r="AU47" s="47">
        <f>SUM(AL48:AL51)</f>
        <v>0</v>
      </c>
    </row>
    <row r="48" spans="1:64" ht="12.75">
      <c r="A48" s="4" t="s">
        <v>21</v>
      </c>
      <c r="B48" s="13"/>
      <c r="C48" s="13" t="s">
        <v>140</v>
      </c>
      <c r="D48" s="125" t="s">
        <v>286</v>
      </c>
      <c r="E48" s="126"/>
      <c r="F48" s="13" t="s">
        <v>425</v>
      </c>
      <c r="G48" s="21">
        <v>16.22</v>
      </c>
      <c r="H48" s="21">
        <v>0</v>
      </c>
      <c r="I48" s="21">
        <f>G48*AO48</f>
        <v>0</v>
      </c>
      <c r="J48" s="21">
        <f>G48*AP48</f>
        <v>0</v>
      </c>
      <c r="K48" s="21">
        <f>G48*H48</f>
        <v>0</v>
      </c>
      <c r="L48" s="21">
        <v>2.525</v>
      </c>
      <c r="M48" s="21">
        <f>G48*L48</f>
        <v>40.955499999999994</v>
      </c>
      <c r="N48" s="35" t="s">
        <v>452</v>
      </c>
      <c r="O48" s="39"/>
      <c r="Z48" s="41">
        <f>IF(AQ48="5",BJ48,0)</f>
        <v>0</v>
      </c>
      <c r="AB48" s="41">
        <f>IF(AQ48="1",BH48,0)</f>
        <v>0</v>
      </c>
      <c r="AC48" s="41">
        <f>IF(AQ48="1",BI48,0)</f>
        <v>0</v>
      </c>
      <c r="AD48" s="41">
        <f>IF(AQ48="7",BH48,0)</f>
        <v>0</v>
      </c>
      <c r="AE48" s="41">
        <f>IF(AQ48="7",BI48,0)</f>
        <v>0</v>
      </c>
      <c r="AF48" s="41">
        <f>IF(AQ48="2",BH48,0)</f>
        <v>0</v>
      </c>
      <c r="AG48" s="41">
        <f>IF(AQ48="2",BI48,0)</f>
        <v>0</v>
      </c>
      <c r="AH48" s="41">
        <f>IF(AQ48="0",BJ48,0)</f>
        <v>0</v>
      </c>
      <c r="AI48" s="31"/>
      <c r="AJ48" s="21">
        <f>IF(AN48=0,K48,0)</f>
        <v>0</v>
      </c>
      <c r="AK48" s="21">
        <f>IF(AN48=15,K48,0)</f>
        <v>0</v>
      </c>
      <c r="AL48" s="21">
        <f>IF(AN48=21,K48,0)</f>
        <v>0</v>
      </c>
      <c r="AN48" s="41">
        <v>21</v>
      </c>
      <c r="AO48" s="41">
        <f>H48*0.903606060606061</f>
        <v>0</v>
      </c>
      <c r="AP48" s="41">
        <f>H48*(1-0.903606060606061)</f>
        <v>0</v>
      </c>
      <c r="AQ48" s="42" t="s">
        <v>7</v>
      </c>
      <c r="AV48" s="41">
        <f>AW48+AX48</f>
        <v>0</v>
      </c>
      <c r="AW48" s="41">
        <f>G48*AO48</f>
        <v>0</v>
      </c>
      <c r="AX48" s="41">
        <f>G48*AP48</f>
        <v>0</v>
      </c>
      <c r="AY48" s="44" t="s">
        <v>469</v>
      </c>
      <c r="AZ48" s="44" t="s">
        <v>507</v>
      </c>
      <c r="BA48" s="31" t="s">
        <v>520</v>
      </c>
      <c r="BC48" s="41">
        <f>AW48+AX48</f>
        <v>0</v>
      </c>
      <c r="BD48" s="41">
        <f>H48/(100-BE48)*100</f>
        <v>0</v>
      </c>
      <c r="BE48" s="41">
        <v>0</v>
      </c>
      <c r="BF48" s="41">
        <f>M48</f>
        <v>40.955499999999994</v>
      </c>
      <c r="BH48" s="21">
        <f>G48*AO48</f>
        <v>0</v>
      </c>
      <c r="BI48" s="21">
        <f>G48*AP48</f>
        <v>0</v>
      </c>
      <c r="BJ48" s="21">
        <f>G48*H48</f>
        <v>0</v>
      </c>
      <c r="BK48" s="21" t="s">
        <v>525</v>
      </c>
      <c r="BL48" s="41">
        <v>27</v>
      </c>
    </row>
    <row r="49" spans="1:64" ht="12.75">
      <c r="A49" s="109"/>
      <c r="B49" s="110"/>
      <c r="C49" s="110"/>
      <c r="D49" s="110"/>
      <c r="E49" s="111" t="s">
        <v>672</v>
      </c>
      <c r="F49" s="110"/>
      <c r="G49" s="112"/>
      <c r="H49" s="112"/>
      <c r="I49" s="112"/>
      <c r="J49" s="112"/>
      <c r="K49" s="112"/>
      <c r="L49" s="112"/>
      <c r="M49" s="112"/>
      <c r="N49" s="113"/>
      <c r="O49" s="39"/>
      <c r="Z49" s="41"/>
      <c r="AB49" s="41"/>
      <c r="AC49" s="41"/>
      <c r="AD49" s="41"/>
      <c r="AE49" s="41"/>
      <c r="AF49" s="41"/>
      <c r="AG49" s="41"/>
      <c r="AH49" s="41"/>
      <c r="AI49" s="31"/>
      <c r="AJ49" s="21"/>
      <c r="AK49" s="21"/>
      <c r="AL49" s="21"/>
      <c r="AN49" s="41"/>
      <c r="AO49" s="41"/>
      <c r="AP49" s="41"/>
      <c r="AQ49" s="42"/>
      <c r="AV49" s="41"/>
      <c r="AW49" s="41"/>
      <c r="AX49" s="41"/>
      <c r="AY49" s="44"/>
      <c r="AZ49" s="44"/>
      <c r="BA49" s="31"/>
      <c r="BC49" s="41"/>
      <c r="BD49" s="41"/>
      <c r="BE49" s="41"/>
      <c r="BF49" s="41"/>
      <c r="BH49" s="21"/>
      <c r="BI49" s="21"/>
      <c r="BJ49" s="21"/>
      <c r="BK49" s="21"/>
      <c r="BL49" s="41"/>
    </row>
    <row r="50" spans="1:64" ht="12.75">
      <c r="A50" s="4" t="s">
        <v>22</v>
      </c>
      <c r="B50" s="13"/>
      <c r="C50" s="13" t="s">
        <v>141</v>
      </c>
      <c r="D50" s="125" t="s">
        <v>287</v>
      </c>
      <c r="E50" s="126"/>
      <c r="F50" s="13" t="s">
        <v>427</v>
      </c>
      <c r="G50" s="21">
        <v>0.74</v>
      </c>
      <c r="H50" s="21">
        <v>0</v>
      </c>
      <c r="I50" s="21">
        <f>G50*AO50</f>
        <v>0</v>
      </c>
      <c r="J50" s="21">
        <f>G50*AP50</f>
        <v>0</v>
      </c>
      <c r="K50" s="21">
        <f>G50*H50</f>
        <v>0</v>
      </c>
      <c r="L50" s="21">
        <v>1.04548</v>
      </c>
      <c r="M50" s="21">
        <f>G50*L50</f>
        <v>0.7736552</v>
      </c>
      <c r="N50" s="35" t="s">
        <v>452</v>
      </c>
      <c r="O50" s="39"/>
      <c r="Z50" s="41">
        <f>IF(AQ50="5",BJ50,0)</f>
        <v>0</v>
      </c>
      <c r="AB50" s="41">
        <f>IF(AQ50="1",BH50,0)</f>
        <v>0</v>
      </c>
      <c r="AC50" s="41">
        <f>IF(AQ50="1",BI50,0)</f>
        <v>0</v>
      </c>
      <c r="AD50" s="41">
        <f>IF(AQ50="7",BH50,0)</f>
        <v>0</v>
      </c>
      <c r="AE50" s="41">
        <f>IF(AQ50="7",BI50,0)</f>
        <v>0</v>
      </c>
      <c r="AF50" s="41">
        <f>IF(AQ50="2",BH50,0)</f>
        <v>0</v>
      </c>
      <c r="AG50" s="41">
        <f>IF(AQ50="2",BI50,0)</f>
        <v>0</v>
      </c>
      <c r="AH50" s="41">
        <f>IF(AQ50="0",BJ50,0)</f>
        <v>0</v>
      </c>
      <c r="AI50" s="31"/>
      <c r="AJ50" s="21">
        <f>IF(AN50=0,K50,0)</f>
        <v>0</v>
      </c>
      <c r="AK50" s="21">
        <f>IF(AN50=15,K50,0)</f>
        <v>0</v>
      </c>
      <c r="AL50" s="21">
        <f>IF(AN50=21,K50,0)</f>
        <v>0</v>
      </c>
      <c r="AN50" s="41">
        <v>21</v>
      </c>
      <c r="AO50" s="41">
        <f>H50*0.879504835272906</f>
        <v>0</v>
      </c>
      <c r="AP50" s="41">
        <f>H50*(1-0.879504835272906)</f>
        <v>0</v>
      </c>
      <c r="AQ50" s="42" t="s">
        <v>7</v>
      </c>
      <c r="AV50" s="41">
        <f>AW50+AX50</f>
        <v>0</v>
      </c>
      <c r="AW50" s="41">
        <f>G50*AO50</f>
        <v>0</v>
      </c>
      <c r="AX50" s="41">
        <f>G50*AP50</f>
        <v>0</v>
      </c>
      <c r="AY50" s="44" t="s">
        <v>469</v>
      </c>
      <c r="AZ50" s="44" t="s">
        <v>507</v>
      </c>
      <c r="BA50" s="31" t="s">
        <v>520</v>
      </c>
      <c r="BC50" s="41">
        <f>AW50+AX50</f>
        <v>0</v>
      </c>
      <c r="BD50" s="41">
        <f>H50/(100-BE50)*100</f>
        <v>0</v>
      </c>
      <c r="BE50" s="41">
        <v>0</v>
      </c>
      <c r="BF50" s="41">
        <f>M50</f>
        <v>0.7736552</v>
      </c>
      <c r="BH50" s="21">
        <f>G50*AO50</f>
        <v>0</v>
      </c>
      <c r="BI50" s="21">
        <f>G50*AP50</f>
        <v>0</v>
      </c>
      <c r="BJ50" s="21">
        <f>G50*H50</f>
        <v>0</v>
      </c>
      <c r="BK50" s="21" t="s">
        <v>525</v>
      </c>
      <c r="BL50" s="41">
        <v>27</v>
      </c>
    </row>
    <row r="51" spans="1:64" ht="12.75">
      <c r="A51" s="4" t="s">
        <v>23</v>
      </c>
      <c r="B51" s="13"/>
      <c r="C51" s="13" t="s">
        <v>142</v>
      </c>
      <c r="D51" s="125" t="s">
        <v>288</v>
      </c>
      <c r="E51" s="126"/>
      <c r="F51" s="13" t="s">
        <v>425</v>
      </c>
      <c r="G51" s="21">
        <v>14.97</v>
      </c>
      <c r="H51" s="21">
        <v>0</v>
      </c>
      <c r="I51" s="21">
        <f>G51*AO51</f>
        <v>0</v>
      </c>
      <c r="J51" s="21">
        <f>G51*AP51</f>
        <v>0</v>
      </c>
      <c r="K51" s="21">
        <f>G51*H51</f>
        <v>0</v>
      </c>
      <c r="L51" s="21">
        <v>2.525</v>
      </c>
      <c r="M51" s="21">
        <f>G51*L51</f>
        <v>37.79925</v>
      </c>
      <c r="N51" s="35" t="s">
        <v>452</v>
      </c>
      <c r="O51" s="39"/>
      <c r="Z51" s="41">
        <f>IF(AQ51="5",BJ51,0)</f>
        <v>0</v>
      </c>
      <c r="AB51" s="41">
        <f>IF(AQ51="1",BH51,0)</f>
        <v>0</v>
      </c>
      <c r="AC51" s="41">
        <f>IF(AQ51="1",BI51,0)</f>
        <v>0</v>
      </c>
      <c r="AD51" s="41">
        <f>IF(AQ51="7",BH51,0)</f>
        <v>0</v>
      </c>
      <c r="AE51" s="41">
        <f>IF(AQ51="7",BI51,0)</f>
        <v>0</v>
      </c>
      <c r="AF51" s="41">
        <f>IF(AQ51="2",BH51,0)</f>
        <v>0</v>
      </c>
      <c r="AG51" s="41">
        <f>IF(AQ51="2",BI51,0)</f>
        <v>0</v>
      </c>
      <c r="AH51" s="41">
        <f>IF(AQ51="0",BJ51,0)</f>
        <v>0</v>
      </c>
      <c r="AI51" s="31"/>
      <c r="AJ51" s="21">
        <f>IF(AN51=0,K51,0)</f>
        <v>0</v>
      </c>
      <c r="AK51" s="21">
        <f>IF(AN51=15,K51,0)</f>
        <v>0</v>
      </c>
      <c r="AL51" s="21">
        <f>IF(AN51=21,K51,0)</f>
        <v>0</v>
      </c>
      <c r="AN51" s="41">
        <v>21</v>
      </c>
      <c r="AO51" s="41">
        <f>H51*0.903228956228956</f>
        <v>0</v>
      </c>
      <c r="AP51" s="41">
        <f>H51*(1-0.903228956228956)</f>
        <v>0</v>
      </c>
      <c r="AQ51" s="42" t="s">
        <v>7</v>
      </c>
      <c r="AV51" s="41">
        <f>AW51+AX51</f>
        <v>0</v>
      </c>
      <c r="AW51" s="41">
        <f>G51*AO51</f>
        <v>0</v>
      </c>
      <c r="AX51" s="41">
        <f>G51*AP51</f>
        <v>0</v>
      </c>
      <c r="AY51" s="44" t="s">
        <v>469</v>
      </c>
      <c r="AZ51" s="44" t="s">
        <v>507</v>
      </c>
      <c r="BA51" s="31" t="s">
        <v>520</v>
      </c>
      <c r="BC51" s="41">
        <f>AW51+AX51</f>
        <v>0</v>
      </c>
      <c r="BD51" s="41">
        <f>H51/(100-BE51)*100</f>
        <v>0</v>
      </c>
      <c r="BE51" s="41">
        <v>0</v>
      </c>
      <c r="BF51" s="41">
        <f>M51</f>
        <v>37.79925</v>
      </c>
      <c r="BH51" s="21">
        <f>G51*AO51</f>
        <v>0</v>
      </c>
      <c r="BI51" s="21">
        <f>G51*AP51</f>
        <v>0</v>
      </c>
      <c r="BJ51" s="21">
        <f>G51*H51</f>
        <v>0</v>
      </c>
      <c r="BK51" s="21" t="s">
        <v>525</v>
      </c>
      <c r="BL51" s="41">
        <v>27</v>
      </c>
    </row>
    <row r="52" spans="1:64" ht="12.75">
      <c r="A52" s="109"/>
      <c r="B52" s="110"/>
      <c r="C52" s="110"/>
      <c r="D52" s="110"/>
      <c r="E52" s="111" t="s">
        <v>671</v>
      </c>
      <c r="F52" s="110"/>
      <c r="G52" s="112"/>
      <c r="H52" s="112"/>
      <c r="I52" s="112"/>
      <c r="J52" s="112"/>
      <c r="K52" s="112"/>
      <c r="L52" s="112"/>
      <c r="M52" s="112"/>
      <c r="N52" s="113"/>
      <c r="O52" s="39"/>
      <c r="Z52" s="41"/>
      <c r="AB52" s="41"/>
      <c r="AC52" s="41"/>
      <c r="AD52" s="41"/>
      <c r="AE52" s="41"/>
      <c r="AF52" s="41"/>
      <c r="AG52" s="41"/>
      <c r="AH52" s="41"/>
      <c r="AI52" s="31"/>
      <c r="AJ52" s="21"/>
      <c r="AK52" s="21"/>
      <c r="AL52" s="21"/>
      <c r="AN52" s="41"/>
      <c r="AO52" s="41"/>
      <c r="AP52" s="41"/>
      <c r="AQ52" s="42"/>
      <c r="AV52" s="41"/>
      <c r="AW52" s="41"/>
      <c r="AX52" s="41"/>
      <c r="AY52" s="44"/>
      <c r="AZ52" s="44"/>
      <c r="BA52" s="31"/>
      <c r="BC52" s="41"/>
      <c r="BD52" s="41"/>
      <c r="BE52" s="41"/>
      <c r="BF52" s="41"/>
      <c r="BH52" s="21"/>
      <c r="BI52" s="21"/>
      <c r="BJ52" s="21"/>
      <c r="BK52" s="21"/>
      <c r="BL52" s="41"/>
    </row>
    <row r="53" spans="1:47" ht="12.75">
      <c r="A53" s="5"/>
      <c r="B53" s="14"/>
      <c r="C53" s="14" t="s">
        <v>34</v>
      </c>
      <c r="D53" s="127" t="s">
        <v>289</v>
      </c>
      <c r="E53" s="128"/>
      <c r="F53" s="19" t="s">
        <v>6</v>
      </c>
      <c r="G53" s="19" t="s">
        <v>6</v>
      </c>
      <c r="H53" s="19" t="s">
        <v>6</v>
      </c>
      <c r="I53" s="47">
        <f>SUM(I54:I54)</f>
        <v>0</v>
      </c>
      <c r="J53" s="47">
        <f>SUM(J54:J54)</f>
        <v>0</v>
      </c>
      <c r="K53" s="47">
        <f>SUM(K54:K54)</f>
        <v>0</v>
      </c>
      <c r="L53" s="31"/>
      <c r="M53" s="47">
        <f>SUM(M54:M54)</f>
        <v>7.056</v>
      </c>
      <c r="N53" s="36"/>
      <c r="O53" s="39"/>
      <c r="AI53" s="31"/>
      <c r="AS53" s="47">
        <f>SUM(AJ54:AJ54)</f>
        <v>0</v>
      </c>
      <c r="AT53" s="47">
        <f>SUM(AK54:AK54)</f>
        <v>0</v>
      </c>
      <c r="AU53" s="47">
        <f>SUM(AL54:AL54)</f>
        <v>0</v>
      </c>
    </row>
    <row r="54" spans="1:64" ht="12.75">
      <c r="A54" s="4" t="s">
        <v>24</v>
      </c>
      <c r="B54" s="13"/>
      <c r="C54" s="13" t="s">
        <v>596</v>
      </c>
      <c r="D54" s="125" t="s">
        <v>597</v>
      </c>
      <c r="E54" s="126"/>
      <c r="F54" s="13" t="s">
        <v>426</v>
      </c>
      <c r="G54" s="21">
        <v>112</v>
      </c>
      <c r="H54" s="21">
        <v>0</v>
      </c>
      <c r="I54" s="21">
        <f>G54*AO54</f>
        <v>0</v>
      </c>
      <c r="J54" s="21">
        <f>G54*AP54</f>
        <v>0</v>
      </c>
      <c r="K54" s="21">
        <f>G54*H54</f>
        <v>0</v>
      </c>
      <c r="L54" s="21">
        <v>0.063</v>
      </c>
      <c r="M54" s="21">
        <f>G54*L54</f>
        <v>7.056</v>
      </c>
      <c r="N54" s="35" t="s">
        <v>593</v>
      </c>
      <c r="O54" s="39"/>
      <c r="Z54" s="41">
        <f>IF(AQ54="5",BJ54,0)</f>
        <v>0</v>
      </c>
      <c r="AB54" s="41">
        <f>IF(AQ54="1",BH54,0)</f>
        <v>0</v>
      </c>
      <c r="AC54" s="41">
        <f>IF(AQ54="1",BI54,0)</f>
        <v>0</v>
      </c>
      <c r="AD54" s="41">
        <f>IF(AQ54="7",BH54,0)</f>
        <v>0</v>
      </c>
      <c r="AE54" s="41">
        <f>IF(AQ54="7",BI54,0)</f>
        <v>0</v>
      </c>
      <c r="AF54" s="41">
        <f>IF(AQ54="2",BH54,0)</f>
        <v>0</v>
      </c>
      <c r="AG54" s="41">
        <f>IF(AQ54="2",BI54,0)</f>
        <v>0</v>
      </c>
      <c r="AH54" s="41">
        <f>IF(AQ54="0",BJ54,0)</f>
        <v>0</v>
      </c>
      <c r="AI54" s="31"/>
      <c r="AJ54" s="21">
        <f>IF(AN54=0,K54,0)</f>
        <v>0</v>
      </c>
      <c r="AK54" s="21">
        <f>IF(AN54=15,K54,0)</f>
        <v>0</v>
      </c>
      <c r="AL54" s="21">
        <f>IF(AN54=21,K54,0)</f>
        <v>0</v>
      </c>
      <c r="AN54" s="41">
        <v>21</v>
      </c>
      <c r="AO54" s="41">
        <f>H54*0</f>
        <v>0</v>
      </c>
      <c r="AP54" s="41">
        <f>H54*(1-0)</f>
        <v>0</v>
      </c>
      <c r="AQ54" s="42" t="s">
        <v>7</v>
      </c>
      <c r="AV54" s="41">
        <f>AW54+AX54</f>
        <v>0</v>
      </c>
      <c r="AW54" s="41">
        <f>G54*AO54</f>
        <v>0</v>
      </c>
      <c r="AX54" s="41">
        <f>G54*AP54</f>
        <v>0</v>
      </c>
      <c r="AY54" s="44" t="s">
        <v>470</v>
      </c>
      <c r="AZ54" s="44" t="s">
        <v>507</v>
      </c>
      <c r="BA54" s="31" t="s">
        <v>520</v>
      </c>
      <c r="BC54" s="41">
        <f>AW54+AX54</f>
        <v>0</v>
      </c>
      <c r="BD54" s="41">
        <f>H54/(100-BE54)*100</f>
        <v>0</v>
      </c>
      <c r="BE54" s="41">
        <v>0</v>
      </c>
      <c r="BF54" s="41">
        <f>M54</f>
        <v>7.056</v>
      </c>
      <c r="BH54" s="21">
        <f>G54*AO54</f>
        <v>0</v>
      </c>
      <c r="BI54" s="21">
        <f>G54*AP54</f>
        <v>0</v>
      </c>
      <c r="BJ54" s="21">
        <f>G54*H54</f>
        <v>0</v>
      </c>
      <c r="BK54" s="21" t="s">
        <v>525</v>
      </c>
      <c r="BL54" s="41">
        <v>28</v>
      </c>
    </row>
    <row r="55" spans="1:47" ht="12.75">
      <c r="A55" s="5"/>
      <c r="B55" s="14"/>
      <c r="C55" s="14" t="s">
        <v>37</v>
      </c>
      <c r="D55" s="127" t="s">
        <v>291</v>
      </c>
      <c r="E55" s="128"/>
      <c r="F55" s="19" t="s">
        <v>6</v>
      </c>
      <c r="G55" s="19" t="s">
        <v>6</v>
      </c>
      <c r="H55" s="19" t="s">
        <v>6</v>
      </c>
      <c r="I55" s="47">
        <f>SUM(I56:I58)</f>
        <v>0</v>
      </c>
      <c r="J55" s="47">
        <f>SUM(J56:J58)</f>
        <v>0</v>
      </c>
      <c r="K55" s="47">
        <f>SUM(K56:K58)</f>
        <v>0</v>
      </c>
      <c r="L55" s="31"/>
      <c r="M55" s="47">
        <f>SUM(M56:M58)</f>
        <v>2.0920211999999996</v>
      </c>
      <c r="N55" s="36"/>
      <c r="O55" s="39"/>
      <c r="AI55" s="31"/>
      <c r="AS55" s="47">
        <f>SUM(AJ56:AJ58)</f>
        <v>0</v>
      </c>
      <c r="AT55" s="47">
        <f>SUM(AK56:AK58)</f>
        <v>0</v>
      </c>
      <c r="AU55" s="47">
        <f>SUM(AL56:AL58)</f>
        <v>0</v>
      </c>
    </row>
    <row r="56" spans="1:64" ht="12.75">
      <c r="A56" s="4" t="s">
        <v>25</v>
      </c>
      <c r="B56" s="13"/>
      <c r="C56" s="13" t="s">
        <v>144</v>
      </c>
      <c r="D56" s="125" t="s">
        <v>598</v>
      </c>
      <c r="E56" s="126"/>
      <c r="F56" s="13" t="s">
        <v>428</v>
      </c>
      <c r="G56" s="21">
        <v>142.22</v>
      </c>
      <c r="H56" s="21">
        <v>0</v>
      </c>
      <c r="I56" s="21">
        <f>G56*AO56</f>
        <v>0</v>
      </c>
      <c r="J56" s="21">
        <f>G56*AP56</f>
        <v>0</v>
      </c>
      <c r="K56" s="21">
        <f>G56*H56</f>
        <v>0</v>
      </c>
      <c r="L56" s="21">
        <v>0.00715</v>
      </c>
      <c r="M56" s="21">
        <f>G56*L56</f>
        <v>1.016873</v>
      </c>
      <c r="N56" s="35" t="s">
        <v>452</v>
      </c>
      <c r="O56" s="39"/>
      <c r="Z56" s="41">
        <f>IF(AQ56="5",BJ56,0)</f>
        <v>0</v>
      </c>
      <c r="AB56" s="41">
        <f>IF(AQ56="1",BH56,0)</f>
        <v>0</v>
      </c>
      <c r="AC56" s="41">
        <f>IF(AQ56="1",BI56,0)</f>
        <v>0</v>
      </c>
      <c r="AD56" s="41">
        <f>IF(AQ56="7",BH56,0)</f>
        <v>0</v>
      </c>
      <c r="AE56" s="41">
        <f>IF(AQ56="7",BI56,0)</f>
        <v>0</v>
      </c>
      <c r="AF56" s="41">
        <f>IF(AQ56="2",BH56,0)</f>
        <v>0</v>
      </c>
      <c r="AG56" s="41">
        <f>IF(AQ56="2",BI56,0)</f>
        <v>0</v>
      </c>
      <c r="AH56" s="41">
        <f>IF(AQ56="0",BJ56,0)</f>
        <v>0</v>
      </c>
      <c r="AI56" s="31"/>
      <c r="AJ56" s="21">
        <f>IF(AN56=0,K56,0)</f>
        <v>0</v>
      </c>
      <c r="AK56" s="21">
        <f>IF(AN56=15,K56,0)</f>
        <v>0</v>
      </c>
      <c r="AL56" s="21">
        <f>IF(AN56=21,K56,0)</f>
        <v>0</v>
      </c>
      <c r="AN56" s="41">
        <v>21</v>
      </c>
      <c r="AO56" s="41">
        <f>H56*0.114069868033972</f>
        <v>0</v>
      </c>
      <c r="AP56" s="41">
        <f>H56*(1-0.114069868033972)</f>
        <v>0</v>
      </c>
      <c r="AQ56" s="42" t="s">
        <v>7</v>
      </c>
      <c r="AV56" s="41">
        <f>AW56+AX56</f>
        <v>0</v>
      </c>
      <c r="AW56" s="41">
        <f>G56*AO56</f>
        <v>0</v>
      </c>
      <c r="AX56" s="41">
        <f>G56*AP56</f>
        <v>0</v>
      </c>
      <c r="AY56" s="44" t="s">
        <v>471</v>
      </c>
      <c r="AZ56" s="44" t="s">
        <v>508</v>
      </c>
      <c r="BA56" s="31" t="s">
        <v>520</v>
      </c>
      <c r="BC56" s="41">
        <f>AW56+AX56</f>
        <v>0</v>
      </c>
      <c r="BD56" s="41">
        <f>H56/(100-BE56)*100</f>
        <v>0</v>
      </c>
      <c r="BE56" s="41">
        <v>0</v>
      </c>
      <c r="BF56" s="41">
        <f>M56</f>
        <v>1.016873</v>
      </c>
      <c r="BH56" s="21">
        <f>G56*AO56</f>
        <v>0</v>
      </c>
      <c r="BI56" s="21">
        <f>G56*AP56</f>
        <v>0</v>
      </c>
      <c r="BJ56" s="21">
        <f>G56*H56</f>
        <v>0</v>
      </c>
      <c r="BK56" s="21" t="s">
        <v>525</v>
      </c>
      <c r="BL56" s="41">
        <v>31</v>
      </c>
    </row>
    <row r="57" spans="1:64" ht="12.75">
      <c r="A57" s="109"/>
      <c r="B57" s="110"/>
      <c r="C57" s="110"/>
      <c r="D57" s="110"/>
      <c r="E57" s="111" t="s">
        <v>673</v>
      </c>
      <c r="F57" s="110"/>
      <c r="G57" s="112"/>
      <c r="H57" s="112"/>
      <c r="I57" s="112"/>
      <c r="J57" s="112"/>
      <c r="K57" s="112"/>
      <c r="L57" s="112"/>
      <c r="M57" s="112"/>
      <c r="N57" s="113"/>
      <c r="O57" s="39"/>
      <c r="Z57" s="41"/>
      <c r="AB57" s="41"/>
      <c r="AC57" s="41"/>
      <c r="AD57" s="41"/>
      <c r="AE57" s="41"/>
      <c r="AF57" s="41"/>
      <c r="AG57" s="41"/>
      <c r="AH57" s="41"/>
      <c r="AI57" s="31"/>
      <c r="AJ57" s="21"/>
      <c r="AK57" s="21"/>
      <c r="AL57" s="21"/>
      <c r="AN57" s="41"/>
      <c r="AO57" s="41"/>
      <c r="AP57" s="41"/>
      <c r="AQ57" s="42"/>
      <c r="AV57" s="41"/>
      <c r="AW57" s="41"/>
      <c r="AX57" s="41"/>
      <c r="AY57" s="44"/>
      <c r="AZ57" s="44"/>
      <c r="BA57" s="31"/>
      <c r="BC57" s="41"/>
      <c r="BD57" s="41"/>
      <c r="BE57" s="41"/>
      <c r="BF57" s="41"/>
      <c r="BH57" s="21"/>
      <c r="BI57" s="21"/>
      <c r="BJ57" s="21"/>
      <c r="BK57" s="21"/>
      <c r="BL57" s="41"/>
    </row>
    <row r="58" spans="1:64" ht="12.75">
      <c r="A58" s="4" t="s">
        <v>26</v>
      </c>
      <c r="B58" s="13"/>
      <c r="C58" s="13" t="s">
        <v>145</v>
      </c>
      <c r="D58" s="125" t="s">
        <v>293</v>
      </c>
      <c r="E58" s="125"/>
      <c r="F58" s="13" t="s">
        <v>427</v>
      </c>
      <c r="G58" s="21">
        <v>0.98</v>
      </c>
      <c r="H58" s="21">
        <v>0</v>
      </c>
      <c r="I58" s="21">
        <f>G58*AO58</f>
        <v>0</v>
      </c>
      <c r="J58" s="21">
        <f>G58*AP58</f>
        <v>0</v>
      </c>
      <c r="K58" s="21">
        <f>G58*H58</f>
        <v>0</v>
      </c>
      <c r="L58" s="21">
        <v>1.09709</v>
      </c>
      <c r="M58" s="21">
        <f>G58*L58</f>
        <v>1.0751481999999999</v>
      </c>
      <c r="N58" s="35" t="s">
        <v>452</v>
      </c>
      <c r="O58" s="39"/>
      <c r="Z58" s="41">
        <f>IF(AQ58="5",BJ58,0)</f>
        <v>0</v>
      </c>
      <c r="AB58" s="41">
        <f>IF(AQ58="1",BH58,0)</f>
        <v>0</v>
      </c>
      <c r="AC58" s="41">
        <f>IF(AQ58="1",BI58,0)</f>
        <v>0</v>
      </c>
      <c r="AD58" s="41">
        <f>IF(AQ58="7",BH58,0)</f>
        <v>0</v>
      </c>
      <c r="AE58" s="41">
        <f>IF(AQ58="7",BI58,0)</f>
        <v>0</v>
      </c>
      <c r="AF58" s="41">
        <f>IF(AQ58="2",BH58,0)</f>
        <v>0</v>
      </c>
      <c r="AG58" s="41">
        <f>IF(AQ58="2",BI58,0)</f>
        <v>0</v>
      </c>
      <c r="AH58" s="41">
        <f>IF(AQ58="0",BJ58,0)</f>
        <v>0</v>
      </c>
      <c r="AI58" s="31"/>
      <c r="AJ58" s="21">
        <f>IF(AN58=0,K58,0)</f>
        <v>0</v>
      </c>
      <c r="AK58" s="21">
        <f>IF(AN58=15,K58,0)</f>
        <v>0</v>
      </c>
      <c r="AL58" s="21">
        <f>IF(AN58=21,K58,0)</f>
        <v>0</v>
      </c>
      <c r="AN58" s="41">
        <v>21</v>
      </c>
      <c r="AO58" s="41">
        <f>H58*0.807609206957728</f>
        <v>0</v>
      </c>
      <c r="AP58" s="41">
        <f>H58*(1-0.807609206957728)</f>
        <v>0</v>
      </c>
      <c r="AQ58" s="42" t="s">
        <v>7</v>
      </c>
      <c r="AV58" s="41">
        <f>AW58+AX58</f>
        <v>0</v>
      </c>
      <c r="AW58" s="41">
        <f>G58*AO58</f>
        <v>0</v>
      </c>
      <c r="AX58" s="41">
        <f>G58*AP58</f>
        <v>0</v>
      </c>
      <c r="AY58" s="44" t="s">
        <v>471</v>
      </c>
      <c r="AZ58" s="44" t="s">
        <v>508</v>
      </c>
      <c r="BA58" s="31" t="s">
        <v>520</v>
      </c>
      <c r="BC58" s="41">
        <f>AW58+AX58</f>
        <v>0</v>
      </c>
      <c r="BD58" s="41">
        <f>H58/(100-BE58)*100</f>
        <v>0</v>
      </c>
      <c r="BE58" s="41">
        <v>0</v>
      </c>
      <c r="BF58" s="41">
        <f>M58</f>
        <v>1.0751481999999999</v>
      </c>
      <c r="BH58" s="21">
        <f>G58*AO58</f>
        <v>0</v>
      </c>
      <c r="BI58" s="21">
        <f>G58*AP58</f>
        <v>0</v>
      </c>
      <c r="BJ58" s="21">
        <f>G58*H58</f>
        <v>0</v>
      </c>
      <c r="BK58" s="21" t="s">
        <v>525</v>
      </c>
      <c r="BL58" s="41">
        <v>31</v>
      </c>
    </row>
    <row r="59" spans="1:47" ht="12.75">
      <c r="A59" s="5"/>
      <c r="B59" s="14"/>
      <c r="C59" s="14" t="s">
        <v>40</v>
      </c>
      <c r="D59" s="127" t="s">
        <v>294</v>
      </c>
      <c r="E59" s="128"/>
      <c r="F59" s="19" t="s">
        <v>6</v>
      </c>
      <c r="G59" s="19" t="s">
        <v>6</v>
      </c>
      <c r="H59" s="19" t="s">
        <v>6</v>
      </c>
      <c r="I59" s="47">
        <f>SUM(I60:I60)</f>
        <v>0</v>
      </c>
      <c r="J59" s="47">
        <f>SUM(J60:J60)</f>
        <v>0</v>
      </c>
      <c r="K59" s="47">
        <f>SUM(K60:K60)</f>
        <v>0</v>
      </c>
      <c r="L59" s="31"/>
      <c r="M59" s="47">
        <f>SUM(M60:M60)</f>
        <v>16.6776428</v>
      </c>
      <c r="N59" s="36"/>
      <c r="O59" s="39"/>
      <c r="AI59" s="31"/>
      <c r="AS59" s="47">
        <f>SUM(AJ60:AJ60)</f>
        <v>0</v>
      </c>
      <c r="AT59" s="47">
        <f>SUM(AK60:AK60)</f>
        <v>0</v>
      </c>
      <c r="AU59" s="47">
        <f>SUM(AL60:AL60)</f>
        <v>0</v>
      </c>
    </row>
    <row r="60" spans="1:64" ht="12.75">
      <c r="A60" s="4" t="s">
        <v>27</v>
      </c>
      <c r="B60" s="13"/>
      <c r="C60" s="13" t="s">
        <v>146</v>
      </c>
      <c r="D60" s="137" t="s">
        <v>687</v>
      </c>
      <c r="E60" s="126"/>
      <c r="F60" s="13" t="s">
        <v>426</v>
      </c>
      <c r="G60" s="21">
        <v>36.79</v>
      </c>
      <c r="H60" s="21">
        <v>0</v>
      </c>
      <c r="I60" s="21">
        <f>G60*AO60</f>
        <v>0</v>
      </c>
      <c r="J60" s="21">
        <f>G60*AP60</f>
        <v>0</v>
      </c>
      <c r="K60" s="21">
        <f>G60*H60</f>
        <v>0</v>
      </c>
      <c r="L60" s="21">
        <v>0.45332</v>
      </c>
      <c r="M60" s="21">
        <f>G60*L60</f>
        <v>16.6776428</v>
      </c>
      <c r="N60" s="35" t="s">
        <v>452</v>
      </c>
      <c r="O60" s="39"/>
      <c r="Z60" s="41">
        <f>IF(AQ60="5",BJ60,0)</f>
        <v>0</v>
      </c>
      <c r="AB60" s="41">
        <f>IF(AQ60="1",BH60,0)</f>
        <v>0</v>
      </c>
      <c r="AC60" s="41">
        <f>IF(AQ60="1",BI60,0)</f>
        <v>0</v>
      </c>
      <c r="AD60" s="41">
        <f>IF(AQ60="7",BH60,0)</f>
        <v>0</v>
      </c>
      <c r="AE60" s="41">
        <f>IF(AQ60="7",BI60,0)</f>
        <v>0</v>
      </c>
      <c r="AF60" s="41">
        <f>IF(AQ60="2",BH60,0)</f>
        <v>0</v>
      </c>
      <c r="AG60" s="41">
        <f>IF(AQ60="2",BI60,0)</f>
        <v>0</v>
      </c>
      <c r="AH60" s="41">
        <f>IF(AQ60="0",BJ60,0)</f>
        <v>0</v>
      </c>
      <c r="AI60" s="31"/>
      <c r="AJ60" s="21">
        <f>IF(AN60=0,K60,0)</f>
        <v>0</v>
      </c>
      <c r="AK60" s="21">
        <f>IF(AN60=15,K60,0)</f>
        <v>0</v>
      </c>
      <c r="AL60" s="21">
        <f>IF(AN60=21,K60,0)</f>
        <v>0</v>
      </c>
      <c r="AN60" s="41">
        <v>21</v>
      </c>
      <c r="AO60" s="41">
        <f>H60*0.711318584070797</f>
        <v>0</v>
      </c>
      <c r="AP60" s="41">
        <f>H60*(1-0.711318584070797)</f>
        <v>0</v>
      </c>
      <c r="AQ60" s="42" t="s">
        <v>7</v>
      </c>
      <c r="AV60" s="41">
        <f>AW60+AX60</f>
        <v>0</v>
      </c>
      <c r="AW60" s="41">
        <f>G60*AO60</f>
        <v>0</v>
      </c>
      <c r="AX60" s="41">
        <f>G60*AP60</f>
        <v>0</v>
      </c>
      <c r="AY60" s="44" t="s">
        <v>472</v>
      </c>
      <c r="AZ60" s="44" t="s">
        <v>508</v>
      </c>
      <c r="BA60" s="31" t="s">
        <v>520</v>
      </c>
      <c r="BC60" s="41">
        <f>AW60+AX60</f>
        <v>0</v>
      </c>
      <c r="BD60" s="41">
        <f>H60/(100-BE60)*100</f>
        <v>0</v>
      </c>
      <c r="BE60" s="41">
        <v>0</v>
      </c>
      <c r="BF60" s="41">
        <f>M60</f>
        <v>16.6776428</v>
      </c>
      <c r="BH60" s="21">
        <f>G60*AO60</f>
        <v>0</v>
      </c>
      <c r="BI60" s="21">
        <f>G60*AP60</f>
        <v>0</v>
      </c>
      <c r="BJ60" s="21">
        <f>G60*H60</f>
        <v>0</v>
      </c>
      <c r="BK60" s="21" t="s">
        <v>525</v>
      </c>
      <c r="BL60" s="41">
        <v>34</v>
      </c>
    </row>
    <row r="61" spans="1:47" ht="12.75">
      <c r="A61" s="5"/>
      <c r="B61" s="14"/>
      <c r="C61" s="14" t="s">
        <v>62</v>
      </c>
      <c r="D61" s="127" t="s">
        <v>296</v>
      </c>
      <c r="E61" s="128"/>
      <c r="F61" s="19" t="s">
        <v>6</v>
      </c>
      <c r="G61" s="19" t="s">
        <v>6</v>
      </c>
      <c r="H61" s="19" t="s">
        <v>6</v>
      </c>
      <c r="I61" s="47">
        <f>SUM(I62:I62)</f>
        <v>0</v>
      </c>
      <c r="J61" s="47">
        <f>SUM(J62:J62)</f>
        <v>0</v>
      </c>
      <c r="K61" s="47">
        <f>SUM(K62:K62)</f>
        <v>0</v>
      </c>
      <c r="L61" s="31"/>
      <c r="M61" s="47">
        <f>SUM(M62:M62)</f>
        <v>37.72818</v>
      </c>
      <c r="N61" s="36"/>
      <c r="O61" s="39"/>
      <c r="AI61" s="31"/>
      <c r="AS61" s="47">
        <f>SUM(AJ62:AJ62)</f>
        <v>0</v>
      </c>
      <c r="AT61" s="47">
        <f>SUM(AK62:AK62)</f>
        <v>0</v>
      </c>
      <c r="AU61" s="47">
        <f>SUM(AL62:AL62)</f>
        <v>0</v>
      </c>
    </row>
    <row r="62" spans="1:64" ht="12.75">
      <c r="A62" s="4" t="s">
        <v>28</v>
      </c>
      <c r="B62" s="13"/>
      <c r="C62" s="13" t="s">
        <v>147</v>
      </c>
      <c r="D62" s="125" t="s">
        <v>297</v>
      </c>
      <c r="E62" s="126"/>
      <c r="F62" s="13" t="s">
        <v>426</v>
      </c>
      <c r="G62" s="21">
        <v>99.81</v>
      </c>
      <c r="H62" s="21">
        <v>0</v>
      </c>
      <c r="I62" s="21">
        <f>G62*AO62</f>
        <v>0</v>
      </c>
      <c r="J62" s="21">
        <f>G62*AP62</f>
        <v>0</v>
      </c>
      <c r="K62" s="21">
        <f>G62*H62</f>
        <v>0</v>
      </c>
      <c r="L62" s="21">
        <v>0.378</v>
      </c>
      <c r="M62" s="21">
        <f>G62*L62</f>
        <v>37.72818</v>
      </c>
      <c r="N62" s="35" t="s">
        <v>452</v>
      </c>
      <c r="O62" s="39"/>
      <c r="Z62" s="41">
        <f>IF(AQ62="5",BJ62,0)</f>
        <v>0</v>
      </c>
      <c r="AB62" s="41">
        <f>IF(AQ62="1",BH62,0)</f>
        <v>0</v>
      </c>
      <c r="AC62" s="41">
        <f>IF(AQ62="1",BI62,0)</f>
        <v>0</v>
      </c>
      <c r="AD62" s="41">
        <f>IF(AQ62="7",BH62,0)</f>
        <v>0</v>
      </c>
      <c r="AE62" s="41">
        <f>IF(AQ62="7",BI62,0)</f>
        <v>0</v>
      </c>
      <c r="AF62" s="41">
        <f>IF(AQ62="2",BH62,0)</f>
        <v>0</v>
      </c>
      <c r="AG62" s="41">
        <f>IF(AQ62="2",BI62,0)</f>
        <v>0</v>
      </c>
      <c r="AH62" s="41">
        <f>IF(AQ62="0",BJ62,0)</f>
        <v>0</v>
      </c>
      <c r="AI62" s="31"/>
      <c r="AJ62" s="21">
        <f>IF(AN62=0,K62,0)</f>
        <v>0</v>
      </c>
      <c r="AK62" s="21">
        <f>IF(AN62=15,K62,0)</f>
        <v>0</v>
      </c>
      <c r="AL62" s="21">
        <f>IF(AN62=21,K62,0)</f>
        <v>0</v>
      </c>
      <c r="AN62" s="41">
        <v>21</v>
      </c>
      <c r="AO62" s="41">
        <f>H62*0.840182926829268</f>
        <v>0</v>
      </c>
      <c r="AP62" s="41">
        <f>H62*(1-0.840182926829268)</f>
        <v>0</v>
      </c>
      <c r="AQ62" s="42" t="s">
        <v>7</v>
      </c>
      <c r="AV62" s="41">
        <f>AW62+AX62</f>
        <v>0</v>
      </c>
      <c r="AW62" s="41">
        <f>G62*AO62</f>
        <v>0</v>
      </c>
      <c r="AX62" s="41">
        <f>G62*AP62</f>
        <v>0</v>
      </c>
      <c r="AY62" s="44" t="s">
        <v>473</v>
      </c>
      <c r="AZ62" s="44" t="s">
        <v>509</v>
      </c>
      <c r="BA62" s="31" t="s">
        <v>520</v>
      </c>
      <c r="BC62" s="41">
        <f>AW62+AX62</f>
        <v>0</v>
      </c>
      <c r="BD62" s="41">
        <f>H62/(100-BE62)*100</f>
        <v>0</v>
      </c>
      <c r="BE62" s="41">
        <v>0</v>
      </c>
      <c r="BF62" s="41">
        <f>M62</f>
        <v>37.72818</v>
      </c>
      <c r="BH62" s="21">
        <f>G62*AO62</f>
        <v>0</v>
      </c>
      <c r="BI62" s="21">
        <f>G62*AP62</f>
        <v>0</v>
      </c>
      <c r="BJ62" s="21">
        <f>G62*H62</f>
        <v>0</v>
      </c>
      <c r="BK62" s="21" t="s">
        <v>525</v>
      </c>
      <c r="BL62" s="41">
        <v>56</v>
      </c>
    </row>
    <row r="63" spans="1:47" ht="12.75">
      <c r="A63" s="5"/>
      <c r="B63" s="14"/>
      <c r="C63" s="14" t="s">
        <v>65</v>
      </c>
      <c r="D63" s="127" t="s">
        <v>298</v>
      </c>
      <c r="E63" s="128"/>
      <c r="F63" s="19" t="s">
        <v>6</v>
      </c>
      <c r="G63" s="19" t="s">
        <v>6</v>
      </c>
      <c r="H63" s="19" t="s">
        <v>6</v>
      </c>
      <c r="I63" s="47">
        <f>SUM(I64:I64)</f>
        <v>0</v>
      </c>
      <c r="J63" s="47">
        <f>SUM(J64:J64)</f>
        <v>0</v>
      </c>
      <c r="K63" s="47">
        <f>SUM(K64:K64)</f>
        <v>0</v>
      </c>
      <c r="L63" s="31"/>
      <c r="M63" s="47">
        <f>SUM(M64:M64)</f>
        <v>17.083312799999998</v>
      </c>
      <c r="N63" s="36"/>
      <c r="O63" s="39"/>
      <c r="AI63" s="31"/>
      <c r="AS63" s="47">
        <f>SUM(AJ64:AJ64)</f>
        <v>0</v>
      </c>
      <c r="AT63" s="47">
        <f>SUM(AK64:AK64)</f>
        <v>0</v>
      </c>
      <c r="AU63" s="47">
        <f>SUM(AL64:AL64)</f>
        <v>0</v>
      </c>
    </row>
    <row r="64" spans="1:64" ht="12.75">
      <c r="A64" s="4" t="s">
        <v>29</v>
      </c>
      <c r="B64" s="13"/>
      <c r="C64" s="13" t="s">
        <v>148</v>
      </c>
      <c r="D64" s="125" t="s">
        <v>657</v>
      </c>
      <c r="E64" s="126"/>
      <c r="F64" s="13" t="s">
        <v>426</v>
      </c>
      <c r="G64" s="21">
        <v>13.04</v>
      </c>
      <c r="H64" s="21">
        <v>0</v>
      </c>
      <c r="I64" s="21">
        <f>G64*AO64</f>
        <v>0</v>
      </c>
      <c r="J64" s="21">
        <f>G64*AP64</f>
        <v>0</v>
      </c>
      <c r="K64" s="21">
        <f>G64*H64</f>
        <v>0</v>
      </c>
      <c r="L64" s="21">
        <v>1.31007</v>
      </c>
      <c r="M64" s="21">
        <f>G64*L64</f>
        <v>17.083312799999998</v>
      </c>
      <c r="N64" s="35" t="s">
        <v>452</v>
      </c>
      <c r="O64" s="39"/>
      <c r="Z64" s="41">
        <f>IF(AQ64="5",BJ64,0)</f>
        <v>0</v>
      </c>
      <c r="AB64" s="41">
        <f>IF(AQ64="1",BH64,0)</f>
        <v>0</v>
      </c>
      <c r="AC64" s="41">
        <f>IF(AQ64="1",BI64,0)</f>
        <v>0</v>
      </c>
      <c r="AD64" s="41">
        <f>IF(AQ64="7",BH64,0)</f>
        <v>0</v>
      </c>
      <c r="AE64" s="41">
        <f>IF(AQ64="7",BI64,0)</f>
        <v>0</v>
      </c>
      <c r="AF64" s="41">
        <f>IF(AQ64="2",BH64,0)</f>
        <v>0</v>
      </c>
      <c r="AG64" s="41">
        <f>IF(AQ64="2",BI64,0)</f>
        <v>0</v>
      </c>
      <c r="AH64" s="41">
        <f>IF(AQ64="0",BJ64,0)</f>
        <v>0</v>
      </c>
      <c r="AI64" s="31"/>
      <c r="AJ64" s="21">
        <f>IF(AN64=0,K64,0)</f>
        <v>0</v>
      </c>
      <c r="AK64" s="21">
        <f>IF(AN64=15,K64,0)</f>
        <v>0</v>
      </c>
      <c r="AL64" s="21">
        <f>IF(AN64=21,K64,0)</f>
        <v>0</v>
      </c>
      <c r="AN64" s="41">
        <v>21</v>
      </c>
      <c r="AO64" s="41">
        <f>H64*0.569146600464998</f>
        <v>0</v>
      </c>
      <c r="AP64" s="41">
        <f>H64*(1-0.569146600464998)</f>
        <v>0</v>
      </c>
      <c r="AQ64" s="42" t="s">
        <v>7</v>
      </c>
      <c r="AV64" s="41">
        <f>AW64+AX64</f>
        <v>0</v>
      </c>
      <c r="AW64" s="41">
        <f>G64*AO64</f>
        <v>0</v>
      </c>
      <c r="AX64" s="41">
        <f>G64*AP64</f>
        <v>0</v>
      </c>
      <c r="AY64" s="44" t="s">
        <v>474</v>
      </c>
      <c r="AZ64" s="44" t="s">
        <v>509</v>
      </c>
      <c r="BA64" s="31" t="s">
        <v>520</v>
      </c>
      <c r="BC64" s="41">
        <f>AW64+AX64</f>
        <v>0</v>
      </c>
      <c r="BD64" s="41">
        <f>H64/(100-BE64)*100</f>
        <v>0</v>
      </c>
      <c r="BE64" s="41">
        <v>0</v>
      </c>
      <c r="BF64" s="41">
        <f>M64</f>
        <v>17.083312799999998</v>
      </c>
      <c r="BH64" s="21">
        <f>G64*AO64</f>
        <v>0</v>
      </c>
      <c r="BI64" s="21">
        <f>G64*AP64</f>
        <v>0</v>
      </c>
      <c r="BJ64" s="21">
        <f>G64*H64</f>
        <v>0</v>
      </c>
      <c r="BK64" s="21" t="s">
        <v>525</v>
      </c>
      <c r="BL64" s="41">
        <v>59</v>
      </c>
    </row>
    <row r="65" spans="1:64" ht="12.75">
      <c r="A65" s="109"/>
      <c r="B65" s="110"/>
      <c r="C65" s="110"/>
      <c r="D65" s="110"/>
      <c r="E65" s="111" t="s">
        <v>674</v>
      </c>
      <c r="F65" s="110"/>
      <c r="G65" s="112"/>
      <c r="H65" s="112"/>
      <c r="I65" s="112"/>
      <c r="J65" s="112"/>
      <c r="K65" s="112"/>
      <c r="L65" s="112"/>
      <c r="M65" s="112"/>
      <c r="N65" s="113"/>
      <c r="O65" s="39"/>
      <c r="Z65" s="41"/>
      <c r="AB65" s="41"/>
      <c r="AC65" s="41"/>
      <c r="AD65" s="41"/>
      <c r="AE65" s="41"/>
      <c r="AF65" s="41"/>
      <c r="AG65" s="41"/>
      <c r="AH65" s="41"/>
      <c r="AI65" s="31"/>
      <c r="AJ65" s="21"/>
      <c r="AK65" s="21"/>
      <c r="AL65" s="21"/>
      <c r="AN65" s="41"/>
      <c r="AO65" s="41"/>
      <c r="AP65" s="41"/>
      <c r="AQ65" s="42"/>
      <c r="AV65" s="41"/>
      <c r="AW65" s="41"/>
      <c r="AX65" s="41"/>
      <c r="AY65" s="44"/>
      <c r="AZ65" s="44"/>
      <c r="BA65" s="31"/>
      <c r="BC65" s="41"/>
      <c r="BD65" s="41"/>
      <c r="BE65" s="41"/>
      <c r="BF65" s="41"/>
      <c r="BH65" s="21"/>
      <c r="BI65" s="21"/>
      <c r="BJ65" s="21"/>
      <c r="BK65" s="21"/>
      <c r="BL65" s="41"/>
    </row>
    <row r="66" spans="1:47" ht="12.75">
      <c r="A66" s="5"/>
      <c r="B66" s="14"/>
      <c r="C66" s="14" t="s">
        <v>66</v>
      </c>
      <c r="D66" s="127" t="s">
        <v>300</v>
      </c>
      <c r="E66" s="128"/>
      <c r="F66" s="19" t="s">
        <v>6</v>
      </c>
      <c r="G66" s="19" t="s">
        <v>6</v>
      </c>
      <c r="H66" s="19" t="s">
        <v>6</v>
      </c>
      <c r="I66" s="47">
        <f>SUM(I67:I69)</f>
        <v>0</v>
      </c>
      <c r="J66" s="47">
        <f>SUM(J67:J69)</f>
        <v>0</v>
      </c>
      <c r="K66" s="47">
        <f>SUM(K67:K69)</f>
        <v>0</v>
      </c>
      <c r="L66" s="31"/>
      <c r="M66" s="47">
        <f>SUM(M67:M69)</f>
        <v>8.6179639</v>
      </c>
      <c r="N66" s="36"/>
      <c r="O66" s="39"/>
      <c r="AI66" s="31"/>
      <c r="AS66" s="47">
        <f>SUM(AJ67:AJ69)</f>
        <v>0</v>
      </c>
      <c r="AT66" s="47">
        <f>SUM(AK67:AK69)</f>
        <v>0</v>
      </c>
      <c r="AU66" s="47">
        <f>SUM(AL67:AL69)</f>
        <v>0</v>
      </c>
    </row>
    <row r="67" spans="1:64" ht="12.75">
      <c r="A67" s="4" t="s">
        <v>30</v>
      </c>
      <c r="B67" s="13"/>
      <c r="C67" s="13" t="s">
        <v>149</v>
      </c>
      <c r="D67" s="125" t="s">
        <v>599</v>
      </c>
      <c r="E67" s="126"/>
      <c r="F67" s="13" t="s">
        <v>426</v>
      </c>
      <c r="G67" s="21">
        <v>371.01</v>
      </c>
      <c r="H67" s="21">
        <v>0</v>
      </c>
      <c r="I67" s="21">
        <f>G67*AO67</f>
        <v>0</v>
      </c>
      <c r="J67" s="21">
        <f>G67*AP67</f>
        <v>0</v>
      </c>
      <c r="K67" s="21">
        <f>G67*H67</f>
        <v>0</v>
      </c>
      <c r="L67" s="21">
        <v>0.0049</v>
      </c>
      <c r="M67" s="21">
        <f>G67*L67</f>
        <v>1.8179489999999998</v>
      </c>
      <c r="N67" s="35" t="s">
        <v>452</v>
      </c>
      <c r="O67" s="39"/>
      <c r="Z67" s="41">
        <f>IF(AQ67="5",BJ67,0)</f>
        <v>0</v>
      </c>
      <c r="AB67" s="41">
        <f>IF(AQ67="1",BH67,0)</f>
        <v>0</v>
      </c>
      <c r="AC67" s="41">
        <f>IF(AQ67="1",BI67,0)</f>
        <v>0</v>
      </c>
      <c r="AD67" s="41">
        <f>IF(AQ67="7",BH67,0)</f>
        <v>0</v>
      </c>
      <c r="AE67" s="41">
        <f>IF(AQ67="7",BI67,0)</f>
        <v>0</v>
      </c>
      <c r="AF67" s="41">
        <f>IF(AQ67="2",BH67,0)</f>
        <v>0</v>
      </c>
      <c r="AG67" s="41">
        <f>IF(AQ67="2",BI67,0)</f>
        <v>0</v>
      </c>
      <c r="AH67" s="41">
        <f>IF(AQ67="0",BJ67,0)</f>
        <v>0</v>
      </c>
      <c r="AI67" s="31"/>
      <c r="AJ67" s="21">
        <f>IF(AN67=0,K67,0)</f>
        <v>0</v>
      </c>
      <c r="AK67" s="21">
        <f>IF(AN67=15,K67,0)</f>
        <v>0</v>
      </c>
      <c r="AL67" s="21">
        <f>IF(AN67=21,K67,0)</f>
        <v>0</v>
      </c>
      <c r="AN67" s="41">
        <v>21</v>
      </c>
      <c r="AO67" s="41">
        <f>H67*0.120884203666849</f>
        <v>0</v>
      </c>
      <c r="AP67" s="41">
        <f>H67*(1-0.120884203666849)</f>
        <v>0</v>
      </c>
      <c r="AQ67" s="42" t="s">
        <v>7</v>
      </c>
      <c r="AV67" s="41">
        <f>AW67+AX67</f>
        <v>0</v>
      </c>
      <c r="AW67" s="41">
        <f>G67*AO67</f>
        <v>0</v>
      </c>
      <c r="AX67" s="41">
        <f>G67*AP67</f>
        <v>0</v>
      </c>
      <c r="AY67" s="44" t="s">
        <v>475</v>
      </c>
      <c r="AZ67" s="44" t="s">
        <v>510</v>
      </c>
      <c r="BA67" s="31" t="s">
        <v>520</v>
      </c>
      <c r="BC67" s="41">
        <f>AW67+AX67</f>
        <v>0</v>
      </c>
      <c r="BD67" s="41">
        <f>H67/(100-BE67)*100</f>
        <v>0</v>
      </c>
      <c r="BE67" s="41">
        <v>0</v>
      </c>
      <c r="BF67" s="41">
        <f>M67</f>
        <v>1.8179489999999998</v>
      </c>
      <c r="BH67" s="21">
        <f>G67*AO67</f>
        <v>0</v>
      </c>
      <c r="BI67" s="21">
        <f>G67*AP67</f>
        <v>0</v>
      </c>
      <c r="BJ67" s="21">
        <f>G67*H67</f>
        <v>0</v>
      </c>
      <c r="BK67" s="21" t="s">
        <v>525</v>
      </c>
      <c r="BL67" s="41">
        <v>60</v>
      </c>
    </row>
    <row r="68" spans="1:64" ht="12.75">
      <c r="A68" s="4" t="s">
        <v>31</v>
      </c>
      <c r="B68" s="13"/>
      <c r="C68" s="13" t="s">
        <v>150</v>
      </c>
      <c r="D68" s="125" t="s">
        <v>600</v>
      </c>
      <c r="E68" s="126"/>
      <c r="F68" s="13" t="s">
        <v>426</v>
      </c>
      <c r="G68" s="21">
        <v>647.08</v>
      </c>
      <c r="H68" s="21">
        <v>0</v>
      </c>
      <c r="I68" s="21">
        <f>G68*AO68</f>
        <v>0</v>
      </c>
      <c r="J68" s="21">
        <f>G68*AP68</f>
        <v>0</v>
      </c>
      <c r="K68" s="21">
        <f>G68*H68</f>
        <v>0</v>
      </c>
      <c r="L68" s="21">
        <v>0.00559</v>
      </c>
      <c r="M68" s="21">
        <f>G68*L68</f>
        <v>3.6171772000000004</v>
      </c>
      <c r="N68" s="35" t="s">
        <v>452</v>
      </c>
      <c r="O68" s="39"/>
      <c r="Z68" s="41">
        <f>IF(AQ68="5",BJ68,0)</f>
        <v>0</v>
      </c>
      <c r="AB68" s="41">
        <f>IF(AQ68="1",BH68,0)</f>
        <v>0</v>
      </c>
      <c r="AC68" s="41">
        <f>IF(AQ68="1",BI68,0)</f>
        <v>0</v>
      </c>
      <c r="AD68" s="41">
        <f>IF(AQ68="7",BH68,0)</f>
        <v>0</v>
      </c>
      <c r="AE68" s="41">
        <f>IF(AQ68="7",BI68,0)</f>
        <v>0</v>
      </c>
      <c r="AF68" s="41">
        <f>IF(AQ68="2",BH68,0)</f>
        <v>0</v>
      </c>
      <c r="AG68" s="41">
        <f>IF(AQ68="2",BI68,0)</f>
        <v>0</v>
      </c>
      <c r="AH68" s="41">
        <f>IF(AQ68="0",BJ68,0)</f>
        <v>0</v>
      </c>
      <c r="AI68" s="31"/>
      <c r="AJ68" s="21">
        <f>IF(AN68=0,K68,0)</f>
        <v>0</v>
      </c>
      <c r="AK68" s="21">
        <f>IF(AN68=15,K68,0)</f>
        <v>0</v>
      </c>
      <c r="AL68" s="21">
        <f>IF(AN68=21,K68,0)</f>
        <v>0</v>
      </c>
      <c r="AN68" s="41">
        <v>21</v>
      </c>
      <c r="AO68" s="41">
        <f>H68*0.216950904392765</f>
        <v>0</v>
      </c>
      <c r="AP68" s="41">
        <f>H68*(1-0.216950904392765)</f>
        <v>0</v>
      </c>
      <c r="AQ68" s="42" t="s">
        <v>7</v>
      </c>
      <c r="AV68" s="41">
        <f>AW68+AX68</f>
        <v>0</v>
      </c>
      <c r="AW68" s="41">
        <f>G68*AO68</f>
        <v>0</v>
      </c>
      <c r="AX68" s="41">
        <f>G68*AP68</f>
        <v>0</v>
      </c>
      <c r="AY68" s="44" t="s">
        <v>475</v>
      </c>
      <c r="AZ68" s="44" t="s">
        <v>510</v>
      </c>
      <c r="BA68" s="31" t="s">
        <v>520</v>
      </c>
      <c r="BC68" s="41">
        <f>AW68+AX68</f>
        <v>0</v>
      </c>
      <c r="BD68" s="41">
        <f>H68/(100-BE68)*100</f>
        <v>0</v>
      </c>
      <c r="BE68" s="41">
        <v>0</v>
      </c>
      <c r="BF68" s="41">
        <f>M68</f>
        <v>3.6171772000000004</v>
      </c>
      <c r="BH68" s="21">
        <f>G68*AO68</f>
        <v>0</v>
      </c>
      <c r="BI68" s="21">
        <f>G68*AP68</f>
        <v>0</v>
      </c>
      <c r="BJ68" s="21">
        <f>G68*H68</f>
        <v>0</v>
      </c>
      <c r="BK68" s="21" t="s">
        <v>525</v>
      </c>
      <c r="BL68" s="41">
        <v>60</v>
      </c>
    </row>
    <row r="69" spans="1:64" ht="12.75">
      <c r="A69" s="4" t="s">
        <v>32</v>
      </c>
      <c r="B69" s="13"/>
      <c r="C69" s="13" t="s">
        <v>151</v>
      </c>
      <c r="D69" s="125" t="s">
        <v>601</v>
      </c>
      <c r="E69" s="126"/>
      <c r="F69" s="13" t="s">
        <v>426</v>
      </c>
      <c r="G69" s="21">
        <v>640.41</v>
      </c>
      <c r="H69" s="21">
        <v>0</v>
      </c>
      <c r="I69" s="21">
        <f>G69*AO69</f>
        <v>0</v>
      </c>
      <c r="J69" s="21">
        <f>G69*AP69</f>
        <v>0</v>
      </c>
      <c r="K69" s="21">
        <f>G69*H69</f>
        <v>0</v>
      </c>
      <c r="L69" s="21">
        <v>0.00497</v>
      </c>
      <c r="M69" s="21">
        <f>G69*L69</f>
        <v>3.1828376999999994</v>
      </c>
      <c r="N69" s="35" t="s">
        <v>452</v>
      </c>
      <c r="O69" s="39"/>
      <c r="Z69" s="41">
        <f>IF(AQ69="5",BJ69,0)</f>
        <v>0</v>
      </c>
      <c r="AB69" s="41">
        <f>IF(AQ69="1",BH69,0)</f>
        <v>0</v>
      </c>
      <c r="AC69" s="41">
        <f>IF(AQ69="1",BI69,0)</f>
        <v>0</v>
      </c>
      <c r="AD69" s="41">
        <f>IF(AQ69="7",BH69,0)</f>
        <v>0</v>
      </c>
      <c r="AE69" s="41">
        <f>IF(AQ69="7",BI69,0)</f>
        <v>0</v>
      </c>
      <c r="AF69" s="41">
        <f>IF(AQ69="2",BH69,0)</f>
        <v>0</v>
      </c>
      <c r="AG69" s="41">
        <f>IF(AQ69="2",BI69,0)</f>
        <v>0</v>
      </c>
      <c r="AH69" s="41">
        <f>IF(AQ69="0",BJ69,0)</f>
        <v>0</v>
      </c>
      <c r="AI69" s="31"/>
      <c r="AJ69" s="21">
        <f>IF(AN69=0,K69,0)</f>
        <v>0</v>
      </c>
      <c r="AK69" s="21">
        <f>IF(AN69=15,K69,0)</f>
        <v>0</v>
      </c>
      <c r="AL69" s="21">
        <f>IF(AN69=21,K69,0)</f>
        <v>0</v>
      </c>
      <c r="AN69" s="41">
        <v>21</v>
      </c>
      <c r="AO69" s="41">
        <f>H69*0.229019318589956</f>
        <v>0</v>
      </c>
      <c r="AP69" s="41">
        <f>H69*(1-0.229019318589956)</f>
        <v>0</v>
      </c>
      <c r="AQ69" s="42" t="s">
        <v>7</v>
      </c>
      <c r="AV69" s="41">
        <f>AW69+AX69</f>
        <v>0</v>
      </c>
      <c r="AW69" s="41">
        <f>G69*AO69</f>
        <v>0</v>
      </c>
      <c r="AX69" s="41">
        <f>G69*AP69</f>
        <v>0</v>
      </c>
      <c r="AY69" s="44" t="s">
        <v>475</v>
      </c>
      <c r="AZ69" s="44" t="s">
        <v>510</v>
      </c>
      <c r="BA69" s="31" t="s">
        <v>520</v>
      </c>
      <c r="BC69" s="41">
        <f>AW69+AX69</f>
        <v>0</v>
      </c>
      <c r="BD69" s="41">
        <f>H69/(100-BE69)*100</f>
        <v>0</v>
      </c>
      <c r="BE69" s="41">
        <v>0</v>
      </c>
      <c r="BF69" s="41">
        <f>M69</f>
        <v>3.1828376999999994</v>
      </c>
      <c r="BH69" s="21">
        <f>G69*AO69</f>
        <v>0</v>
      </c>
      <c r="BI69" s="21">
        <f>G69*AP69</f>
        <v>0</v>
      </c>
      <c r="BJ69" s="21">
        <f>G69*H69</f>
        <v>0</v>
      </c>
      <c r="BK69" s="21" t="s">
        <v>525</v>
      </c>
      <c r="BL69" s="41">
        <v>60</v>
      </c>
    </row>
    <row r="70" spans="1:47" ht="12.75">
      <c r="A70" s="5"/>
      <c r="B70" s="14"/>
      <c r="C70" s="14" t="s">
        <v>67</v>
      </c>
      <c r="D70" s="127" t="s">
        <v>304</v>
      </c>
      <c r="E70" s="128"/>
      <c r="F70" s="19" t="s">
        <v>6</v>
      </c>
      <c r="G70" s="19" t="s">
        <v>6</v>
      </c>
      <c r="H70" s="19" t="s">
        <v>6</v>
      </c>
      <c r="I70" s="47">
        <f>SUM(I71:I86)</f>
        <v>0</v>
      </c>
      <c r="J70" s="47">
        <f>SUM(J71:J86)</f>
        <v>0</v>
      </c>
      <c r="K70" s="47">
        <f>SUM(K71:K86)</f>
        <v>0</v>
      </c>
      <c r="L70" s="31"/>
      <c r="M70" s="47">
        <f>SUM(M71:M86)</f>
        <v>30.3998974</v>
      </c>
      <c r="N70" s="36"/>
      <c r="O70" s="39"/>
      <c r="AI70" s="31"/>
      <c r="AS70" s="47">
        <f>SUM(AJ71:AJ86)</f>
        <v>0</v>
      </c>
      <c r="AT70" s="47">
        <f>SUM(AK71:AK86)</f>
        <v>0</v>
      </c>
      <c r="AU70" s="47">
        <f>SUM(AL71:AL86)</f>
        <v>0</v>
      </c>
    </row>
    <row r="71" spans="1:64" ht="12.75">
      <c r="A71" s="4" t="s">
        <v>33</v>
      </c>
      <c r="B71" s="13"/>
      <c r="C71" s="13" t="s">
        <v>152</v>
      </c>
      <c r="D71" s="125" t="s">
        <v>305</v>
      </c>
      <c r="E71" s="126"/>
      <c r="F71" s="13" t="s">
        <v>426</v>
      </c>
      <c r="G71" s="21">
        <v>647.08</v>
      </c>
      <c r="H71" s="21">
        <v>0</v>
      </c>
      <c r="I71" s="21">
        <f>G71*AO71</f>
        <v>0</v>
      </c>
      <c r="J71" s="21">
        <f>G71*AP71</f>
        <v>0</v>
      </c>
      <c r="K71" s="21">
        <f>G71*H71</f>
        <v>0</v>
      </c>
      <c r="L71" s="21">
        <v>0.01561</v>
      </c>
      <c r="M71" s="21">
        <f>G71*L71</f>
        <v>10.1009188</v>
      </c>
      <c r="N71" s="35" t="s">
        <v>452</v>
      </c>
      <c r="O71" s="39"/>
      <c r="Z71" s="41">
        <f>IF(AQ71="5",BJ71,0)</f>
        <v>0</v>
      </c>
      <c r="AB71" s="41">
        <f>IF(AQ71="1",BH71,0)</f>
        <v>0</v>
      </c>
      <c r="AC71" s="41">
        <f>IF(AQ71="1",BI71,0)</f>
        <v>0</v>
      </c>
      <c r="AD71" s="41">
        <f>IF(AQ71="7",BH71,0)</f>
        <v>0</v>
      </c>
      <c r="AE71" s="41">
        <f>IF(AQ71="7",BI71,0)</f>
        <v>0</v>
      </c>
      <c r="AF71" s="41">
        <f>IF(AQ71="2",BH71,0)</f>
        <v>0</v>
      </c>
      <c r="AG71" s="41">
        <f>IF(AQ71="2",BI71,0)</f>
        <v>0</v>
      </c>
      <c r="AH71" s="41">
        <f>IF(AQ71="0",BJ71,0)</f>
        <v>0</v>
      </c>
      <c r="AI71" s="31"/>
      <c r="AJ71" s="21">
        <f>IF(AN71=0,K71,0)</f>
        <v>0</v>
      </c>
      <c r="AK71" s="21">
        <f>IF(AN71=15,K71,0)</f>
        <v>0</v>
      </c>
      <c r="AL71" s="21">
        <f>IF(AN71=21,K71,0)</f>
        <v>0</v>
      </c>
      <c r="AN71" s="41">
        <v>21</v>
      </c>
      <c r="AO71" s="41">
        <f>H71*0.197931034482759</f>
        <v>0</v>
      </c>
      <c r="AP71" s="41">
        <f>H71*(1-0.197931034482759)</f>
        <v>0</v>
      </c>
      <c r="AQ71" s="42" t="s">
        <v>7</v>
      </c>
      <c r="AV71" s="41">
        <f>AW71+AX71</f>
        <v>0</v>
      </c>
      <c r="AW71" s="41">
        <f>G71*AO71</f>
        <v>0</v>
      </c>
      <c r="AX71" s="41">
        <f>G71*AP71</f>
        <v>0</v>
      </c>
      <c r="AY71" s="44" t="s">
        <v>476</v>
      </c>
      <c r="AZ71" s="44" t="s">
        <v>510</v>
      </c>
      <c r="BA71" s="31" t="s">
        <v>520</v>
      </c>
      <c r="BC71" s="41">
        <f>AW71+AX71</f>
        <v>0</v>
      </c>
      <c r="BD71" s="41">
        <f>H71/(100-BE71)*100</f>
        <v>0</v>
      </c>
      <c r="BE71" s="41">
        <v>0</v>
      </c>
      <c r="BF71" s="41">
        <f>M71</f>
        <v>10.1009188</v>
      </c>
      <c r="BH71" s="21">
        <f>G71*AO71</f>
        <v>0</v>
      </c>
      <c r="BI71" s="21">
        <f>G71*AP71</f>
        <v>0</v>
      </c>
      <c r="BJ71" s="21">
        <f>G71*H71</f>
        <v>0</v>
      </c>
      <c r="BK71" s="21" t="s">
        <v>525</v>
      </c>
      <c r="BL71" s="41">
        <v>61</v>
      </c>
    </row>
    <row r="72" spans="2:64" ht="12.75">
      <c r="B72" s="110"/>
      <c r="E72" s="115" t="s">
        <v>675</v>
      </c>
      <c r="O72" s="39"/>
      <c r="Z72" s="41"/>
      <c r="AB72" s="41"/>
      <c r="AC72" s="41"/>
      <c r="AD72" s="41"/>
      <c r="AE72" s="41"/>
      <c r="AF72" s="41"/>
      <c r="AG72" s="41"/>
      <c r="AH72" s="41"/>
      <c r="AI72" s="31"/>
      <c r="AJ72" s="21"/>
      <c r="AK72" s="21"/>
      <c r="AL72" s="21"/>
      <c r="AN72" s="41"/>
      <c r="AO72" s="41"/>
      <c r="AP72" s="41"/>
      <c r="AQ72" s="42"/>
      <c r="AV72" s="41"/>
      <c r="AW72" s="41"/>
      <c r="AX72" s="41"/>
      <c r="AY72" s="44"/>
      <c r="AZ72" s="44"/>
      <c r="BA72" s="31"/>
      <c r="BC72" s="41"/>
      <c r="BD72" s="41"/>
      <c r="BE72" s="41"/>
      <c r="BF72" s="41"/>
      <c r="BH72" s="21"/>
      <c r="BI72" s="21"/>
      <c r="BJ72" s="21"/>
      <c r="BK72" s="21"/>
      <c r="BL72" s="41"/>
    </row>
    <row r="73" spans="1:64" ht="12.75">
      <c r="A73" s="4" t="s">
        <v>34</v>
      </c>
      <c r="B73" s="13"/>
      <c r="C73" s="13" t="s">
        <v>153</v>
      </c>
      <c r="D73" s="125" t="s">
        <v>602</v>
      </c>
      <c r="E73" s="126"/>
      <c r="F73" s="13" t="s">
        <v>426</v>
      </c>
      <c r="G73" s="21">
        <v>371.01</v>
      </c>
      <c r="H73" s="21">
        <v>0</v>
      </c>
      <c r="I73" s="21">
        <f>G73*AO73</f>
        <v>0</v>
      </c>
      <c r="J73" s="21">
        <f>G73*AP73</f>
        <v>0</v>
      </c>
      <c r="K73" s="21">
        <f>G73*H73</f>
        <v>0</v>
      </c>
      <c r="L73" s="21">
        <v>0.01554</v>
      </c>
      <c r="M73" s="21">
        <f>G73*L73</f>
        <v>5.7654954</v>
      </c>
      <c r="N73" s="35" t="s">
        <v>452</v>
      </c>
      <c r="O73" s="39"/>
      <c r="Z73" s="41">
        <f>IF(AQ73="5",BJ73,0)</f>
        <v>0</v>
      </c>
      <c r="AB73" s="41">
        <f>IF(AQ73="1",BH73,0)</f>
        <v>0</v>
      </c>
      <c r="AC73" s="41">
        <f>IF(AQ73="1",BI73,0)</f>
        <v>0</v>
      </c>
      <c r="AD73" s="41">
        <f>IF(AQ73="7",BH73,0)</f>
        <v>0</v>
      </c>
      <c r="AE73" s="41">
        <f>IF(AQ73="7",BI73,0)</f>
        <v>0</v>
      </c>
      <c r="AF73" s="41">
        <f>IF(AQ73="2",BH73,0)</f>
        <v>0</v>
      </c>
      <c r="AG73" s="41">
        <f>IF(AQ73="2",BI73,0)</f>
        <v>0</v>
      </c>
      <c r="AH73" s="41">
        <f>IF(AQ73="0",BJ73,0)</f>
        <v>0</v>
      </c>
      <c r="AI73" s="31"/>
      <c r="AJ73" s="21">
        <f>IF(AN73=0,K73,0)</f>
        <v>0</v>
      </c>
      <c r="AK73" s="21">
        <f>IF(AN73=15,K73,0)</f>
        <v>0</v>
      </c>
      <c r="AL73" s="21">
        <f>IF(AN73=21,K73,0)</f>
        <v>0</v>
      </c>
      <c r="AN73" s="41">
        <v>21</v>
      </c>
      <c r="AO73" s="41">
        <f>H73*0.223146044889303</f>
        <v>0</v>
      </c>
      <c r="AP73" s="41">
        <f>H73*(1-0.223146044889303)</f>
        <v>0</v>
      </c>
      <c r="AQ73" s="42" t="s">
        <v>7</v>
      </c>
      <c r="AV73" s="41">
        <f>AW73+AX73</f>
        <v>0</v>
      </c>
      <c r="AW73" s="41">
        <f>G73*AO73</f>
        <v>0</v>
      </c>
      <c r="AX73" s="41">
        <f>G73*AP73</f>
        <v>0</v>
      </c>
      <c r="AY73" s="44" t="s">
        <v>476</v>
      </c>
      <c r="AZ73" s="44" t="s">
        <v>510</v>
      </c>
      <c r="BA73" s="31" t="s">
        <v>520</v>
      </c>
      <c r="BC73" s="41">
        <f>AW73+AX73</f>
        <v>0</v>
      </c>
      <c r="BD73" s="41">
        <f>H73/(100-BE73)*100</f>
        <v>0</v>
      </c>
      <c r="BE73" s="41">
        <v>0</v>
      </c>
      <c r="BF73" s="41">
        <f>M73</f>
        <v>5.7654954</v>
      </c>
      <c r="BH73" s="21">
        <f>G73*AO73</f>
        <v>0</v>
      </c>
      <c r="BI73" s="21">
        <f>G73*AP73</f>
        <v>0</v>
      </c>
      <c r="BJ73" s="21">
        <f>G73*H73</f>
        <v>0</v>
      </c>
      <c r="BK73" s="21" t="s">
        <v>525</v>
      </c>
      <c r="BL73" s="41">
        <v>61</v>
      </c>
    </row>
    <row r="74" spans="1:64" ht="12.75">
      <c r="A74" s="109"/>
      <c r="B74" s="110"/>
      <c r="C74" s="110"/>
      <c r="D74" s="114"/>
      <c r="E74" s="111" t="s">
        <v>676</v>
      </c>
      <c r="F74" s="110"/>
      <c r="G74" s="112"/>
      <c r="H74" s="112"/>
      <c r="I74" s="112"/>
      <c r="J74" s="112"/>
      <c r="K74" s="112"/>
      <c r="L74" s="112"/>
      <c r="M74" s="112"/>
      <c r="N74" s="113"/>
      <c r="O74" s="39"/>
      <c r="Z74" s="41"/>
      <c r="AB74" s="41"/>
      <c r="AC74" s="41"/>
      <c r="AD74" s="41"/>
      <c r="AE74" s="41"/>
      <c r="AF74" s="41"/>
      <c r="AG74" s="41"/>
      <c r="AH74" s="41"/>
      <c r="AI74" s="31"/>
      <c r="AJ74" s="21"/>
      <c r="AK74" s="21"/>
      <c r="AL74" s="21"/>
      <c r="AN74" s="41"/>
      <c r="AO74" s="41"/>
      <c r="AP74" s="41"/>
      <c r="AQ74" s="42"/>
      <c r="AV74" s="41"/>
      <c r="AW74" s="41"/>
      <c r="AX74" s="41"/>
      <c r="AY74" s="44"/>
      <c r="AZ74" s="44"/>
      <c r="BA74" s="31"/>
      <c r="BC74" s="41"/>
      <c r="BD74" s="41"/>
      <c r="BE74" s="41"/>
      <c r="BF74" s="41"/>
      <c r="BH74" s="21"/>
      <c r="BI74" s="21"/>
      <c r="BJ74" s="21"/>
      <c r="BK74" s="21"/>
      <c r="BL74" s="41"/>
    </row>
    <row r="75" spans="1:64" ht="12.75">
      <c r="A75" s="109"/>
      <c r="B75" s="110"/>
      <c r="C75" s="110"/>
      <c r="D75" s="114"/>
      <c r="E75" s="111" t="s">
        <v>677</v>
      </c>
      <c r="F75" s="110"/>
      <c r="G75" s="112"/>
      <c r="H75" s="112"/>
      <c r="I75" s="112"/>
      <c r="J75" s="112"/>
      <c r="K75" s="112"/>
      <c r="L75" s="112"/>
      <c r="M75" s="112"/>
      <c r="N75" s="113"/>
      <c r="O75" s="39"/>
      <c r="Z75" s="41"/>
      <c r="AB75" s="41"/>
      <c r="AC75" s="41"/>
      <c r="AD75" s="41"/>
      <c r="AE75" s="41"/>
      <c r="AF75" s="41"/>
      <c r="AG75" s="41"/>
      <c r="AH75" s="41"/>
      <c r="AI75" s="31"/>
      <c r="AJ75" s="21"/>
      <c r="AK75" s="21"/>
      <c r="AL75" s="21"/>
      <c r="AN75" s="41"/>
      <c r="AO75" s="41"/>
      <c r="AP75" s="41"/>
      <c r="AQ75" s="42"/>
      <c r="AV75" s="41"/>
      <c r="AW75" s="41"/>
      <c r="AX75" s="41"/>
      <c r="AY75" s="44"/>
      <c r="AZ75" s="44"/>
      <c r="BA75" s="31"/>
      <c r="BC75" s="41"/>
      <c r="BD75" s="41"/>
      <c r="BE75" s="41"/>
      <c r="BF75" s="41"/>
      <c r="BH75" s="21"/>
      <c r="BI75" s="21"/>
      <c r="BJ75" s="21"/>
      <c r="BK75" s="21"/>
      <c r="BL75" s="41"/>
    </row>
    <row r="76" spans="1:64" ht="12.75">
      <c r="A76" s="109"/>
      <c r="B76" s="110"/>
      <c r="C76" s="110"/>
      <c r="D76" s="114"/>
      <c r="E76" s="111" t="s">
        <v>678</v>
      </c>
      <c r="F76" s="110"/>
      <c r="G76" s="112"/>
      <c r="H76" s="112"/>
      <c r="I76" s="112"/>
      <c r="J76" s="112"/>
      <c r="K76" s="112"/>
      <c r="L76" s="112"/>
      <c r="M76" s="112"/>
      <c r="N76" s="113"/>
      <c r="O76" s="39"/>
      <c r="Z76" s="41"/>
      <c r="AB76" s="41"/>
      <c r="AC76" s="41"/>
      <c r="AD76" s="41"/>
      <c r="AE76" s="41"/>
      <c r="AF76" s="41"/>
      <c r="AG76" s="41"/>
      <c r="AH76" s="41"/>
      <c r="AI76" s="31"/>
      <c r="AJ76" s="21"/>
      <c r="AK76" s="21"/>
      <c r="AL76" s="21"/>
      <c r="AN76" s="41"/>
      <c r="AO76" s="41"/>
      <c r="AP76" s="41"/>
      <c r="AQ76" s="42"/>
      <c r="AV76" s="41"/>
      <c r="AW76" s="41"/>
      <c r="AX76" s="41"/>
      <c r="AY76" s="44"/>
      <c r="AZ76" s="44"/>
      <c r="BA76" s="31"/>
      <c r="BC76" s="41"/>
      <c r="BD76" s="41"/>
      <c r="BE76" s="41"/>
      <c r="BF76" s="41"/>
      <c r="BH76" s="21"/>
      <c r="BI76" s="21"/>
      <c r="BJ76" s="21"/>
      <c r="BK76" s="21"/>
      <c r="BL76" s="41"/>
    </row>
    <row r="77" spans="1:64" ht="12.75">
      <c r="A77" s="109"/>
      <c r="B77" s="110"/>
      <c r="C77" s="110"/>
      <c r="D77" s="114"/>
      <c r="E77" s="111" t="s">
        <v>679</v>
      </c>
      <c r="F77" s="110"/>
      <c r="G77" s="112"/>
      <c r="H77" s="112"/>
      <c r="I77" s="112"/>
      <c r="J77" s="112"/>
      <c r="K77" s="112"/>
      <c r="L77" s="112"/>
      <c r="M77" s="112"/>
      <c r="N77" s="113"/>
      <c r="O77" s="39"/>
      <c r="Z77" s="41"/>
      <c r="AB77" s="41"/>
      <c r="AC77" s="41"/>
      <c r="AD77" s="41"/>
      <c r="AE77" s="41"/>
      <c r="AF77" s="41"/>
      <c r="AG77" s="41"/>
      <c r="AH77" s="41"/>
      <c r="AI77" s="31"/>
      <c r="AJ77" s="21"/>
      <c r="AK77" s="21"/>
      <c r="AL77" s="21"/>
      <c r="AN77" s="41"/>
      <c r="AO77" s="41"/>
      <c r="AP77" s="41"/>
      <c r="AQ77" s="42"/>
      <c r="AV77" s="41"/>
      <c r="AW77" s="41"/>
      <c r="AX77" s="41"/>
      <c r="AY77" s="44"/>
      <c r="AZ77" s="44"/>
      <c r="BA77" s="31"/>
      <c r="BC77" s="41"/>
      <c r="BD77" s="41"/>
      <c r="BE77" s="41"/>
      <c r="BF77" s="41"/>
      <c r="BH77" s="21"/>
      <c r="BI77" s="21"/>
      <c r="BJ77" s="21"/>
      <c r="BK77" s="21"/>
      <c r="BL77" s="41"/>
    </row>
    <row r="78" spans="1:64" ht="12.75">
      <c r="A78" s="4" t="s">
        <v>35</v>
      </c>
      <c r="B78" s="13"/>
      <c r="C78" s="13" t="s">
        <v>154</v>
      </c>
      <c r="D78" s="125" t="s">
        <v>307</v>
      </c>
      <c r="E78" s="126"/>
      <c r="F78" s="13" t="s">
        <v>428</v>
      </c>
      <c r="G78" s="21">
        <v>451.55</v>
      </c>
      <c r="H78" s="21">
        <v>0</v>
      </c>
      <c r="I78" s="21">
        <f>G78*AO78</f>
        <v>0</v>
      </c>
      <c r="J78" s="21">
        <f>G78*AP78</f>
        <v>0</v>
      </c>
      <c r="K78" s="21">
        <f>G78*H78</f>
        <v>0</v>
      </c>
      <c r="L78" s="21">
        <v>0.00238</v>
      </c>
      <c r="M78" s="21">
        <f>G78*L78</f>
        <v>1.074689</v>
      </c>
      <c r="N78" s="35" t="s">
        <v>452</v>
      </c>
      <c r="O78" s="39"/>
      <c r="Z78" s="41">
        <f>IF(AQ78="5",BJ78,0)</f>
        <v>0</v>
      </c>
      <c r="AB78" s="41">
        <f>IF(AQ78="1",BH78,0)</f>
        <v>0</v>
      </c>
      <c r="AC78" s="41">
        <f>IF(AQ78="1",BI78,0)</f>
        <v>0</v>
      </c>
      <c r="AD78" s="41">
        <f>IF(AQ78="7",BH78,0)</f>
        <v>0</v>
      </c>
      <c r="AE78" s="41">
        <f>IF(AQ78="7",BI78,0)</f>
        <v>0</v>
      </c>
      <c r="AF78" s="41">
        <f>IF(AQ78="2",BH78,0)</f>
        <v>0</v>
      </c>
      <c r="AG78" s="41">
        <f>IF(AQ78="2",BI78,0)</f>
        <v>0</v>
      </c>
      <c r="AH78" s="41">
        <f>IF(AQ78="0",BJ78,0)</f>
        <v>0</v>
      </c>
      <c r="AI78" s="31"/>
      <c r="AJ78" s="21">
        <f>IF(AN78=0,K78,0)</f>
        <v>0</v>
      </c>
      <c r="AK78" s="21">
        <f>IF(AN78=15,K78,0)</f>
        <v>0</v>
      </c>
      <c r="AL78" s="21">
        <f>IF(AN78=21,K78,0)</f>
        <v>0</v>
      </c>
      <c r="AN78" s="41">
        <v>21</v>
      </c>
      <c r="AO78" s="41">
        <f>H78*0.115859030837004</f>
        <v>0</v>
      </c>
      <c r="AP78" s="41">
        <f>H78*(1-0.115859030837004)</f>
        <v>0</v>
      </c>
      <c r="AQ78" s="42" t="s">
        <v>7</v>
      </c>
      <c r="AV78" s="41">
        <f>AW78+AX78</f>
        <v>0</v>
      </c>
      <c r="AW78" s="41">
        <f>G78*AO78</f>
        <v>0</v>
      </c>
      <c r="AX78" s="41">
        <f>G78*AP78</f>
        <v>0</v>
      </c>
      <c r="AY78" s="44" t="s">
        <v>476</v>
      </c>
      <c r="AZ78" s="44" t="s">
        <v>510</v>
      </c>
      <c r="BA78" s="31" t="s">
        <v>520</v>
      </c>
      <c r="BC78" s="41">
        <f>AW78+AX78</f>
        <v>0</v>
      </c>
      <c r="BD78" s="41">
        <f>H78/(100-BE78)*100</f>
        <v>0</v>
      </c>
      <c r="BE78" s="41">
        <v>0</v>
      </c>
      <c r="BF78" s="41">
        <f>M78</f>
        <v>1.074689</v>
      </c>
      <c r="BH78" s="21">
        <f>G78*AO78</f>
        <v>0</v>
      </c>
      <c r="BI78" s="21">
        <f>G78*AP78</f>
        <v>0</v>
      </c>
      <c r="BJ78" s="21">
        <f>G78*H78</f>
        <v>0</v>
      </c>
      <c r="BK78" s="21" t="s">
        <v>525</v>
      </c>
      <c r="BL78" s="41">
        <v>61</v>
      </c>
    </row>
    <row r="79" spans="1:64" ht="12.75">
      <c r="A79" s="109"/>
      <c r="B79" s="110"/>
      <c r="C79" s="110"/>
      <c r="D79" s="110"/>
      <c r="E79" s="111" t="s">
        <v>680</v>
      </c>
      <c r="F79" s="110"/>
      <c r="G79" s="112"/>
      <c r="H79" s="112"/>
      <c r="I79" s="112"/>
      <c r="J79" s="112"/>
      <c r="K79" s="112"/>
      <c r="L79" s="112"/>
      <c r="M79" s="112"/>
      <c r="N79" s="113"/>
      <c r="O79" s="39"/>
      <c r="Z79" s="41"/>
      <c r="AB79" s="41"/>
      <c r="AC79" s="41"/>
      <c r="AD79" s="41"/>
      <c r="AE79" s="41"/>
      <c r="AF79" s="41"/>
      <c r="AG79" s="41"/>
      <c r="AH79" s="41"/>
      <c r="AI79" s="31"/>
      <c r="AJ79" s="21"/>
      <c r="AK79" s="21"/>
      <c r="AL79" s="21"/>
      <c r="AN79" s="41"/>
      <c r="AO79" s="41"/>
      <c r="AP79" s="41"/>
      <c r="AQ79" s="42"/>
      <c r="AV79" s="41"/>
      <c r="AW79" s="41"/>
      <c r="AX79" s="41"/>
      <c r="AY79" s="44"/>
      <c r="AZ79" s="44"/>
      <c r="BA79" s="31"/>
      <c r="BC79" s="41"/>
      <c r="BD79" s="41"/>
      <c r="BE79" s="41"/>
      <c r="BF79" s="41"/>
      <c r="BH79" s="21"/>
      <c r="BI79" s="21"/>
      <c r="BJ79" s="21"/>
      <c r="BK79" s="21"/>
      <c r="BL79" s="41"/>
    </row>
    <row r="80" spans="1:64" ht="12.75">
      <c r="A80" s="4" t="s">
        <v>36</v>
      </c>
      <c r="B80" s="13"/>
      <c r="C80" s="13" t="s">
        <v>153</v>
      </c>
      <c r="D80" s="125" t="s">
        <v>603</v>
      </c>
      <c r="E80" s="125"/>
      <c r="F80" s="13" t="s">
        <v>426</v>
      </c>
      <c r="G80" s="21">
        <v>640.41</v>
      </c>
      <c r="H80" s="21">
        <v>0</v>
      </c>
      <c r="I80" s="21">
        <f>G80*AO80</f>
        <v>0</v>
      </c>
      <c r="J80" s="21">
        <f>G80*AP80</f>
        <v>0</v>
      </c>
      <c r="K80" s="21">
        <f>G80*H80</f>
        <v>0</v>
      </c>
      <c r="L80" s="21">
        <v>0.01554</v>
      </c>
      <c r="M80" s="21">
        <f>G80*L80</f>
        <v>9.9519714</v>
      </c>
      <c r="N80" s="35" t="s">
        <v>452</v>
      </c>
      <c r="O80" s="39"/>
      <c r="Z80" s="41">
        <f>IF(AQ80="5",BJ80,0)</f>
        <v>0</v>
      </c>
      <c r="AB80" s="41">
        <f>IF(AQ80="1",BH80,0)</f>
        <v>0</v>
      </c>
      <c r="AC80" s="41">
        <f>IF(AQ80="1",BI80,0)</f>
        <v>0</v>
      </c>
      <c r="AD80" s="41">
        <f>IF(AQ80="7",BH80,0)</f>
        <v>0</v>
      </c>
      <c r="AE80" s="41">
        <f>IF(AQ80="7",BI80,0)</f>
        <v>0</v>
      </c>
      <c r="AF80" s="41">
        <f>IF(AQ80="2",BH80,0)</f>
        <v>0</v>
      </c>
      <c r="AG80" s="41">
        <f>IF(AQ80="2",BI80,0)</f>
        <v>0</v>
      </c>
      <c r="AH80" s="41">
        <f>IF(AQ80="0",BJ80,0)</f>
        <v>0</v>
      </c>
      <c r="AI80" s="31"/>
      <c r="AJ80" s="21">
        <f>IF(AN80=0,K80,0)</f>
        <v>0</v>
      </c>
      <c r="AK80" s="21">
        <f>IF(AN80=15,K80,0)</f>
        <v>0</v>
      </c>
      <c r="AL80" s="21">
        <f>IF(AN80=21,K80,0)</f>
        <v>0</v>
      </c>
      <c r="AN80" s="41">
        <v>21</v>
      </c>
      <c r="AO80" s="41">
        <f>H80*0.22314605436545</f>
        <v>0</v>
      </c>
      <c r="AP80" s="41">
        <f>H80*(1-0.22314605436545)</f>
        <v>0</v>
      </c>
      <c r="AQ80" s="42" t="s">
        <v>7</v>
      </c>
      <c r="AV80" s="41">
        <f>AW80+AX80</f>
        <v>0</v>
      </c>
      <c r="AW80" s="41">
        <f>G80*AO80</f>
        <v>0</v>
      </c>
      <c r="AX80" s="41">
        <f>G80*AP80</f>
        <v>0</v>
      </c>
      <c r="AY80" s="44" t="s">
        <v>476</v>
      </c>
      <c r="AZ80" s="44" t="s">
        <v>510</v>
      </c>
      <c r="BA80" s="31" t="s">
        <v>520</v>
      </c>
      <c r="BC80" s="41">
        <f>AW80+AX80</f>
        <v>0</v>
      </c>
      <c r="BD80" s="41">
        <f>H80/(100-BE80)*100</f>
        <v>0</v>
      </c>
      <c r="BE80" s="41">
        <v>0</v>
      </c>
      <c r="BF80" s="41">
        <f>M80</f>
        <v>9.9519714</v>
      </c>
      <c r="BH80" s="21">
        <f>G80*AO80</f>
        <v>0</v>
      </c>
      <c r="BI80" s="21">
        <f>G80*AP80</f>
        <v>0</v>
      </c>
      <c r="BJ80" s="21">
        <f>G80*H80</f>
        <v>0</v>
      </c>
      <c r="BK80" s="21" t="s">
        <v>525</v>
      </c>
      <c r="BL80" s="41">
        <v>61</v>
      </c>
    </row>
    <row r="81" spans="1:64" ht="12.75">
      <c r="A81" s="109"/>
      <c r="B81" s="110"/>
      <c r="C81" s="110"/>
      <c r="D81" s="110"/>
      <c r="E81" s="111" t="s">
        <v>681</v>
      </c>
      <c r="F81" s="110"/>
      <c r="G81" s="112"/>
      <c r="H81" s="112"/>
      <c r="I81" s="112"/>
      <c r="J81" s="112"/>
      <c r="K81" s="112"/>
      <c r="L81" s="112"/>
      <c r="M81" s="112"/>
      <c r="N81" s="113"/>
      <c r="O81" s="39"/>
      <c r="Z81" s="41"/>
      <c r="AB81" s="41"/>
      <c r="AC81" s="41"/>
      <c r="AD81" s="41"/>
      <c r="AE81" s="41"/>
      <c r="AF81" s="41"/>
      <c r="AG81" s="41"/>
      <c r="AH81" s="41"/>
      <c r="AI81" s="31"/>
      <c r="AJ81" s="21"/>
      <c r="AK81" s="21"/>
      <c r="AL81" s="21"/>
      <c r="AN81" s="41"/>
      <c r="AO81" s="41"/>
      <c r="AP81" s="41"/>
      <c r="AQ81" s="42"/>
      <c r="AV81" s="41"/>
      <c r="AW81" s="41"/>
      <c r="AX81" s="41"/>
      <c r="AY81" s="44"/>
      <c r="AZ81" s="44"/>
      <c r="BA81" s="31"/>
      <c r="BC81" s="41"/>
      <c r="BD81" s="41"/>
      <c r="BE81" s="41"/>
      <c r="BF81" s="41"/>
      <c r="BH81" s="21"/>
      <c r="BI81" s="21"/>
      <c r="BJ81" s="21"/>
      <c r="BK81" s="21"/>
      <c r="BL81" s="41"/>
    </row>
    <row r="82" spans="1:64" ht="12.75">
      <c r="A82" s="109"/>
      <c r="B82" s="110"/>
      <c r="C82" s="110"/>
      <c r="D82" s="110"/>
      <c r="E82" s="111" t="s">
        <v>682</v>
      </c>
      <c r="F82" s="110"/>
      <c r="G82" s="112"/>
      <c r="H82" s="112"/>
      <c r="I82" s="112"/>
      <c r="J82" s="112"/>
      <c r="K82" s="112"/>
      <c r="L82" s="112"/>
      <c r="M82" s="112"/>
      <c r="N82" s="113"/>
      <c r="O82" s="39"/>
      <c r="Z82" s="41"/>
      <c r="AB82" s="41"/>
      <c r="AC82" s="41"/>
      <c r="AD82" s="41"/>
      <c r="AE82" s="41"/>
      <c r="AF82" s="41"/>
      <c r="AG82" s="41"/>
      <c r="AH82" s="41"/>
      <c r="AI82" s="31"/>
      <c r="AJ82" s="21"/>
      <c r="AK82" s="21"/>
      <c r="AL82" s="21"/>
      <c r="AN82" s="41"/>
      <c r="AO82" s="41"/>
      <c r="AP82" s="41"/>
      <c r="AQ82" s="42"/>
      <c r="AV82" s="41"/>
      <c r="AW82" s="41"/>
      <c r="AX82" s="41"/>
      <c r="AY82" s="44"/>
      <c r="AZ82" s="44"/>
      <c r="BA82" s="31"/>
      <c r="BC82" s="41"/>
      <c r="BD82" s="41"/>
      <c r="BE82" s="41"/>
      <c r="BF82" s="41"/>
      <c r="BH82" s="21"/>
      <c r="BI82" s="21"/>
      <c r="BJ82" s="21"/>
      <c r="BK82" s="21"/>
      <c r="BL82" s="41"/>
    </row>
    <row r="83" spans="1:64" ht="12.75">
      <c r="A83" s="109"/>
      <c r="B83" s="110"/>
      <c r="C83" s="110"/>
      <c r="D83" s="110"/>
      <c r="E83" s="111" t="s">
        <v>683</v>
      </c>
      <c r="F83" s="110"/>
      <c r="G83" s="112"/>
      <c r="H83" s="112"/>
      <c r="I83" s="112"/>
      <c r="J83" s="112"/>
      <c r="K83" s="112"/>
      <c r="L83" s="112"/>
      <c r="M83" s="112"/>
      <c r="N83" s="113"/>
      <c r="O83" s="39"/>
      <c r="Z83" s="41"/>
      <c r="AB83" s="41"/>
      <c r="AC83" s="41"/>
      <c r="AD83" s="41"/>
      <c r="AE83" s="41"/>
      <c r="AF83" s="41"/>
      <c r="AG83" s="41"/>
      <c r="AH83" s="41"/>
      <c r="AI83" s="31"/>
      <c r="AJ83" s="21"/>
      <c r="AK83" s="21"/>
      <c r="AL83" s="21"/>
      <c r="AN83" s="41"/>
      <c r="AO83" s="41"/>
      <c r="AP83" s="41"/>
      <c r="AQ83" s="42"/>
      <c r="AV83" s="41"/>
      <c r="AW83" s="41"/>
      <c r="AX83" s="41"/>
      <c r="AY83" s="44"/>
      <c r="AZ83" s="44"/>
      <c r="BA83" s="31"/>
      <c r="BC83" s="41"/>
      <c r="BD83" s="41"/>
      <c r="BE83" s="41"/>
      <c r="BF83" s="41"/>
      <c r="BH83" s="21"/>
      <c r="BI83" s="21"/>
      <c r="BJ83" s="21"/>
      <c r="BK83" s="21"/>
      <c r="BL83" s="41"/>
    </row>
    <row r="84" spans="1:64" ht="12.75">
      <c r="A84" s="109"/>
      <c r="B84" s="110"/>
      <c r="C84" s="110"/>
      <c r="D84" s="110"/>
      <c r="E84" s="111" t="s">
        <v>684</v>
      </c>
      <c r="F84" s="110"/>
      <c r="G84" s="112"/>
      <c r="H84" s="112"/>
      <c r="I84" s="112"/>
      <c r="J84" s="112"/>
      <c r="K84" s="112"/>
      <c r="L84" s="112"/>
      <c r="M84" s="112"/>
      <c r="N84" s="113"/>
      <c r="O84" s="39"/>
      <c r="Z84" s="41"/>
      <c r="AB84" s="41"/>
      <c r="AC84" s="41"/>
      <c r="AD84" s="41"/>
      <c r="AE84" s="41"/>
      <c r="AF84" s="41"/>
      <c r="AG84" s="41"/>
      <c r="AH84" s="41"/>
      <c r="AI84" s="31"/>
      <c r="AJ84" s="21"/>
      <c r="AK84" s="21"/>
      <c r="AL84" s="21"/>
      <c r="AN84" s="41"/>
      <c r="AO84" s="41"/>
      <c r="AP84" s="41"/>
      <c r="AQ84" s="42"/>
      <c r="AV84" s="41"/>
      <c r="AW84" s="41"/>
      <c r="AX84" s="41"/>
      <c r="AY84" s="44"/>
      <c r="AZ84" s="44"/>
      <c r="BA84" s="31"/>
      <c r="BC84" s="41"/>
      <c r="BD84" s="41"/>
      <c r="BE84" s="41"/>
      <c r="BF84" s="41"/>
      <c r="BH84" s="21"/>
      <c r="BI84" s="21"/>
      <c r="BJ84" s="21"/>
      <c r="BK84" s="21"/>
      <c r="BL84" s="41"/>
    </row>
    <row r="85" spans="1:64" ht="12.75">
      <c r="A85" s="109"/>
      <c r="B85" s="110"/>
      <c r="C85" s="110"/>
      <c r="D85" s="110"/>
      <c r="E85" s="111" t="s">
        <v>685</v>
      </c>
      <c r="F85" s="110"/>
      <c r="G85" s="112"/>
      <c r="H85" s="112"/>
      <c r="I85" s="112"/>
      <c r="J85" s="112"/>
      <c r="K85" s="112"/>
      <c r="L85" s="112"/>
      <c r="M85" s="112"/>
      <c r="N85" s="113"/>
      <c r="O85" s="39"/>
      <c r="Z85" s="41"/>
      <c r="AB85" s="41"/>
      <c r="AC85" s="41"/>
      <c r="AD85" s="41"/>
      <c r="AE85" s="41"/>
      <c r="AF85" s="41"/>
      <c r="AG85" s="41"/>
      <c r="AH85" s="41"/>
      <c r="AI85" s="31"/>
      <c r="AJ85" s="21"/>
      <c r="AK85" s="21"/>
      <c r="AL85" s="21"/>
      <c r="AN85" s="41"/>
      <c r="AO85" s="41"/>
      <c r="AP85" s="41"/>
      <c r="AQ85" s="42"/>
      <c r="AV85" s="41"/>
      <c r="AW85" s="41"/>
      <c r="AX85" s="41"/>
      <c r="AY85" s="44"/>
      <c r="AZ85" s="44"/>
      <c r="BA85" s="31"/>
      <c r="BC85" s="41"/>
      <c r="BD85" s="41"/>
      <c r="BE85" s="41"/>
      <c r="BF85" s="41"/>
      <c r="BH85" s="21"/>
      <c r="BI85" s="21"/>
      <c r="BJ85" s="21"/>
      <c r="BK85" s="21"/>
      <c r="BL85" s="41"/>
    </row>
    <row r="86" spans="1:64" ht="12.75">
      <c r="A86" s="4" t="s">
        <v>37</v>
      </c>
      <c r="B86" s="13"/>
      <c r="C86" s="13" t="s">
        <v>155</v>
      </c>
      <c r="D86" s="125" t="s">
        <v>308</v>
      </c>
      <c r="E86" s="125"/>
      <c r="F86" s="13" t="s">
        <v>426</v>
      </c>
      <c r="G86" s="21">
        <v>73.58</v>
      </c>
      <c r="H86" s="21">
        <v>0</v>
      </c>
      <c r="I86" s="21">
        <f>G86*AO86</f>
        <v>0</v>
      </c>
      <c r="J86" s="21">
        <f>G86*AP86</f>
        <v>0</v>
      </c>
      <c r="K86" s="21">
        <f>G86*H86</f>
        <v>0</v>
      </c>
      <c r="L86" s="21">
        <v>0.04766</v>
      </c>
      <c r="M86" s="21">
        <f>G86*L86</f>
        <v>3.5068228</v>
      </c>
      <c r="N86" s="35" t="s">
        <v>452</v>
      </c>
      <c r="O86" s="39"/>
      <c r="Z86" s="41">
        <f>IF(AQ86="5",BJ86,0)</f>
        <v>0</v>
      </c>
      <c r="AB86" s="41">
        <f>IF(AQ86="1",BH86,0)</f>
        <v>0</v>
      </c>
      <c r="AC86" s="41">
        <f>IF(AQ86="1",BI86,0)</f>
        <v>0</v>
      </c>
      <c r="AD86" s="41">
        <f>IF(AQ86="7",BH86,0)</f>
        <v>0</v>
      </c>
      <c r="AE86" s="41">
        <f>IF(AQ86="7",BI86,0)</f>
        <v>0</v>
      </c>
      <c r="AF86" s="41">
        <f>IF(AQ86="2",BH86,0)</f>
        <v>0</v>
      </c>
      <c r="AG86" s="41">
        <f>IF(AQ86="2",BI86,0)</f>
        <v>0</v>
      </c>
      <c r="AH86" s="41">
        <f>IF(AQ86="0",BJ86,0)</f>
        <v>0</v>
      </c>
      <c r="AI86" s="31"/>
      <c r="AJ86" s="21">
        <f>IF(AN86=0,K86,0)</f>
        <v>0</v>
      </c>
      <c r="AK86" s="21">
        <f>IF(AN86=15,K86,0)</f>
        <v>0</v>
      </c>
      <c r="AL86" s="21">
        <f>IF(AN86=21,K86,0)</f>
        <v>0</v>
      </c>
      <c r="AN86" s="41">
        <v>21</v>
      </c>
      <c r="AO86" s="41">
        <f>H86*0.103801104972376</f>
        <v>0</v>
      </c>
      <c r="AP86" s="41">
        <f>H86*(1-0.103801104972376)</f>
        <v>0</v>
      </c>
      <c r="AQ86" s="42" t="s">
        <v>7</v>
      </c>
      <c r="AV86" s="41">
        <f>AW86+AX86</f>
        <v>0</v>
      </c>
      <c r="AW86" s="41">
        <f>G86*AO86</f>
        <v>0</v>
      </c>
      <c r="AX86" s="41">
        <f>G86*AP86</f>
        <v>0</v>
      </c>
      <c r="AY86" s="44" t="s">
        <v>476</v>
      </c>
      <c r="AZ86" s="44" t="s">
        <v>510</v>
      </c>
      <c r="BA86" s="31" t="s">
        <v>520</v>
      </c>
      <c r="BC86" s="41">
        <f>AW86+AX86</f>
        <v>0</v>
      </c>
      <c r="BD86" s="41">
        <f>H86/(100-BE86)*100</f>
        <v>0</v>
      </c>
      <c r="BE86" s="41">
        <v>0</v>
      </c>
      <c r="BF86" s="41">
        <f>M86</f>
        <v>3.5068228</v>
      </c>
      <c r="BH86" s="21">
        <f>G86*AO86</f>
        <v>0</v>
      </c>
      <c r="BI86" s="21">
        <f>G86*AP86</f>
        <v>0</v>
      </c>
      <c r="BJ86" s="21">
        <f>G86*H86</f>
        <v>0</v>
      </c>
      <c r="BK86" s="21" t="s">
        <v>525</v>
      </c>
      <c r="BL86" s="41">
        <v>61</v>
      </c>
    </row>
    <row r="87" spans="1:64" ht="12.75">
      <c r="A87" s="4"/>
      <c r="B87" s="13"/>
      <c r="C87" s="13"/>
      <c r="D87" s="13"/>
      <c r="E87" s="116" t="s">
        <v>686</v>
      </c>
      <c r="F87" s="13"/>
      <c r="G87" s="21"/>
      <c r="H87" s="21"/>
      <c r="I87" s="21"/>
      <c r="J87" s="21"/>
      <c r="K87" s="21"/>
      <c r="L87" s="21"/>
      <c r="M87" s="21"/>
      <c r="N87" s="35"/>
      <c r="O87" s="39"/>
      <c r="Z87" s="41"/>
      <c r="AB87" s="41"/>
      <c r="AC87" s="41"/>
      <c r="AD87" s="41"/>
      <c r="AE87" s="41"/>
      <c r="AF87" s="41"/>
      <c r="AG87" s="41"/>
      <c r="AH87" s="41"/>
      <c r="AI87" s="31"/>
      <c r="AJ87" s="21"/>
      <c r="AK87" s="21"/>
      <c r="AL87" s="21"/>
      <c r="AN87" s="41"/>
      <c r="AO87" s="41"/>
      <c r="AP87" s="41"/>
      <c r="AQ87" s="42"/>
      <c r="AV87" s="41"/>
      <c r="AW87" s="41"/>
      <c r="AX87" s="41"/>
      <c r="AY87" s="44"/>
      <c r="AZ87" s="44"/>
      <c r="BA87" s="31"/>
      <c r="BC87" s="41"/>
      <c r="BD87" s="41"/>
      <c r="BE87" s="41"/>
      <c r="BF87" s="41"/>
      <c r="BH87" s="21"/>
      <c r="BI87" s="21"/>
      <c r="BJ87" s="21"/>
      <c r="BK87" s="21"/>
      <c r="BL87" s="41"/>
    </row>
    <row r="88" spans="1:47" ht="12.75">
      <c r="A88" s="5"/>
      <c r="B88" s="14"/>
      <c r="C88" s="14" t="s">
        <v>68</v>
      </c>
      <c r="D88" s="127" t="s">
        <v>309</v>
      </c>
      <c r="E88" s="127"/>
      <c r="F88" s="19" t="s">
        <v>6</v>
      </c>
      <c r="G88" s="19" t="s">
        <v>6</v>
      </c>
      <c r="H88" s="19" t="s">
        <v>6</v>
      </c>
      <c r="I88" s="47">
        <f>SUM(I89:I95)</f>
        <v>0</v>
      </c>
      <c r="J88" s="47">
        <f>SUM(J89:J95)</f>
        <v>0</v>
      </c>
      <c r="K88" s="47">
        <f>SUM(K89:K95)</f>
        <v>0</v>
      </c>
      <c r="L88" s="31"/>
      <c r="M88" s="47">
        <f>SUM(M89:M95)</f>
        <v>1.3630893</v>
      </c>
      <c r="N88" s="36"/>
      <c r="O88" s="39"/>
      <c r="AI88" s="31"/>
      <c r="AS88" s="47">
        <f>SUM(AJ89:AJ95)</f>
        <v>0</v>
      </c>
      <c r="AT88" s="47">
        <f>SUM(AK89:AK95)</f>
        <v>0</v>
      </c>
      <c r="AU88" s="47">
        <f>SUM(AL89:AL95)</f>
        <v>0</v>
      </c>
    </row>
    <row r="89" spans="1:64" ht="12.75">
      <c r="A89" s="4" t="s">
        <v>38</v>
      </c>
      <c r="B89" s="13"/>
      <c r="C89" s="13" t="s">
        <v>156</v>
      </c>
      <c r="D89" s="125" t="s">
        <v>604</v>
      </c>
      <c r="E89" s="125"/>
      <c r="F89" s="13" t="s">
        <v>426</v>
      </c>
      <c r="G89" s="21">
        <v>1658.5</v>
      </c>
      <c r="H89" s="21">
        <v>0</v>
      </c>
      <c r="I89" s="21">
        <f>G89*AO89</f>
        <v>0</v>
      </c>
      <c r="J89" s="21">
        <f>G89*AP89</f>
        <v>0</v>
      </c>
      <c r="K89" s="21">
        <f>G89*H89</f>
        <v>0</v>
      </c>
      <c r="L89" s="21">
        <v>0.00054</v>
      </c>
      <c r="M89" s="21">
        <f>G89*L89</f>
        <v>0.89559</v>
      </c>
      <c r="N89" s="35" t="s">
        <v>452</v>
      </c>
      <c r="O89" s="39"/>
      <c r="Z89" s="41">
        <f>IF(AQ89="5",BJ89,0)</f>
        <v>0</v>
      </c>
      <c r="AB89" s="41">
        <f>IF(AQ89="1",BH89,0)</f>
        <v>0</v>
      </c>
      <c r="AC89" s="41">
        <f>IF(AQ89="1",BI89,0)</f>
        <v>0</v>
      </c>
      <c r="AD89" s="41">
        <f>IF(AQ89="7",BH89,0)</f>
        <v>0</v>
      </c>
      <c r="AE89" s="41">
        <f>IF(AQ89="7",BI89,0)</f>
        <v>0</v>
      </c>
      <c r="AF89" s="41">
        <f>IF(AQ89="2",BH89,0)</f>
        <v>0</v>
      </c>
      <c r="AG89" s="41">
        <f>IF(AQ89="2",BI89,0)</f>
        <v>0</v>
      </c>
      <c r="AH89" s="41">
        <f>IF(AQ89="0",BJ89,0)</f>
        <v>0</v>
      </c>
      <c r="AI89" s="31"/>
      <c r="AJ89" s="21">
        <f>IF(AN89=0,K89,0)</f>
        <v>0</v>
      </c>
      <c r="AK89" s="21">
        <f>IF(AN89=15,K89,0)</f>
        <v>0</v>
      </c>
      <c r="AL89" s="21">
        <f>IF(AN89=21,K89,0)</f>
        <v>0</v>
      </c>
      <c r="AN89" s="41">
        <v>21</v>
      </c>
      <c r="AO89" s="41">
        <f>H89*0.371860465116279</f>
        <v>0</v>
      </c>
      <c r="AP89" s="41">
        <f>H89*(1-0.371860465116279)</f>
        <v>0</v>
      </c>
      <c r="AQ89" s="42" t="s">
        <v>7</v>
      </c>
      <c r="AV89" s="41">
        <f>AW89+AX89</f>
        <v>0</v>
      </c>
      <c r="AW89" s="41">
        <f>G89*AO89</f>
        <v>0</v>
      </c>
      <c r="AX89" s="41">
        <f>G89*AP89</f>
        <v>0</v>
      </c>
      <c r="AY89" s="44" t="s">
        <v>477</v>
      </c>
      <c r="AZ89" s="44" t="s">
        <v>510</v>
      </c>
      <c r="BA89" s="31" t="s">
        <v>520</v>
      </c>
      <c r="BC89" s="41">
        <f>AW89+AX89</f>
        <v>0</v>
      </c>
      <c r="BD89" s="41">
        <f>H89/(100-BE89)*100</f>
        <v>0</v>
      </c>
      <c r="BE89" s="41">
        <v>0</v>
      </c>
      <c r="BF89" s="41">
        <f>M89</f>
        <v>0.89559</v>
      </c>
      <c r="BH89" s="21">
        <f>G89*AO89</f>
        <v>0</v>
      </c>
      <c r="BI89" s="21">
        <f>G89*AP89</f>
        <v>0</v>
      </c>
      <c r="BJ89" s="21">
        <f>G89*H89</f>
        <v>0</v>
      </c>
      <c r="BK89" s="21" t="s">
        <v>525</v>
      </c>
      <c r="BL89" s="41">
        <v>62</v>
      </c>
    </row>
    <row r="90" spans="1:64" ht="12.75">
      <c r="A90" s="117"/>
      <c r="B90" s="114"/>
      <c r="C90" s="114"/>
      <c r="D90" s="114"/>
      <c r="E90" s="111" t="s">
        <v>688</v>
      </c>
      <c r="F90" s="114"/>
      <c r="G90" s="118"/>
      <c r="H90" s="118"/>
      <c r="I90" s="118"/>
      <c r="J90" s="118"/>
      <c r="K90" s="118"/>
      <c r="L90" s="118"/>
      <c r="M90" s="118"/>
      <c r="N90" s="119"/>
      <c r="O90" s="39"/>
      <c r="Z90" s="41"/>
      <c r="AB90" s="41"/>
      <c r="AC90" s="41"/>
      <c r="AD90" s="41"/>
      <c r="AE90" s="41"/>
      <c r="AF90" s="41"/>
      <c r="AG90" s="41"/>
      <c r="AH90" s="41"/>
      <c r="AI90" s="31"/>
      <c r="AJ90" s="21"/>
      <c r="AK90" s="21"/>
      <c r="AL90" s="21"/>
      <c r="AN90" s="41"/>
      <c r="AO90" s="41"/>
      <c r="AP90" s="41"/>
      <c r="AQ90" s="42"/>
      <c r="AV90" s="41"/>
      <c r="AW90" s="41"/>
      <c r="AX90" s="41"/>
      <c r="AY90" s="44"/>
      <c r="AZ90" s="44"/>
      <c r="BA90" s="31"/>
      <c r="BC90" s="41"/>
      <c r="BD90" s="41"/>
      <c r="BE90" s="41"/>
      <c r="BF90" s="41"/>
      <c r="BH90" s="21"/>
      <c r="BI90" s="21"/>
      <c r="BJ90" s="21"/>
      <c r="BK90" s="21"/>
      <c r="BL90" s="41"/>
    </row>
    <row r="91" spans="1:64" ht="12.75">
      <c r="A91" s="117"/>
      <c r="B91" s="114"/>
      <c r="C91" s="114"/>
      <c r="D91" s="114"/>
      <c r="E91" s="111" t="s">
        <v>689</v>
      </c>
      <c r="F91" s="114"/>
      <c r="G91" s="118"/>
      <c r="H91" s="118"/>
      <c r="I91" s="118"/>
      <c r="J91" s="118"/>
      <c r="K91" s="118"/>
      <c r="L91" s="118"/>
      <c r="M91" s="118"/>
      <c r="N91" s="119"/>
      <c r="O91" s="39"/>
      <c r="Z91" s="41"/>
      <c r="AB91" s="41"/>
      <c r="AC91" s="41"/>
      <c r="AD91" s="41"/>
      <c r="AE91" s="41"/>
      <c r="AF91" s="41"/>
      <c r="AG91" s="41"/>
      <c r="AH91" s="41"/>
      <c r="AI91" s="31"/>
      <c r="AJ91" s="21"/>
      <c r="AK91" s="21"/>
      <c r="AL91" s="21"/>
      <c r="AN91" s="41"/>
      <c r="AO91" s="41"/>
      <c r="AP91" s="41"/>
      <c r="AQ91" s="42"/>
      <c r="AV91" s="41"/>
      <c r="AW91" s="41"/>
      <c r="AX91" s="41"/>
      <c r="AY91" s="44"/>
      <c r="AZ91" s="44"/>
      <c r="BA91" s="31"/>
      <c r="BC91" s="41"/>
      <c r="BD91" s="41"/>
      <c r="BE91" s="41"/>
      <c r="BF91" s="41"/>
      <c r="BH91" s="21"/>
      <c r="BI91" s="21"/>
      <c r="BJ91" s="21"/>
      <c r="BK91" s="21"/>
      <c r="BL91" s="41"/>
    </row>
    <row r="92" spans="1:64" ht="12.75">
      <c r="A92" s="117"/>
      <c r="B92" s="114"/>
      <c r="C92" s="114"/>
      <c r="D92" s="114"/>
      <c r="E92" s="111" t="s">
        <v>690</v>
      </c>
      <c r="F92" s="114"/>
      <c r="G92" s="118"/>
      <c r="H92" s="118"/>
      <c r="I92" s="118"/>
      <c r="J92" s="118"/>
      <c r="K92" s="118"/>
      <c r="L92" s="118"/>
      <c r="M92" s="118"/>
      <c r="N92" s="119"/>
      <c r="O92" s="39"/>
      <c r="Z92" s="41"/>
      <c r="AB92" s="41"/>
      <c r="AC92" s="41"/>
      <c r="AD92" s="41"/>
      <c r="AE92" s="41"/>
      <c r="AF92" s="41"/>
      <c r="AG92" s="41"/>
      <c r="AH92" s="41"/>
      <c r="AI92" s="31"/>
      <c r="AJ92" s="21"/>
      <c r="AK92" s="21"/>
      <c r="AL92" s="21"/>
      <c r="AN92" s="41"/>
      <c r="AO92" s="41"/>
      <c r="AP92" s="41"/>
      <c r="AQ92" s="42"/>
      <c r="AV92" s="41"/>
      <c r="AW92" s="41"/>
      <c r="AX92" s="41"/>
      <c r="AY92" s="44"/>
      <c r="AZ92" s="44"/>
      <c r="BA92" s="31"/>
      <c r="BC92" s="41"/>
      <c r="BD92" s="41"/>
      <c r="BE92" s="41"/>
      <c r="BF92" s="41"/>
      <c r="BH92" s="21"/>
      <c r="BI92" s="21"/>
      <c r="BJ92" s="21"/>
      <c r="BK92" s="21"/>
      <c r="BL92" s="41"/>
    </row>
    <row r="93" spans="1:64" ht="12.75">
      <c r="A93" s="117"/>
      <c r="B93" s="114"/>
      <c r="C93" s="114"/>
      <c r="D93" s="114"/>
      <c r="E93" s="111" t="s">
        <v>691</v>
      </c>
      <c r="F93" s="114"/>
      <c r="G93" s="118"/>
      <c r="H93" s="118"/>
      <c r="I93" s="118"/>
      <c r="J93" s="118"/>
      <c r="K93" s="118"/>
      <c r="L93" s="118"/>
      <c r="M93" s="118"/>
      <c r="N93" s="119"/>
      <c r="O93" s="39"/>
      <c r="Z93" s="41"/>
      <c r="AB93" s="41"/>
      <c r="AC93" s="41"/>
      <c r="AD93" s="41"/>
      <c r="AE93" s="41"/>
      <c r="AF93" s="41"/>
      <c r="AG93" s="41"/>
      <c r="AH93" s="41"/>
      <c r="AI93" s="31"/>
      <c r="AJ93" s="21"/>
      <c r="AK93" s="21"/>
      <c r="AL93" s="21"/>
      <c r="AN93" s="41"/>
      <c r="AO93" s="41"/>
      <c r="AP93" s="41"/>
      <c r="AQ93" s="42"/>
      <c r="AV93" s="41"/>
      <c r="AW93" s="41"/>
      <c r="AX93" s="41"/>
      <c r="AY93" s="44"/>
      <c r="AZ93" s="44"/>
      <c r="BA93" s="31"/>
      <c r="BC93" s="41"/>
      <c r="BD93" s="41"/>
      <c r="BE93" s="41"/>
      <c r="BF93" s="41"/>
      <c r="BH93" s="21"/>
      <c r="BI93" s="21"/>
      <c r="BJ93" s="21"/>
      <c r="BK93" s="21"/>
      <c r="BL93" s="41"/>
    </row>
    <row r="94" spans="1:64" ht="12.75">
      <c r="A94" s="117"/>
      <c r="B94" s="114"/>
      <c r="C94" s="114"/>
      <c r="D94" s="114"/>
      <c r="E94" s="111" t="s">
        <v>692</v>
      </c>
      <c r="F94" s="114"/>
      <c r="G94" s="118"/>
      <c r="H94" s="118"/>
      <c r="I94" s="118"/>
      <c r="J94" s="118"/>
      <c r="K94" s="118"/>
      <c r="L94" s="118"/>
      <c r="M94" s="118"/>
      <c r="N94" s="119"/>
      <c r="O94" s="39"/>
      <c r="Z94" s="41"/>
      <c r="AB94" s="41"/>
      <c r="AC94" s="41"/>
      <c r="AD94" s="41"/>
      <c r="AE94" s="41"/>
      <c r="AF94" s="41"/>
      <c r="AG94" s="41"/>
      <c r="AH94" s="41"/>
      <c r="AI94" s="31"/>
      <c r="AJ94" s="21"/>
      <c r="AK94" s="21"/>
      <c r="AL94" s="21"/>
      <c r="AN94" s="41"/>
      <c r="AO94" s="41"/>
      <c r="AP94" s="41"/>
      <c r="AQ94" s="42"/>
      <c r="AV94" s="41"/>
      <c r="AW94" s="41"/>
      <c r="AX94" s="41"/>
      <c r="AY94" s="44"/>
      <c r="AZ94" s="44"/>
      <c r="BA94" s="31"/>
      <c r="BC94" s="41"/>
      <c r="BD94" s="41"/>
      <c r="BE94" s="41"/>
      <c r="BF94" s="41"/>
      <c r="BH94" s="21"/>
      <c r="BI94" s="21"/>
      <c r="BJ94" s="21"/>
      <c r="BK94" s="21"/>
      <c r="BL94" s="41"/>
    </row>
    <row r="95" spans="1:64" ht="12.75">
      <c r="A95" s="4" t="s">
        <v>39</v>
      </c>
      <c r="B95" s="13"/>
      <c r="C95" s="13" t="s">
        <v>606</v>
      </c>
      <c r="D95" s="125" t="s">
        <v>605</v>
      </c>
      <c r="E95" s="126"/>
      <c r="F95" s="13" t="s">
        <v>426</v>
      </c>
      <c r="G95" s="21">
        <v>640.41</v>
      </c>
      <c r="H95" s="21">
        <v>0</v>
      </c>
      <c r="I95" s="21">
        <f>G95*AO95</f>
        <v>0</v>
      </c>
      <c r="J95" s="21">
        <f>G95*AP95</f>
        <v>0</v>
      </c>
      <c r="K95" s="21">
        <f>G95*H95</f>
        <v>0</v>
      </c>
      <c r="L95" s="21">
        <v>0.00073</v>
      </c>
      <c r="M95" s="21">
        <f>G95*L95</f>
        <v>0.46749929999999995</v>
      </c>
      <c r="N95" s="35" t="s">
        <v>593</v>
      </c>
      <c r="O95" s="39"/>
      <c r="Z95" s="41">
        <f>IF(AQ95="5",BJ95,0)</f>
        <v>0</v>
      </c>
      <c r="AB95" s="41">
        <f>IF(AQ95="1",BH95,0)</f>
        <v>0</v>
      </c>
      <c r="AC95" s="41">
        <f>IF(AQ95="1",BI95,0)</f>
        <v>0</v>
      </c>
      <c r="AD95" s="41">
        <f>IF(AQ95="7",BH95,0)</f>
        <v>0</v>
      </c>
      <c r="AE95" s="41">
        <f>IF(AQ95="7",BI95,0)</f>
        <v>0</v>
      </c>
      <c r="AF95" s="41">
        <f>IF(AQ95="2",BH95,0)</f>
        <v>0</v>
      </c>
      <c r="AG95" s="41">
        <f>IF(AQ95="2",BI95,0)</f>
        <v>0</v>
      </c>
      <c r="AH95" s="41">
        <f>IF(AQ95="0",BJ95,0)</f>
        <v>0</v>
      </c>
      <c r="AI95" s="31"/>
      <c r="AJ95" s="21">
        <f>IF(AN95=0,K95,0)</f>
        <v>0</v>
      </c>
      <c r="AK95" s="21">
        <f>IF(AN95=15,K95,0)</f>
        <v>0</v>
      </c>
      <c r="AL95" s="21">
        <f>IF(AN95=21,K95,0)</f>
        <v>0</v>
      </c>
      <c r="AN95" s="41">
        <v>21</v>
      </c>
      <c r="AO95" s="41">
        <f>H95*0.306797357806658</f>
        <v>0</v>
      </c>
      <c r="AP95" s="41">
        <f>H95*(1-0.306797357806658)</f>
        <v>0</v>
      </c>
      <c r="AQ95" s="42" t="s">
        <v>7</v>
      </c>
      <c r="AV95" s="41">
        <f>AW95+AX95</f>
        <v>0</v>
      </c>
      <c r="AW95" s="41">
        <f>G95*AO95</f>
        <v>0</v>
      </c>
      <c r="AX95" s="41">
        <f>G95*AP95</f>
        <v>0</v>
      </c>
      <c r="AY95" s="44" t="s">
        <v>477</v>
      </c>
      <c r="AZ95" s="44" t="s">
        <v>510</v>
      </c>
      <c r="BA95" s="31" t="s">
        <v>520</v>
      </c>
      <c r="BC95" s="41">
        <f>AW95+AX95</f>
        <v>0</v>
      </c>
      <c r="BD95" s="41">
        <f>H95/(100-BE95)*100</f>
        <v>0</v>
      </c>
      <c r="BE95" s="41">
        <v>0</v>
      </c>
      <c r="BF95" s="41">
        <f>M95</f>
        <v>0.46749929999999995</v>
      </c>
      <c r="BH95" s="21">
        <f>G95*AO95</f>
        <v>0</v>
      </c>
      <c r="BI95" s="21">
        <f>G95*AP95</f>
        <v>0</v>
      </c>
      <c r="BJ95" s="21">
        <f>G95*H95</f>
        <v>0</v>
      </c>
      <c r="BK95" s="21" t="s">
        <v>525</v>
      </c>
      <c r="BL95" s="41">
        <v>62</v>
      </c>
    </row>
    <row r="96" spans="1:47" ht="12.75">
      <c r="A96" s="5"/>
      <c r="B96" s="14"/>
      <c r="C96" s="14" t="s">
        <v>69</v>
      </c>
      <c r="D96" s="127" t="s">
        <v>312</v>
      </c>
      <c r="E96" s="128"/>
      <c r="F96" s="19" t="s">
        <v>6</v>
      </c>
      <c r="G96" s="19" t="s">
        <v>6</v>
      </c>
      <c r="H96" s="19" t="s">
        <v>6</v>
      </c>
      <c r="I96" s="47">
        <f>SUM(I97:I97)</f>
        <v>0</v>
      </c>
      <c r="J96" s="47">
        <f>SUM(J97:J97)</f>
        <v>0</v>
      </c>
      <c r="K96" s="47">
        <f>SUM(K97:K97)</f>
        <v>0</v>
      </c>
      <c r="L96" s="31"/>
      <c r="M96" s="47">
        <f>SUM(M97:M97)</f>
        <v>0.025950599999999997</v>
      </c>
      <c r="N96" s="36"/>
      <c r="O96" s="39"/>
      <c r="AI96" s="31"/>
      <c r="AS96" s="47">
        <f>SUM(AJ97:AJ97)</f>
        <v>0</v>
      </c>
      <c r="AT96" s="47">
        <f>SUM(AK97:AK97)</f>
        <v>0</v>
      </c>
      <c r="AU96" s="47">
        <f>SUM(AL97:AL97)</f>
        <v>0</v>
      </c>
    </row>
    <row r="97" spans="1:64" ht="12.75">
      <c r="A97" s="4" t="s">
        <v>40</v>
      </c>
      <c r="B97" s="13"/>
      <c r="C97" s="13" t="s">
        <v>158</v>
      </c>
      <c r="D97" s="125" t="s">
        <v>607</v>
      </c>
      <c r="E97" s="126"/>
      <c r="F97" s="13" t="s">
        <v>426</v>
      </c>
      <c r="G97" s="21">
        <v>99.81</v>
      </c>
      <c r="H97" s="21">
        <v>0</v>
      </c>
      <c r="I97" s="21">
        <f>G97*AO97</f>
        <v>0</v>
      </c>
      <c r="J97" s="21">
        <f>G97*AP97</f>
        <v>0</v>
      </c>
      <c r="K97" s="21">
        <f>G97*H97</f>
        <v>0</v>
      </c>
      <c r="L97" s="21">
        <v>0.00026</v>
      </c>
      <c r="M97" s="21">
        <f>G97*L97</f>
        <v>0.025950599999999997</v>
      </c>
      <c r="N97" s="35" t="s">
        <v>452</v>
      </c>
      <c r="O97" s="39"/>
      <c r="Z97" s="41">
        <f>IF(AQ97="5",BJ97,0)</f>
        <v>0</v>
      </c>
      <c r="AB97" s="41">
        <f>IF(AQ97="1",BH97,0)</f>
        <v>0</v>
      </c>
      <c r="AC97" s="41">
        <f>IF(AQ97="1",BI97,0)</f>
        <v>0</v>
      </c>
      <c r="AD97" s="41">
        <f>IF(AQ97="7",BH97,0)</f>
        <v>0</v>
      </c>
      <c r="AE97" s="41">
        <f>IF(AQ97="7",BI97,0)</f>
        <v>0</v>
      </c>
      <c r="AF97" s="41">
        <f>IF(AQ97="2",BH97,0)</f>
        <v>0</v>
      </c>
      <c r="AG97" s="41">
        <f>IF(AQ97="2",BI97,0)</f>
        <v>0</v>
      </c>
      <c r="AH97" s="41">
        <f>IF(AQ97="0",BJ97,0)</f>
        <v>0</v>
      </c>
      <c r="AI97" s="31"/>
      <c r="AJ97" s="21">
        <f>IF(AN97=0,K97,0)</f>
        <v>0</v>
      </c>
      <c r="AK97" s="21">
        <f>IF(AN97=15,K97,0)</f>
        <v>0</v>
      </c>
      <c r="AL97" s="21">
        <f>IF(AN97=21,K97,0)</f>
        <v>0</v>
      </c>
      <c r="AN97" s="41">
        <v>21</v>
      </c>
      <c r="AO97" s="41">
        <f>H97*0.502825094933393</f>
        <v>0</v>
      </c>
      <c r="AP97" s="41">
        <f>H97*(1-0.502825094933393)</f>
        <v>0</v>
      </c>
      <c r="AQ97" s="42" t="s">
        <v>7</v>
      </c>
      <c r="AV97" s="41">
        <f>AW97+AX97</f>
        <v>0</v>
      </c>
      <c r="AW97" s="41">
        <f>G97*AO97</f>
        <v>0</v>
      </c>
      <c r="AX97" s="41">
        <f>G97*AP97</f>
        <v>0</v>
      </c>
      <c r="AY97" s="44" t="s">
        <v>478</v>
      </c>
      <c r="AZ97" s="44" t="s">
        <v>510</v>
      </c>
      <c r="BA97" s="31" t="s">
        <v>520</v>
      </c>
      <c r="BC97" s="41">
        <f>AW97+AX97</f>
        <v>0</v>
      </c>
      <c r="BD97" s="41">
        <f>H97/(100-BE97)*100</f>
        <v>0</v>
      </c>
      <c r="BE97" s="41">
        <v>0</v>
      </c>
      <c r="BF97" s="41">
        <f>M97</f>
        <v>0.025950599999999997</v>
      </c>
      <c r="BH97" s="21">
        <f>G97*AO97</f>
        <v>0</v>
      </c>
      <c r="BI97" s="21">
        <f>G97*AP97</f>
        <v>0</v>
      </c>
      <c r="BJ97" s="21">
        <f>G97*H97</f>
        <v>0</v>
      </c>
      <c r="BK97" s="21" t="s">
        <v>525</v>
      </c>
      <c r="BL97" s="41">
        <v>63</v>
      </c>
    </row>
    <row r="98" spans="1:64" ht="12.75">
      <c r="A98" s="117"/>
      <c r="B98" s="114"/>
      <c r="C98" s="114"/>
      <c r="D98" s="114"/>
      <c r="E98" s="111" t="s">
        <v>693</v>
      </c>
      <c r="F98" s="114"/>
      <c r="G98" s="118"/>
      <c r="H98" s="118"/>
      <c r="I98" s="118"/>
      <c r="J98" s="118"/>
      <c r="K98" s="118"/>
      <c r="L98" s="118"/>
      <c r="M98" s="118"/>
      <c r="N98" s="119"/>
      <c r="O98" s="39"/>
      <c r="Z98" s="41"/>
      <c r="AB98" s="41"/>
      <c r="AC98" s="41"/>
      <c r="AD98" s="41"/>
      <c r="AE98" s="41"/>
      <c r="AF98" s="41"/>
      <c r="AG98" s="41"/>
      <c r="AH98" s="41"/>
      <c r="AI98" s="31"/>
      <c r="AJ98" s="21"/>
      <c r="AK98" s="21"/>
      <c r="AL98" s="21"/>
      <c r="AN98" s="41"/>
      <c r="AO98" s="41"/>
      <c r="AP98" s="41"/>
      <c r="AQ98" s="42"/>
      <c r="AV98" s="41"/>
      <c r="AW98" s="41"/>
      <c r="AX98" s="41"/>
      <c r="AY98" s="44"/>
      <c r="AZ98" s="44"/>
      <c r="BA98" s="31"/>
      <c r="BC98" s="41"/>
      <c r="BD98" s="41"/>
      <c r="BE98" s="41"/>
      <c r="BF98" s="41"/>
      <c r="BH98" s="21"/>
      <c r="BI98" s="21"/>
      <c r="BJ98" s="21"/>
      <c r="BK98" s="21"/>
      <c r="BL98" s="41"/>
    </row>
    <row r="99" spans="1:47" ht="12.75">
      <c r="A99" s="5"/>
      <c r="B99" s="14"/>
      <c r="C99" s="14" t="s">
        <v>159</v>
      </c>
      <c r="D99" s="127" t="s">
        <v>314</v>
      </c>
      <c r="E99" s="128"/>
      <c r="F99" s="19" t="s">
        <v>6</v>
      </c>
      <c r="G99" s="19" t="s">
        <v>6</v>
      </c>
      <c r="H99" s="19" t="s">
        <v>6</v>
      </c>
      <c r="I99" s="47">
        <f>SUM(I100:I102)</f>
        <v>0</v>
      </c>
      <c r="J99" s="47">
        <f>SUM(J100:J102)</f>
        <v>0</v>
      </c>
      <c r="K99" s="47">
        <f>SUM(K100:K102)</f>
        <v>0</v>
      </c>
      <c r="L99" s="31"/>
      <c r="M99" s="47">
        <f>SUM(M100:M102)</f>
        <v>0.8040493</v>
      </c>
      <c r="N99" s="36"/>
      <c r="O99" s="39"/>
      <c r="AI99" s="31"/>
      <c r="AS99" s="47">
        <f>SUM(AJ100:AJ102)</f>
        <v>0</v>
      </c>
      <c r="AT99" s="47">
        <f>SUM(AK100:AK102)</f>
        <v>0</v>
      </c>
      <c r="AU99" s="47">
        <f>SUM(AL100:AL102)</f>
        <v>0</v>
      </c>
    </row>
    <row r="100" spans="1:64" ht="12.75">
      <c r="A100" s="4" t="s">
        <v>41</v>
      </c>
      <c r="B100" s="13"/>
      <c r="C100" s="13" t="s">
        <v>160</v>
      </c>
      <c r="D100" s="125" t="s">
        <v>315</v>
      </c>
      <c r="E100" s="126"/>
      <c r="F100" s="13" t="s">
        <v>426</v>
      </c>
      <c r="G100" s="21">
        <v>141.19</v>
      </c>
      <c r="H100" s="21">
        <v>0</v>
      </c>
      <c r="I100" s="21">
        <f>G100*AO100</f>
        <v>0</v>
      </c>
      <c r="J100" s="21">
        <f>G100*AP100</f>
        <v>0</v>
      </c>
      <c r="K100" s="21">
        <f>G100*H100</f>
        <v>0</v>
      </c>
      <c r="L100" s="21">
        <v>0.00033</v>
      </c>
      <c r="M100" s="21">
        <f>G100*L100</f>
        <v>0.0465927</v>
      </c>
      <c r="N100" s="35" t="s">
        <v>452</v>
      </c>
      <c r="O100" s="39"/>
      <c r="Z100" s="41">
        <f>IF(AQ100="5",BJ100,0)</f>
        <v>0</v>
      </c>
      <c r="AB100" s="41">
        <f>IF(AQ100="1",BH100,0)</f>
        <v>0</v>
      </c>
      <c r="AC100" s="41">
        <f>IF(AQ100="1",BI100,0)</f>
        <v>0</v>
      </c>
      <c r="AD100" s="41">
        <f>IF(AQ100="7",BH100,0)</f>
        <v>0</v>
      </c>
      <c r="AE100" s="41">
        <f>IF(AQ100="7",BI100,0)</f>
        <v>0</v>
      </c>
      <c r="AF100" s="41">
        <f>IF(AQ100="2",BH100,0)</f>
        <v>0</v>
      </c>
      <c r="AG100" s="41">
        <f>IF(AQ100="2",BI100,0)</f>
        <v>0</v>
      </c>
      <c r="AH100" s="41">
        <f>IF(AQ100="0",BJ100,0)</f>
        <v>0</v>
      </c>
      <c r="AI100" s="31"/>
      <c r="AJ100" s="21">
        <f>IF(AN100=0,K100,0)</f>
        <v>0</v>
      </c>
      <c r="AK100" s="21">
        <f>IF(AN100=15,K100,0)</f>
        <v>0</v>
      </c>
      <c r="AL100" s="21">
        <f>IF(AN100=21,K100,0)</f>
        <v>0</v>
      </c>
      <c r="AN100" s="41">
        <v>21</v>
      </c>
      <c r="AO100" s="41">
        <f>H100*0.594681178430242</f>
        <v>0</v>
      </c>
      <c r="AP100" s="41">
        <f>H100*(1-0.594681178430242)</f>
        <v>0</v>
      </c>
      <c r="AQ100" s="42" t="s">
        <v>13</v>
      </c>
      <c r="AV100" s="41">
        <f>AW100+AX100</f>
        <v>0</v>
      </c>
      <c r="AW100" s="41">
        <f>G100*AO100</f>
        <v>0</v>
      </c>
      <c r="AX100" s="41">
        <f>G100*AP100</f>
        <v>0</v>
      </c>
      <c r="AY100" s="44" t="s">
        <v>479</v>
      </c>
      <c r="AZ100" s="44" t="s">
        <v>511</v>
      </c>
      <c r="BA100" s="31" t="s">
        <v>520</v>
      </c>
      <c r="BC100" s="41">
        <f>AW100+AX100</f>
        <v>0</v>
      </c>
      <c r="BD100" s="41">
        <f>H100/(100-BE100)*100</f>
        <v>0</v>
      </c>
      <c r="BE100" s="41">
        <v>0</v>
      </c>
      <c r="BF100" s="41">
        <f>M100</f>
        <v>0.0465927</v>
      </c>
      <c r="BH100" s="21">
        <f>G100*AO100</f>
        <v>0</v>
      </c>
      <c r="BI100" s="21">
        <f>G100*AP100</f>
        <v>0</v>
      </c>
      <c r="BJ100" s="21">
        <f>G100*H100</f>
        <v>0</v>
      </c>
      <c r="BK100" s="21" t="s">
        <v>525</v>
      </c>
      <c r="BL100" s="41">
        <v>711</v>
      </c>
    </row>
    <row r="101" spans="1:64" ht="12.75">
      <c r="A101" s="4" t="s">
        <v>42</v>
      </c>
      <c r="B101" s="13"/>
      <c r="C101" s="13" t="s">
        <v>161</v>
      </c>
      <c r="D101" s="125" t="s">
        <v>316</v>
      </c>
      <c r="E101" s="126"/>
      <c r="F101" s="13" t="s">
        <v>426</v>
      </c>
      <c r="G101" s="21">
        <v>41.38</v>
      </c>
      <c r="H101" s="21">
        <v>0</v>
      </c>
      <c r="I101" s="21">
        <f>G101*AO101</f>
        <v>0</v>
      </c>
      <c r="J101" s="21">
        <f>G101*AP101</f>
        <v>0</v>
      </c>
      <c r="K101" s="21">
        <f>G101*H101</f>
        <v>0</v>
      </c>
      <c r="L101" s="21">
        <v>0.0061</v>
      </c>
      <c r="M101" s="21">
        <f>G101*L101</f>
        <v>0.25241800000000003</v>
      </c>
      <c r="N101" s="35" t="s">
        <v>452</v>
      </c>
      <c r="O101" s="39"/>
      <c r="Z101" s="41">
        <f>IF(AQ101="5",BJ101,0)</f>
        <v>0</v>
      </c>
      <c r="AB101" s="41">
        <f>IF(AQ101="1",BH101,0)</f>
        <v>0</v>
      </c>
      <c r="AC101" s="41">
        <f>IF(AQ101="1",BI101,0)</f>
        <v>0</v>
      </c>
      <c r="AD101" s="41">
        <f>IF(AQ101="7",BH101,0)</f>
        <v>0</v>
      </c>
      <c r="AE101" s="41">
        <f>IF(AQ101="7",BI101,0)</f>
        <v>0</v>
      </c>
      <c r="AF101" s="41">
        <f>IF(AQ101="2",BH101,0)</f>
        <v>0</v>
      </c>
      <c r="AG101" s="41">
        <f>IF(AQ101="2",BI101,0)</f>
        <v>0</v>
      </c>
      <c r="AH101" s="41">
        <f>IF(AQ101="0",BJ101,0)</f>
        <v>0</v>
      </c>
      <c r="AI101" s="31"/>
      <c r="AJ101" s="21">
        <f>IF(AN101=0,K101,0)</f>
        <v>0</v>
      </c>
      <c r="AK101" s="21">
        <f>IF(AN101=15,K101,0)</f>
        <v>0</v>
      </c>
      <c r="AL101" s="21">
        <f>IF(AN101=21,K101,0)</f>
        <v>0</v>
      </c>
      <c r="AN101" s="41">
        <v>21</v>
      </c>
      <c r="AO101" s="41">
        <f>H101*0.658375350140056</f>
        <v>0</v>
      </c>
      <c r="AP101" s="41">
        <f>H101*(1-0.658375350140056)</f>
        <v>0</v>
      </c>
      <c r="AQ101" s="42" t="s">
        <v>13</v>
      </c>
      <c r="AV101" s="41">
        <f>AW101+AX101</f>
        <v>0</v>
      </c>
      <c r="AW101" s="41">
        <f>G101*AO101</f>
        <v>0</v>
      </c>
      <c r="AX101" s="41">
        <f>G101*AP101</f>
        <v>0</v>
      </c>
      <c r="AY101" s="44" t="s">
        <v>479</v>
      </c>
      <c r="AZ101" s="44" t="s">
        <v>511</v>
      </c>
      <c r="BA101" s="31" t="s">
        <v>520</v>
      </c>
      <c r="BC101" s="41">
        <f>AW101+AX101</f>
        <v>0</v>
      </c>
      <c r="BD101" s="41">
        <f>H101/(100-BE101)*100</f>
        <v>0</v>
      </c>
      <c r="BE101" s="41">
        <v>0</v>
      </c>
      <c r="BF101" s="41">
        <f>M101</f>
        <v>0.25241800000000003</v>
      </c>
      <c r="BH101" s="21">
        <f>G101*AO101</f>
        <v>0</v>
      </c>
      <c r="BI101" s="21">
        <f>G101*AP101</f>
        <v>0</v>
      </c>
      <c r="BJ101" s="21">
        <f>G101*H101</f>
        <v>0</v>
      </c>
      <c r="BK101" s="21" t="s">
        <v>525</v>
      </c>
      <c r="BL101" s="41">
        <v>711</v>
      </c>
    </row>
    <row r="102" spans="1:64" ht="12.75">
      <c r="A102" s="4" t="s">
        <v>43</v>
      </c>
      <c r="B102" s="13"/>
      <c r="C102" s="13" t="s">
        <v>162</v>
      </c>
      <c r="D102" s="125" t="s">
        <v>317</v>
      </c>
      <c r="E102" s="126"/>
      <c r="F102" s="13" t="s">
        <v>426</v>
      </c>
      <c r="G102" s="21">
        <v>99.81</v>
      </c>
      <c r="H102" s="21">
        <v>0</v>
      </c>
      <c r="I102" s="21">
        <f>G102*AO102</f>
        <v>0</v>
      </c>
      <c r="J102" s="21">
        <f>G102*AP102</f>
        <v>0</v>
      </c>
      <c r="K102" s="21">
        <f>G102*H102</f>
        <v>0</v>
      </c>
      <c r="L102" s="21">
        <v>0.00506</v>
      </c>
      <c r="M102" s="21">
        <f>G102*L102</f>
        <v>0.5050386</v>
      </c>
      <c r="N102" s="35" t="s">
        <v>452</v>
      </c>
      <c r="O102" s="39"/>
      <c r="Z102" s="41">
        <f>IF(AQ102="5",BJ102,0)</f>
        <v>0</v>
      </c>
      <c r="AB102" s="41">
        <f>IF(AQ102="1",BH102,0)</f>
        <v>0</v>
      </c>
      <c r="AC102" s="41">
        <f>IF(AQ102="1",BI102,0)</f>
        <v>0</v>
      </c>
      <c r="AD102" s="41">
        <f>IF(AQ102="7",BH102,0)</f>
        <v>0</v>
      </c>
      <c r="AE102" s="41">
        <f>IF(AQ102="7",BI102,0)</f>
        <v>0</v>
      </c>
      <c r="AF102" s="41">
        <f>IF(AQ102="2",BH102,0)</f>
        <v>0</v>
      </c>
      <c r="AG102" s="41">
        <f>IF(AQ102="2",BI102,0)</f>
        <v>0</v>
      </c>
      <c r="AH102" s="41">
        <f>IF(AQ102="0",BJ102,0)</f>
        <v>0</v>
      </c>
      <c r="AI102" s="31"/>
      <c r="AJ102" s="21">
        <f>IF(AN102=0,K102,0)</f>
        <v>0</v>
      </c>
      <c r="AK102" s="21">
        <f>IF(AN102=15,K102,0)</f>
        <v>0</v>
      </c>
      <c r="AL102" s="21">
        <f>IF(AN102=21,K102,0)</f>
        <v>0</v>
      </c>
      <c r="AN102" s="41">
        <v>21</v>
      </c>
      <c r="AO102" s="41">
        <f>H102*0.892430364562828</f>
        <v>0</v>
      </c>
      <c r="AP102" s="41">
        <f>H102*(1-0.892430364562828)</f>
        <v>0</v>
      </c>
      <c r="AQ102" s="42" t="s">
        <v>13</v>
      </c>
      <c r="AV102" s="41">
        <f>AW102+AX102</f>
        <v>0</v>
      </c>
      <c r="AW102" s="41">
        <f>G102*AO102</f>
        <v>0</v>
      </c>
      <c r="AX102" s="41">
        <f>G102*AP102</f>
        <v>0</v>
      </c>
      <c r="AY102" s="44" t="s">
        <v>479</v>
      </c>
      <c r="AZ102" s="44" t="s">
        <v>511</v>
      </c>
      <c r="BA102" s="31" t="s">
        <v>520</v>
      </c>
      <c r="BC102" s="41">
        <f>AW102+AX102</f>
        <v>0</v>
      </c>
      <c r="BD102" s="41">
        <f>H102/(100-BE102)*100</f>
        <v>0</v>
      </c>
      <c r="BE102" s="41">
        <v>0</v>
      </c>
      <c r="BF102" s="41">
        <f>M102</f>
        <v>0.5050386</v>
      </c>
      <c r="BH102" s="21">
        <f>G102*AO102</f>
        <v>0</v>
      </c>
      <c r="BI102" s="21">
        <f>G102*AP102</f>
        <v>0</v>
      </c>
      <c r="BJ102" s="21">
        <f>G102*H102</f>
        <v>0</v>
      </c>
      <c r="BK102" s="21" t="s">
        <v>525</v>
      </c>
      <c r="BL102" s="41">
        <v>711</v>
      </c>
    </row>
    <row r="103" spans="1:47" ht="12.75">
      <c r="A103" s="5"/>
      <c r="B103" s="14"/>
      <c r="C103" s="14" t="s">
        <v>163</v>
      </c>
      <c r="D103" s="127" t="s">
        <v>318</v>
      </c>
      <c r="E103" s="128"/>
      <c r="F103" s="19" t="s">
        <v>6</v>
      </c>
      <c r="G103" s="19" t="s">
        <v>6</v>
      </c>
      <c r="H103" s="19" t="s">
        <v>6</v>
      </c>
      <c r="I103" s="47">
        <f>SUM(I104:I104)</f>
        <v>0</v>
      </c>
      <c r="J103" s="47">
        <f>SUM(J104:J104)</f>
        <v>0</v>
      </c>
      <c r="K103" s="47">
        <f>SUM(K104:K104)</f>
        <v>0</v>
      </c>
      <c r="L103" s="31"/>
      <c r="M103" s="47">
        <f>SUM(M104:M104)</f>
        <v>0.00076</v>
      </c>
      <c r="N103" s="36"/>
      <c r="O103" s="39"/>
      <c r="AI103" s="31"/>
      <c r="AS103" s="47">
        <f>SUM(AJ104:AJ104)</f>
        <v>0</v>
      </c>
      <c r="AT103" s="47">
        <f>SUM(AK104:AK104)</f>
        <v>0</v>
      </c>
      <c r="AU103" s="47">
        <f>SUM(AL104:AL104)</f>
        <v>0</v>
      </c>
    </row>
    <row r="104" spans="1:64" ht="12.75">
      <c r="A104" s="4" t="s">
        <v>44</v>
      </c>
      <c r="B104" s="13"/>
      <c r="C104" s="13" t="s">
        <v>610</v>
      </c>
      <c r="D104" s="125" t="s">
        <v>608</v>
      </c>
      <c r="E104" s="126"/>
      <c r="F104" s="13" t="s">
        <v>594</v>
      </c>
      <c r="G104" s="21">
        <v>1</v>
      </c>
      <c r="H104" s="21">
        <v>0</v>
      </c>
      <c r="I104" s="21">
        <f>G104*AO104</f>
        <v>0</v>
      </c>
      <c r="J104" s="21">
        <f>G104*AP104</f>
        <v>0</v>
      </c>
      <c r="K104" s="21">
        <f>G104*H104</f>
        <v>0</v>
      </c>
      <c r="L104" s="21">
        <v>0.00076</v>
      </c>
      <c r="M104" s="21">
        <f>G104*L104</f>
        <v>0.00076</v>
      </c>
      <c r="N104" s="35" t="s">
        <v>593</v>
      </c>
      <c r="O104" s="39"/>
      <c r="Z104" s="41">
        <f>IF(AQ104="5",BJ104,0)</f>
        <v>0</v>
      </c>
      <c r="AB104" s="41">
        <f>IF(AQ104="1",BH104,0)</f>
        <v>0</v>
      </c>
      <c r="AC104" s="41">
        <f>IF(AQ104="1",BI104,0)</f>
        <v>0</v>
      </c>
      <c r="AD104" s="41">
        <f>IF(AQ104="7",BH104,0)</f>
        <v>0</v>
      </c>
      <c r="AE104" s="41">
        <f>IF(AQ104="7",BI104,0)</f>
        <v>0</v>
      </c>
      <c r="AF104" s="41">
        <f>IF(AQ104="2",BH104,0)</f>
        <v>0</v>
      </c>
      <c r="AG104" s="41">
        <f>IF(AQ104="2",BI104,0)</f>
        <v>0</v>
      </c>
      <c r="AH104" s="41">
        <f>IF(AQ104="0",BJ104,0)</f>
        <v>0</v>
      </c>
      <c r="AI104" s="31"/>
      <c r="AJ104" s="21">
        <f>IF(AN104=0,K104,0)</f>
        <v>0</v>
      </c>
      <c r="AK104" s="21">
        <f>IF(AN104=15,K104,0)</f>
        <v>0</v>
      </c>
      <c r="AL104" s="21">
        <f>IF(AN104=21,K104,0)</f>
        <v>0</v>
      </c>
      <c r="AN104" s="41">
        <v>21</v>
      </c>
      <c r="AO104" s="41">
        <f>H104*0.315193591455274</f>
        <v>0</v>
      </c>
      <c r="AP104" s="41">
        <f>H104*(1-0.315193591455274)</f>
        <v>0</v>
      </c>
      <c r="AQ104" s="42" t="s">
        <v>13</v>
      </c>
      <c r="AV104" s="41">
        <f>AW104+AX104</f>
        <v>0</v>
      </c>
      <c r="AW104" s="41">
        <f>G104*AO104</f>
        <v>0</v>
      </c>
      <c r="AX104" s="41">
        <f>G104*AP104</f>
        <v>0</v>
      </c>
      <c r="AY104" s="44" t="s">
        <v>480</v>
      </c>
      <c r="AZ104" s="44" t="s">
        <v>511</v>
      </c>
      <c r="BA104" s="31" t="s">
        <v>520</v>
      </c>
      <c r="BC104" s="41">
        <f>AW104+AX104</f>
        <v>0</v>
      </c>
      <c r="BD104" s="41">
        <f>H104/(100-BE104)*100</f>
        <v>0</v>
      </c>
      <c r="BE104" s="41">
        <v>0</v>
      </c>
      <c r="BF104" s="41">
        <f>M104</f>
        <v>0.00076</v>
      </c>
      <c r="BH104" s="21">
        <f>G104*AO104</f>
        <v>0</v>
      </c>
      <c r="BI104" s="21">
        <f>G104*AP104</f>
        <v>0</v>
      </c>
      <c r="BJ104" s="21">
        <f>G104*H104</f>
        <v>0</v>
      </c>
      <c r="BK104" s="21" t="s">
        <v>525</v>
      </c>
      <c r="BL104" s="41">
        <v>713</v>
      </c>
    </row>
    <row r="105" spans="1:64" ht="12.75">
      <c r="A105" s="117"/>
      <c r="B105" s="114"/>
      <c r="C105" s="114"/>
      <c r="D105" s="114"/>
      <c r="E105" s="111" t="s">
        <v>694</v>
      </c>
      <c r="F105" s="114"/>
      <c r="G105" s="118"/>
      <c r="H105" s="118"/>
      <c r="I105" s="118"/>
      <c r="J105" s="118"/>
      <c r="K105" s="118"/>
      <c r="L105" s="118"/>
      <c r="M105" s="118"/>
      <c r="N105" s="119"/>
      <c r="O105" s="39"/>
      <c r="Z105" s="41"/>
      <c r="AB105" s="41"/>
      <c r="AC105" s="41"/>
      <c r="AD105" s="41"/>
      <c r="AE105" s="41"/>
      <c r="AF105" s="41"/>
      <c r="AG105" s="41"/>
      <c r="AH105" s="41"/>
      <c r="AI105" s="31"/>
      <c r="AJ105" s="21"/>
      <c r="AK105" s="21"/>
      <c r="AL105" s="21"/>
      <c r="AN105" s="41"/>
      <c r="AO105" s="41"/>
      <c r="AP105" s="41"/>
      <c r="AQ105" s="42"/>
      <c r="AV105" s="41"/>
      <c r="AW105" s="41"/>
      <c r="AX105" s="41"/>
      <c r="AY105" s="44"/>
      <c r="AZ105" s="44"/>
      <c r="BA105" s="31"/>
      <c r="BC105" s="41"/>
      <c r="BD105" s="41"/>
      <c r="BE105" s="41"/>
      <c r="BF105" s="41"/>
      <c r="BH105" s="21"/>
      <c r="BI105" s="21"/>
      <c r="BJ105" s="21"/>
      <c r="BK105" s="21"/>
      <c r="BL105" s="41"/>
    </row>
    <row r="106" spans="1:47" ht="12.75">
      <c r="A106" s="5"/>
      <c r="B106" s="14"/>
      <c r="C106" s="14" t="s">
        <v>165</v>
      </c>
      <c r="D106" s="127" t="s">
        <v>320</v>
      </c>
      <c r="E106" s="128"/>
      <c r="F106" s="19" t="s">
        <v>6</v>
      </c>
      <c r="G106" s="19" t="s">
        <v>6</v>
      </c>
      <c r="H106" s="19" t="s">
        <v>6</v>
      </c>
      <c r="I106" s="47">
        <f>SUM(I107:I107)</f>
        <v>0</v>
      </c>
      <c r="J106" s="47">
        <f>SUM(J107:J107)</f>
        <v>0</v>
      </c>
      <c r="K106" s="47">
        <f>SUM(K107:K107)</f>
        <v>0</v>
      </c>
      <c r="L106" s="31"/>
      <c r="M106" s="47">
        <f>SUM(M107:M107)</f>
        <v>0.61304</v>
      </c>
      <c r="N106" s="36"/>
      <c r="O106" s="39"/>
      <c r="AI106" s="31"/>
      <c r="AS106" s="47">
        <f>SUM(AJ107:AJ107)</f>
        <v>0</v>
      </c>
      <c r="AT106" s="47">
        <f>SUM(AK107:AK107)</f>
        <v>0</v>
      </c>
      <c r="AU106" s="47">
        <f>SUM(AL107:AL107)</f>
        <v>0</v>
      </c>
    </row>
    <row r="107" spans="1:64" ht="12.75">
      <c r="A107" s="4" t="s">
        <v>45</v>
      </c>
      <c r="B107" s="13"/>
      <c r="C107" s="13" t="s">
        <v>609</v>
      </c>
      <c r="D107" s="125" t="s">
        <v>611</v>
      </c>
      <c r="E107" s="126"/>
      <c r="F107" s="13" t="s">
        <v>429</v>
      </c>
      <c r="G107" s="21">
        <v>8</v>
      </c>
      <c r="H107" s="21">
        <v>0</v>
      </c>
      <c r="I107" s="21">
        <f>G107*AO107</f>
        <v>0</v>
      </c>
      <c r="J107" s="21">
        <f>G107*AP107</f>
        <v>0</v>
      </c>
      <c r="K107" s="21">
        <f>G107*H107</f>
        <v>0</v>
      </c>
      <c r="L107" s="21">
        <v>0.07663</v>
      </c>
      <c r="M107" s="21">
        <f>G107*L107</f>
        <v>0.61304</v>
      </c>
      <c r="N107" s="35" t="s">
        <v>593</v>
      </c>
      <c r="O107" s="39"/>
      <c r="Z107" s="41">
        <f>IF(AQ107="5",BJ107,0)</f>
        <v>0</v>
      </c>
      <c r="AB107" s="41">
        <f>IF(AQ107="1",BH107,0)</f>
        <v>0</v>
      </c>
      <c r="AC107" s="41">
        <f>IF(AQ107="1",BI107,0)</f>
        <v>0</v>
      </c>
      <c r="AD107" s="41">
        <f>IF(AQ107="7",BH107,0)</f>
        <v>0</v>
      </c>
      <c r="AE107" s="41">
        <f>IF(AQ107="7",BI107,0)</f>
        <v>0</v>
      </c>
      <c r="AF107" s="41">
        <f>IF(AQ107="2",BH107,0)</f>
        <v>0</v>
      </c>
      <c r="AG107" s="41">
        <f>IF(AQ107="2",BI107,0)</f>
        <v>0</v>
      </c>
      <c r="AH107" s="41">
        <f>IF(AQ107="0",BJ107,0)</f>
        <v>0</v>
      </c>
      <c r="AI107" s="31"/>
      <c r="AJ107" s="21">
        <f>IF(AN107=0,K107,0)</f>
        <v>0</v>
      </c>
      <c r="AK107" s="21">
        <f>IF(AN107=15,K107,0)</f>
        <v>0</v>
      </c>
      <c r="AL107" s="21">
        <f>IF(AN107=21,K107,0)</f>
        <v>0</v>
      </c>
      <c r="AN107" s="41">
        <v>21</v>
      </c>
      <c r="AO107" s="41">
        <f>H107*0.918957938771507</f>
        <v>0</v>
      </c>
      <c r="AP107" s="41">
        <f>H107*(1-0.918957938771507)</f>
        <v>0</v>
      </c>
      <c r="AQ107" s="42" t="s">
        <v>13</v>
      </c>
      <c r="AV107" s="41">
        <f>AW107+AX107</f>
        <v>0</v>
      </c>
      <c r="AW107" s="41">
        <f>G107*AO107</f>
        <v>0</v>
      </c>
      <c r="AX107" s="41">
        <f>G107*AP107</f>
        <v>0</v>
      </c>
      <c r="AY107" s="44" t="s">
        <v>481</v>
      </c>
      <c r="AZ107" s="44" t="s">
        <v>512</v>
      </c>
      <c r="BA107" s="31" t="s">
        <v>520</v>
      </c>
      <c r="BC107" s="41">
        <f>AW107+AX107</f>
        <v>0</v>
      </c>
      <c r="BD107" s="41">
        <f>H107/(100-BE107)*100</f>
        <v>0</v>
      </c>
      <c r="BE107" s="41">
        <v>0</v>
      </c>
      <c r="BF107" s="41">
        <f>M107</f>
        <v>0.61304</v>
      </c>
      <c r="BH107" s="21">
        <f>G107*AO107</f>
        <v>0</v>
      </c>
      <c r="BI107" s="21">
        <f>G107*AP107</f>
        <v>0</v>
      </c>
      <c r="BJ107" s="21">
        <f>G107*H107</f>
        <v>0</v>
      </c>
      <c r="BK107" s="21" t="s">
        <v>525</v>
      </c>
      <c r="BL107" s="41">
        <v>721</v>
      </c>
    </row>
    <row r="108" spans="1:47" ht="12.75">
      <c r="A108" s="5"/>
      <c r="B108" s="14"/>
      <c r="C108" s="14" t="s">
        <v>167</v>
      </c>
      <c r="D108" s="127" t="s">
        <v>322</v>
      </c>
      <c r="E108" s="128"/>
      <c r="F108" s="19" t="s">
        <v>6</v>
      </c>
      <c r="G108" s="19" t="s">
        <v>6</v>
      </c>
      <c r="H108" s="19" t="s">
        <v>6</v>
      </c>
      <c r="I108" s="47">
        <f>SUM(I109:I113)</f>
        <v>0</v>
      </c>
      <c r="J108" s="47">
        <f>SUM(J109:J113)</f>
        <v>0</v>
      </c>
      <c r="K108" s="47">
        <f>SUM(K109:K113)</f>
        <v>0</v>
      </c>
      <c r="L108" s="31"/>
      <c r="M108" s="47">
        <f>SUM(M109:M113)</f>
        <v>6.3708186</v>
      </c>
      <c r="N108" s="36"/>
      <c r="O108" s="39"/>
      <c r="AI108" s="31"/>
      <c r="AS108" s="47">
        <f>SUM(AJ109:AJ113)</f>
        <v>0</v>
      </c>
      <c r="AT108" s="47">
        <f>SUM(AK109:AK113)</f>
        <v>0</v>
      </c>
      <c r="AU108" s="47">
        <f>SUM(AL109:AL113)</f>
        <v>0</v>
      </c>
    </row>
    <row r="109" spans="1:64" ht="12.75">
      <c r="A109" s="4" t="s">
        <v>46</v>
      </c>
      <c r="B109" s="13"/>
      <c r="C109" s="13" t="s">
        <v>168</v>
      </c>
      <c r="D109" s="125" t="s">
        <v>323</v>
      </c>
      <c r="E109" s="126"/>
      <c r="F109" s="13" t="s">
        <v>426</v>
      </c>
      <c r="G109" s="21">
        <v>961.44</v>
      </c>
      <c r="H109" s="21">
        <v>0</v>
      </c>
      <c r="I109" s="21">
        <f>G109*AO109</f>
        <v>0</v>
      </c>
      <c r="J109" s="21">
        <f>G109*AP109</f>
        <v>0</v>
      </c>
      <c r="K109" s="21">
        <f>G109*H109</f>
        <v>0</v>
      </c>
      <c r="L109" s="21">
        <v>0.00413</v>
      </c>
      <c r="M109" s="21">
        <f>G109*L109</f>
        <v>3.9707472000000004</v>
      </c>
      <c r="N109" s="35" t="s">
        <v>452</v>
      </c>
      <c r="O109" s="39"/>
      <c r="Z109" s="41">
        <f>IF(AQ109="5",BJ109,0)</f>
        <v>0</v>
      </c>
      <c r="AB109" s="41">
        <f>IF(AQ109="1",BH109,0)</f>
        <v>0</v>
      </c>
      <c r="AC109" s="41">
        <f>IF(AQ109="1",BI109,0)</f>
        <v>0</v>
      </c>
      <c r="AD109" s="41">
        <f>IF(AQ109="7",BH109,0)</f>
        <v>0</v>
      </c>
      <c r="AE109" s="41">
        <f>IF(AQ109="7",BI109,0)</f>
        <v>0</v>
      </c>
      <c r="AF109" s="41">
        <f>IF(AQ109="2",BH109,0)</f>
        <v>0</v>
      </c>
      <c r="AG109" s="41">
        <f>IF(AQ109="2",BI109,0)</f>
        <v>0</v>
      </c>
      <c r="AH109" s="41">
        <f>IF(AQ109="0",BJ109,0)</f>
        <v>0</v>
      </c>
      <c r="AI109" s="31"/>
      <c r="AJ109" s="21">
        <f>IF(AN109=0,K109,0)</f>
        <v>0</v>
      </c>
      <c r="AK109" s="21">
        <f>IF(AN109=15,K109,0)</f>
        <v>0</v>
      </c>
      <c r="AL109" s="21">
        <f>IF(AN109=21,K109,0)</f>
        <v>0</v>
      </c>
      <c r="AN109" s="41">
        <v>21</v>
      </c>
      <c r="AO109" s="41">
        <f>H109*0.320542168674699</f>
        <v>0</v>
      </c>
      <c r="AP109" s="41">
        <f>H109*(1-0.320542168674699)</f>
        <v>0</v>
      </c>
      <c r="AQ109" s="42" t="s">
        <v>13</v>
      </c>
      <c r="AV109" s="41">
        <f>AW109+AX109</f>
        <v>0</v>
      </c>
      <c r="AW109" s="41">
        <f>G109*AO109</f>
        <v>0</v>
      </c>
      <c r="AX109" s="41">
        <f>G109*AP109</f>
        <v>0</v>
      </c>
      <c r="AY109" s="44" t="s">
        <v>482</v>
      </c>
      <c r="AZ109" s="44" t="s">
        <v>513</v>
      </c>
      <c r="BA109" s="31" t="s">
        <v>520</v>
      </c>
      <c r="BC109" s="41">
        <f>AW109+AX109</f>
        <v>0</v>
      </c>
      <c r="BD109" s="41">
        <f>H109/(100-BE109)*100</f>
        <v>0</v>
      </c>
      <c r="BE109" s="41">
        <v>0</v>
      </c>
      <c r="BF109" s="41">
        <f>M109</f>
        <v>3.9707472000000004</v>
      </c>
      <c r="BH109" s="21">
        <f>G109*AO109</f>
        <v>0</v>
      </c>
      <c r="BI109" s="21">
        <f>G109*AP109</f>
        <v>0</v>
      </c>
      <c r="BJ109" s="21">
        <f>G109*H109</f>
        <v>0</v>
      </c>
      <c r="BK109" s="21" t="s">
        <v>525</v>
      </c>
      <c r="BL109" s="41">
        <v>762</v>
      </c>
    </row>
    <row r="110" spans="1:64" ht="12.75">
      <c r="A110" s="4" t="s">
        <v>47</v>
      </c>
      <c r="B110" s="13"/>
      <c r="C110" s="13" t="s">
        <v>169</v>
      </c>
      <c r="D110" s="125" t="s">
        <v>324</v>
      </c>
      <c r="E110" s="126"/>
      <c r="F110" s="13" t="s">
        <v>426</v>
      </c>
      <c r="G110" s="21">
        <v>961.44</v>
      </c>
      <c r="H110" s="21">
        <v>0</v>
      </c>
      <c r="I110" s="21">
        <f>G110*AO110</f>
        <v>0</v>
      </c>
      <c r="J110" s="21">
        <f>G110*AP110</f>
        <v>0</v>
      </c>
      <c r="K110" s="21">
        <f>G110*H110</f>
        <v>0</v>
      </c>
      <c r="L110" s="21">
        <v>0</v>
      </c>
      <c r="M110" s="21">
        <f>G110*L110</f>
        <v>0</v>
      </c>
      <c r="N110" s="35" t="s">
        <v>452</v>
      </c>
      <c r="O110" s="39"/>
      <c r="Z110" s="41">
        <f>IF(AQ110="5",BJ110,0)</f>
        <v>0</v>
      </c>
      <c r="AB110" s="41">
        <f>IF(AQ110="1",BH110,0)</f>
        <v>0</v>
      </c>
      <c r="AC110" s="41">
        <f>IF(AQ110="1",BI110,0)</f>
        <v>0</v>
      </c>
      <c r="AD110" s="41">
        <f>IF(AQ110="7",BH110,0)</f>
        <v>0</v>
      </c>
      <c r="AE110" s="41">
        <f>IF(AQ110="7",BI110,0)</f>
        <v>0</v>
      </c>
      <c r="AF110" s="41">
        <f>IF(AQ110="2",BH110,0)</f>
        <v>0</v>
      </c>
      <c r="AG110" s="41">
        <f>IF(AQ110="2",BI110,0)</f>
        <v>0</v>
      </c>
      <c r="AH110" s="41">
        <f>IF(AQ110="0",BJ110,0)</f>
        <v>0</v>
      </c>
      <c r="AI110" s="31"/>
      <c r="AJ110" s="21">
        <f>IF(AN110=0,K110,0)</f>
        <v>0</v>
      </c>
      <c r="AK110" s="21">
        <f>IF(AN110=15,K110,0)</f>
        <v>0</v>
      </c>
      <c r="AL110" s="21">
        <f>IF(AN110=21,K110,0)</f>
        <v>0</v>
      </c>
      <c r="AN110" s="41">
        <v>21</v>
      </c>
      <c r="AO110" s="41">
        <f>H110*0</f>
        <v>0</v>
      </c>
      <c r="AP110" s="41">
        <f>H110*(1-0)</f>
        <v>0</v>
      </c>
      <c r="AQ110" s="42" t="s">
        <v>13</v>
      </c>
      <c r="AV110" s="41">
        <f>AW110+AX110</f>
        <v>0</v>
      </c>
      <c r="AW110" s="41">
        <f>G110*AO110</f>
        <v>0</v>
      </c>
      <c r="AX110" s="41">
        <f>G110*AP110</f>
        <v>0</v>
      </c>
      <c r="AY110" s="44" t="s">
        <v>482</v>
      </c>
      <c r="AZ110" s="44" t="s">
        <v>513</v>
      </c>
      <c r="BA110" s="31" t="s">
        <v>520</v>
      </c>
      <c r="BC110" s="41">
        <f>AW110+AX110</f>
        <v>0</v>
      </c>
      <c r="BD110" s="41">
        <f>H110/(100-BE110)*100</f>
        <v>0</v>
      </c>
      <c r="BE110" s="41">
        <v>0</v>
      </c>
      <c r="BF110" s="41">
        <f>M110</f>
        <v>0</v>
      </c>
      <c r="BH110" s="21">
        <f>G110*AO110</f>
        <v>0</v>
      </c>
      <c r="BI110" s="21">
        <f>G110*AP110</f>
        <v>0</v>
      </c>
      <c r="BJ110" s="21">
        <f>G110*H110</f>
        <v>0</v>
      </c>
      <c r="BK110" s="21" t="s">
        <v>525</v>
      </c>
      <c r="BL110" s="41">
        <v>762</v>
      </c>
    </row>
    <row r="111" spans="1:64" ht="12.75">
      <c r="A111" s="4" t="s">
        <v>48</v>
      </c>
      <c r="B111" s="13"/>
      <c r="C111" s="13" t="s">
        <v>170</v>
      </c>
      <c r="D111" s="125" t="s">
        <v>325</v>
      </c>
      <c r="E111" s="126"/>
      <c r="F111" s="13" t="s">
        <v>425</v>
      </c>
      <c r="G111" s="21">
        <v>12.58</v>
      </c>
      <c r="H111" s="21">
        <v>0</v>
      </c>
      <c r="I111" s="21">
        <f>G111*AO111</f>
        <v>0</v>
      </c>
      <c r="J111" s="21">
        <f>G111*AP111</f>
        <v>0</v>
      </c>
      <c r="K111" s="21">
        <f>G111*H111</f>
        <v>0</v>
      </c>
      <c r="L111" s="21">
        <v>0.02357</v>
      </c>
      <c r="M111" s="21">
        <f>G111*L111</f>
        <v>0.2965106</v>
      </c>
      <c r="N111" s="35" t="s">
        <v>452</v>
      </c>
      <c r="O111" s="39"/>
      <c r="Z111" s="41">
        <f>IF(AQ111="5",BJ111,0)</f>
        <v>0</v>
      </c>
      <c r="AB111" s="41">
        <f>IF(AQ111="1",BH111,0)</f>
        <v>0</v>
      </c>
      <c r="AC111" s="41">
        <f>IF(AQ111="1",BI111,0)</f>
        <v>0</v>
      </c>
      <c r="AD111" s="41">
        <f>IF(AQ111="7",BH111,0)</f>
        <v>0</v>
      </c>
      <c r="AE111" s="41">
        <f>IF(AQ111="7",BI111,0)</f>
        <v>0</v>
      </c>
      <c r="AF111" s="41">
        <f>IF(AQ111="2",BH111,0)</f>
        <v>0</v>
      </c>
      <c r="AG111" s="41">
        <f>IF(AQ111="2",BI111,0)</f>
        <v>0</v>
      </c>
      <c r="AH111" s="41">
        <f>IF(AQ111="0",BJ111,0)</f>
        <v>0</v>
      </c>
      <c r="AI111" s="31"/>
      <c r="AJ111" s="21">
        <f>IF(AN111=0,K111,0)</f>
        <v>0</v>
      </c>
      <c r="AK111" s="21">
        <f>IF(AN111=15,K111,0)</f>
        <v>0</v>
      </c>
      <c r="AL111" s="21">
        <f>IF(AN111=21,K111,0)</f>
        <v>0</v>
      </c>
      <c r="AN111" s="41">
        <v>21</v>
      </c>
      <c r="AO111" s="41">
        <f>H111*1</f>
        <v>0</v>
      </c>
      <c r="AP111" s="41">
        <f>H111*(1-1)</f>
        <v>0</v>
      </c>
      <c r="AQ111" s="42" t="s">
        <v>13</v>
      </c>
      <c r="AV111" s="41">
        <f>AW111+AX111</f>
        <v>0</v>
      </c>
      <c r="AW111" s="41">
        <f>G111*AO111</f>
        <v>0</v>
      </c>
      <c r="AX111" s="41">
        <f>G111*AP111</f>
        <v>0</v>
      </c>
      <c r="AY111" s="44" t="s">
        <v>482</v>
      </c>
      <c r="AZ111" s="44" t="s">
        <v>513</v>
      </c>
      <c r="BA111" s="31" t="s">
        <v>520</v>
      </c>
      <c r="BC111" s="41">
        <f>AW111+AX111</f>
        <v>0</v>
      </c>
      <c r="BD111" s="41">
        <f>H111/(100-BE111)*100</f>
        <v>0</v>
      </c>
      <c r="BE111" s="41">
        <v>0</v>
      </c>
      <c r="BF111" s="41">
        <f>M111</f>
        <v>0.2965106</v>
      </c>
      <c r="BH111" s="21">
        <f>G111*AO111</f>
        <v>0</v>
      </c>
      <c r="BI111" s="21">
        <f>G111*AP111</f>
        <v>0</v>
      </c>
      <c r="BJ111" s="21">
        <f>G111*H111</f>
        <v>0</v>
      </c>
      <c r="BK111" s="21" t="s">
        <v>525</v>
      </c>
      <c r="BL111" s="41">
        <v>762</v>
      </c>
    </row>
    <row r="112" spans="1:64" ht="12.75">
      <c r="A112" s="4" t="s">
        <v>49</v>
      </c>
      <c r="B112" s="13"/>
      <c r="C112" s="13" t="s">
        <v>171</v>
      </c>
      <c r="D112" s="125" t="s">
        <v>326</v>
      </c>
      <c r="E112" s="126"/>
      <c r="F112" s="13" t="s">
        <v>428</v>
      </c>
      <c r="G112" s="21">
        <v>154.22</v>
      </c>
      <c r="H112" s="21">
        <v>0</v>
      </c>
      <c r="I112" s="21">
        <f>G112*AO112</f>
        <v>0</v>
      </c>
      <c r="J112" s="21">
        <f>G112*AP112</f>
        <v>0</v>
      </c>
      <c r="K112" s="21">
        <f>G112*H112</f>
        <v>0</v>
      </c>
      <c r="L112" s="21">
        <v>0.01364</v>
      </c>
      <c r="M112" s="21">
        <f>G112*L112</f>
        <v>2.1035608</v>
      </c>
      <c r="N112" s="35" t="s">
        <v>452</v>
      </c>
      <c r="O112" s="39"/>
      <c r="Z112" s="41">
        <f>IF(AQ112="5",BJ112,0)</f>
        <v>0</v>
      </c>
      <c r="AB112" s="41">
        <f>IF(AQ112="1",BH112,0)</f>
        <v>0</v>
      </c>
      <c r="AC112" s="41">
        <f>IF(AQ112="1",BI112,0)</f>
        <v>0</v>
      </c>
      <c r="AD112" s="41">
        <f>IF(AQ112="7",BH112,0)</f>
        <v>0</v>
      </c>
      <c r="AE112" s="41">
        <f>IF(AQ112="7",BI112,0)</f>
        <v>0</v>
      </c>
      <c r="AF112" s="41">
        <f>IF(AQ112="2",BH112,0)</f>
        <v>0</v>
      </c>
      <c r="AG112" s="41">
        <f>IF(AQ112="2",BI112,0)</f>
        <v>0</v>
      </c>
      <c r="AH112" s="41">
        <f>IF(AQ112="0",BJ112,0)</f>
        <v>0</v>
      </c>
      <c r="AI112" s="31"/>
      <c r="AJ112" s="21">
        <f>IF(AN112=0,K112,0)</f>
        <v>0</v>
      </c>
      <c r="AK112" s="21">
        <f>IF(AN112=15,K112,0)</f>
        <v>0</v>
      </c>
      <c r="AL112" s="21">
        <f>IF(AN112=21,K112,0)</f>
        <v>0</v>
      </c>
      <c r="AN112" s="41">
        <v>21</v>
      </c>
      <c r="AO112" s="41">
        <f>H112*0.467149028077754</f>
        <v>0</v>
      </c>
      <c r="AP112" s="41">
        <f>H112*(1-0.467149028077754)</f>
        <v>0</v>
      </c>
      <c r="AQ112" s="42" t="s">
        <v>13</v>
      </c>
      <c r="AV112" s="41">
        <f>AW112+AX112</f>
        <v>0</v>
      </c>
      <c r="AW112" s="41">
        <f>G112*AO112</f>
        <v>0</v>
      </c>
      <c r="AX112" s="41">
        <f>G112*AP112</f>
        <v>0</v>
      </c>
      <c r="AY112" s="44" t="s">
        <v>482</v>
      </c>
      <c r="AZ112" s="44" t="s">
        <v>513</v>
      </c>
      <c r="BA112" s="31" t="s">
        <v>520</v>
      </c>
      <c r="BC112" s="41">
        <f>AW112+AX112</f>
        <v>0</v>
      </c>
      <c r="BD112" s="41">
        <f>H112/(100-BE112)*100</f>
        <v>0</v>
      </c>
      <c r="BE112" s="41">
        <v>0</v>
      </c>
      <c r="BF112" s="41">
        <f>M112</f>
        <v>2.1035608</v>
      </c>
      <c r="BH112" s="21">
        <f>G112*AO112</f>
        <v>0</v>
      </c>
      <c r="BI112" s="21">
        <f>G112*AP112</f>
        <v>0</v>
      </c>
      <c r="BJ112" s="21">
        <f>G112*H112</f>
        <v>0</v>
      </c>
      <c r="BK112" s="21" t="s">
        <v>525</v>
      </c>
      <c r="BL112" s="41">
        <v>762</v>
      </c>
    </row>
    <row r="113" spans="1:64" ht="12.75">
      <c r="A113" s="198" t="s">
        <v>50</v>
      </c>
      <c r="B113" s="199"/>
      <c r="C113" s="199" t="s">
        <v>612</v>
      </c>
      <c r="D113" s="200" t="s">
        <v>613</v>
      </c>
      <c r="E113" s="201"/>
      <c r="F113" s="199" t="s">
        <v>594</v>
      </c>
      <c r="G113" s="197">
        <v>0</v>
      </c>
      <c r="H113" s="197">
        <v>0</v>
      </c>
      <c r="I113" s="197">
        <f>G113*AO113</f>
        <v>0</v>
      </c>
      <c r="J113" s="197">
        <f>G113*AP113</f>
        <v>0</v>
      </c>
      <c r="K113" s="197">
        <f>G113*H113</f>
        <v>0</v>
      </c>
      <c r="L113" s="197">
        <v>0</v>
      </c>
      <c r="M113" s="197">
        <f>G113*L113</f>
        <v>0</v>
      </c>
      <c r="N113" s="202" t="s">
        <v>593</v>
      </c>
      <c r="O113" s="39"/>
      <c r="Z113" s="41">
        <f>IF(AQ113="5",BJ113,0)</f>
        <v>0</v>
      </c>
      <c r="AB113" s="41">
        <f>IF(AQ113="1",BH113,0)</f>
        <v>0</v>
      </c>
      <c r="AC113" s="41">
        <f>IF(AQ113="1",BI113,0)</f>
        <v>0</v>
      </c>
      <c r="AD113" s="41">
        <f>IF(AQ113="7",BH113,0)</f>
        <v>0</v>
      </c>
      <c r="AE113" s="41">
        <f>IF(AQ113="7",BI113,0)</f>
        <v>0</v>
      </c>
      <c r="AF113" s="41">
        <f>IF(AQ113="2",BH113,0)</f>
        <v>0</v>
      </c>
      <c r="AG113" s="41">
        <f>IF(AQ113="2",BI113,0)</f>
        <v>0</v>
      </c>
      <c r="AH113" s="41">
        <f>IF(AQ113="0",BJ113,0)</f>
        <v>0</v>
      </c>
      <c r="AI113" s="31"/>
      <c r="AJ113" s="21">
        <f>IF(AN113=0,K113,0)</f>
        <v>0</v>
      </c>
      <c r="AK113" s="21">
        <f>IF(AN113=15,K113,0)</f>
        <v>0</v>
      </c>
      <c r="AL113" s="21">
        <f>IF(AN113=21,K113,0)</f>
        <v>0</v>
      </c>
      <c r="AN113" s="41">
        <v>21</v>
      </c>
      <c r="AO113" s="41">
        <f>H113*0</f>
        <v>0</v>
      </c>
      <c r="AP113" s="41">
        <f>H113*(1-0)</f>
        <v>0</v>
      </c>
      <c r="AQ113" s="42" t="s">
        <v>13</v>
      </c>
      <c r="AV113" s="41">
        <f>AW113+AX113</f>
        <v>0</v>
      </c>
      <c r="AW113" s="41">
        <f>G113*AO113</f>
        <v>0</v>
      </c>
      <c r="AX113" s="41">
        <f>G113*AP113</f>
        <v>0</v>
      </c>
      <c r="AY113" s="44" t="s">
        <v>482</v>
      </c>
      <c r="AZ113" s="44" t="s">
        <v>513</v>
      </c>
      <c r="BA113" s="31" t="s">
        <v>520</v>
      </c>
      <c r="BC113" s="41">
        <f>AW113+AX113</f>
        <v>0</v>
      </c>
      <c r="BD113" s="41">
        <f>H113/(100-BE113)*100</f>
        <v>0</v>
      </c>
      <c r="BE113" s="41">
        <v>0</v>
      </c>
      <c r="BF113" s="41">
        <f>M113</f>
        <v>0</v>
      </c>
      <c r="BH113" s="21">
        <f>G113*AO113</f>
        <v>0</v>
      </c>
      <c r="BI113" s="21">
        <f>G113*AP113</f>
        <v>0</v>
      </c>
      <c r="BJ113" s="21">
        <f>G113*H113</f>
        <v>0</v>
      </c>
      <c r="BK113" s="21" t="s">
        <v>525</v>
      </c>
      <c r="BL113" s="41">
        <v>762</v>
      </c>
    </row>
    <row r="114" spans="1:47" ht="12.75">
      <c r="A114" s="5"/>
      <c r="B114" s="14"/>
      <c r="C114" s="14" t="s">
        <v>173</v>
      </c>
      <c r="D114" s="127" t="s">
        <v>328</v>
      </c>
      <c r="E114" s="128"/>
      <c r="F114" s="19" t="s">
        <v>6</v>
      </c>
      <c r="G114" s="19" t="s">
        <v>6</v>
      </c>
      <c r="H114" s="19" t="s">
        <v>6</v>
      </c>
      <c r="I114" s="47">
        <f>SUM(I115:I120)</f>
        <v>0</v>
      </c>
      <c r="J114" s="47">
        <f>SUM(J115:J120)</f>
        <v>0</v>
      </c>
      <c r="K114" s="47">
        <f>SUM(K115:K120)</f>
        <v>0</v>
      </c>
      <c r="L114" s="31"/>
      <c r="M114" s="47">
        <f>SUM(M115:M120)</f>
        <v>7.453788</v>
      </c>
      <c r="N114" s="36"/>
      <c r="O114" s="39"/>
      <c r="AI114" s="31"/>
      <c r="AS114" s="47">
        <f>SUM(AJ115:AJ120)</f>
        <v>0</v>
      </c>
      <c r="AT114" s="47">
        <f>SUM(AK115:AK120)</f>
        <v>0</v>
      </c>
      <c r="AU114" s="47">
        <f>SUM(AL115:AL120)</f>
        <v>0</v>
      </c>
    </row>
    <row r="115" spans="1:64" ht="12.75">
      <c r="A115" s="4" t="s">
        <v>51</v>
      </c>
      <c r="B115" s="13"/>
      <c r="C115" s="13" t="s">
        <v>174</v>
      </c>
      <c r="D115" s="125" t="s">
        <v>329</v>
      </c>
      <c r="E115" s="126"/>
      <c r="F115" s="13" t="s">
        <v>426</v>
      </c>
      <c r="G115" s="21">
        <v>961.44</v>
      </c>
      <c r="H115" s="21">
        <v>0</v>
      </c>
      <c r="I115" s="21">
        <f>G115*AO115</f>
        <v>0</v>
      </c>
      <c r="J115" s="21">
        <f>G115*AP115</f>
        <v>0</v>
      </c>
      <c r="K115" s="21">
        <f>G115*H115</f>
        <v>0</v>
      </c>
      <c r="L115" s="21">
        <v>0.00732</v>
      </c>
      <c r="M115" s="21">
        <f>G115*L115</f>
        <v>7.037740800000001</v>
      </c>
      <c r="N115" s="35" t="s">
        <v>452</v>
      </c>
      <c r="O115" s="39"/>
      <c r="Z115" s="41">
        <f>IF(AQ115="5",BJ115,0)</f>
        <v>0</v>
      </c>
      <c r="AB115" s="41">
        <f>IF(AQ115="1",BH115,0)</f>
        <v>0</v>
      </c>
      <c r="AC115" s="41">
        <f>IF(AQ115="1",BI115,0)</f>
        <v>0</v>
      </c>
      <c r="AD115" s="41">
        <f>IF(AQ115="7",BH115,0)</f>
        <v>0</v>
      </c>
      <c r="AE115" s="41">
        <f>IF(AQ115="7",BI115,0)</f>
        <v>0</v>
      </c>
      <c r="AF115" s="41">
        <f>IF(AQ115="2",BH115,0)</f>
        <v>0</v>
      </c>
      <c r="AG115" s="41">
        <f>IF(AQ115="2",BI115,0)</f>
        <v>0</v>
      </c>
      <c r="AH115" s="41">
        <f>IF(AQ115="0",BJ115,0)</f>
        <v>0</v>
      </c>
      <c r="AI115" s="31"/>
      <c r="AJ115" s="21">
        <f>IF(AN115=0,K115,0)</f>
        <v>0</v>
      </c>
      <c r="AK115" s="21">
        <f>IF(AN115=15,K115,0)</f>
        <v>0</v>
      </c>
      <c r="AL115" s="21">
        <f>IF(AN115=21,K115,0)</f>
        <v>0</v>
      </c>
      <c r="AN115" s="41">
        <v>21</v>
      </c>
      <c r="AO115" s="41">
        <f>H115*0</f>
        <v>0</v>
      </c>
      <c r="AP115" s="41">
        <f>H115*(1-0)</f>
        <v>0</v>
      </c>
      <c r="AQ115" s="42" t="s">
        <v>13</v>
      </c>
      <c r="AV115" s="41">
        <f>AW115+AX115</f>
        <v>0</v>
      </c>
      <c r="AW115" s="41">
        <f>G115*AO115</f>
        <v>0</v>
      </c>
      <c r="AX115" s="41">
        <f>G115*AP115</f>
        <v>0</v>
      </c>
      <c r="AY115" s="44" t="s">
        <v>483</v>
      </c>
      <c r="AZ115" s="44" t="s">
        <v>513</v>
      </c>
      <c r="BA115" s="31" t="s">
        <v>520</v>
      </c>
      <c r="BC115" s="41">
        <f>AW115+AX115</f>
        <v>0</v>
      </c>
      <c r="BD115" s="41">
        <f>H115/(100-BE115)*100</f>
        <v>0</v>
      </c>
      <c r="BE115" s="41">
        <v>0</v>
      </c>
      <c r="BF115" s="41">
        <f>M115</f>
        <v>7.037740800000001</v>
      </c>
      <c r="BH115" s="21">
        <f>G115*AO115</f>
        <v>0</v>
      </c>
      <c r="BI115" s="21">
        <f>G115*AP115</f>
        <v>0</v>
      </c>
      <c r="BJ115" s="21">
        <f>G115*H115</f>
        <v>0</v>
      </c>
      <c r="BK115" s="21" t="s">
        <v>525</v>
      </c>
      <c r="BL115" s="41">
        <v>764</v>
      </c>
    </row>
    <row r="116" spans="1:64" ht="12.75">
      <c r="A116" s="4" t="s">
        <v>52</v>
      </c>
      <c r="B116" s="13"/>
      <c r="C116" s="13" t="s">
        <v>175</v>
      </c>
      <c r="D116" s="125" t="s">
        <v>614</v>
      </c>
      <c r="E116" s="126"/>
      <c r="F116" s="13" t="s">
        <v>428</v>
      </c>
      <c r="G116" s="21">
        <v>42.4</v>
      </c>
      <c r="H116" s="21">
        <v>0</v>
      </c>
      <c r="I116" s="21">
        <f>G116*AO116</f>
        <v>0</v>
      </c>
      <c r="J116" s="21">
        <f>G116*AP116</f>
        <v>0</v>
      </c>
      <c r="K116" s="21">
        <f>G116*H116</f>
        <v>0</v>
      </c>
      <c r="L116" s="21">
        <v>0.00246</v>
      </c>
      <c r="M116" s="21">
        <f>G116*L116</f>
        <v>0.104304</v>
      </c>
      <c r="N116" s="35" t="s">
        <v>452</v>
      </c>
      <c r="O116" s="39"/>
      <c r="Z116" s="41">
        <f>IF(AQ116="5",BJ116,0)</f>
        <v>0</v>
      </c>
      <c r="AB116" s="41">
        <f>IF(AQ116="1",BH116,0)</f>
        <v>0</v>
      </c>
      <c r="AC116" s="41">
        <f>IF(AQ116="1",BI116,0)</f>
        <v>0</v>
      </c>
      <c r="AD116" s="41">
        <f>IF(AQ116="7",BH116,0)</f>
        <v>0</v>
      </c>
      <c r="AE116" s="41">
        <f>IF(AQ116="7",BI116,0)</f>
        <v>0</v>
      </c>
      <c r="AF116" s="41">
        <f>IF(AQ116="2",BH116,0)</f>
        <v>0</v>
      </c>
      <c r="AG116" s="41">
        <f>IF(AQ116="2",BI116,0)</f>
        <v>0</v>
      </c>
      <c r="AH116" s="41">
        <f>IF(AQ116="0",BJ116,0)</f>
        <v>0</v>
      </c>
      <c r="AI116" s="31"/>
      <c r="AJ116" s="21">
        <f>IF(AN116=0,K116,0)</f>
        <v>0</v>
      </c>
      <c r="AK116" s="21">
        <f>IF(AN116=15,K116,0)</f>
        <v>0</v>
      </c>
      <c r="AL116" s="21">
        <f>IF(AN116=21,K116,0)</f>
        <v>0</v>
      </c>
      <c r="AN116" s="41">
        <v>21</v>
      </c>
      <c r="AO116" s="41">
        <f>H116*0.780294715447154</f>
        <v>0</v>
      </c>
      <c r="AP116" s="41">
        <f>H116*(1-0.780294715447154)</f>
        <v>0</v>
      </c>
      <c r="AQ116" s="42" t="s">
        <v>13</v>
      </c>
      <c r="AV116" s="41">
        <f>AW116+AX116</f>
        <v>0</v>
      </c>
      <c r="AW116" s="41">
        <f>G116*AO116</f>
        <v>0</v>
      </c>
      <c r="AX116" s="41">
        <f>G116*AP116</f>
        <v>0</v>
      </c>
      <c r="AY116" s="44" t="s">
        <v>483</v>
      </c>
      <c r="AZ116" s="44" t="s">
        <v>513</v>
      </c>
      <c r="BA116" s="31" t="s">
        <v>520</v>
      </c>
      <c r="BC116" s="41">
        <f>AW116+AX116</f>
        <v>0</v>
      </c>
      <c r="BD116" s="41">
        <f>H116/(100-BE116)*100</f>
        <v>0</v>
      </c>
      <c r="BE116" s="41">
        <v>0</v>
      </c>
      <c r="BF116" s="41">
        <f>M116</f>
        <v>0.104304</v>
      </c>
      <c r="BH116" s="21">
        <f>G116*AO116</f>
        <v>0</v>
      </c>
      <c r="BI116" s="21">
        <f>G116*AP116</f>
        <v>0</v>
      </c>
      <c r="BJ116" s="21">
        <f>G116*H116</f>
        <v>0</v>
      </c>
      <c r="BK116" s="21" t="s">
        <v>525</v>
      </c>
      <c r="BL116" s="41">
        <v>764</v>
      </c>
    </row>
    <row r="117" spans="1:64" ht="12.75">
      <c r="A117" s="117"/>
      <c r="B117" s="114"/>
      <c r="C117" s="114"/>
      <c r="D117" s="114"/>
      <c r="E117" s="111" t="s">
        <v>695</v>
      </c>
      <c r="F117" s="114"/>
      <c r="G117" s="118"/>
      <c r="H117" s="118"/>
      <c r="I117" s="118"/>
      <c r="J117" s="118"/>
      <c r="K117" s="118"/>
      <c r="L117" s="118"/>
      <c r="M117" s="118"/>
      <c r="N117" s="119"/>
      <c r="O117" s="39"/>
      <c r="Z117" s="41"/>
      <c r="AB117" s="41"/>
      <c r="AC117" s="41"/>
      <c r="AD117" s="41"/>
      <c r="AE117" s="41"/>
      <c r="AF117" s="41"/>
      <c r="AG117" s="41"/>
      <c r="AH117" s="41"/>
      <c r="AI117" s="31"/>
      <c r="AJ117" s="21"/>
      <c r="AK117" s="21"/>
      <c r="AL117" s="21"/>
      <c r="AN117" s="41"/>
      <c r="AO117" s="41"/>
      <c r="AP117" s="41"/>
      <c r="AQ117" s="42"/>
      <c r="AV117" s="41"/>
      <c r="AW117" s="41"/>
      <c r="AX117" s="41"/>
      <c r="AY117" s="44"/>
      <c r="AZ117" s="44"/>
      <c r="BA117" s="31"/>
      <c r="BC117" s="41"/>
      <c r="BD117" s="41"/>
      <c r="BE117" s="41"/>
      <c r="BF117" s="41"/>
      <c r="BH117" s="21"/>
      <c r="BI117" s="21"/>
      <c r="BJ117" s="21"/>
      <c r="BK117" s="21"/>
      <c r="BL117" s="41"/>
    </row>
    <row r="118" spans="1:64" ht="12.75">
      <c r="A118" s="4" t="s">
        <v>53</v>
      </c>
      <c r="B118" s="13"/>
      <c r="C118" s="13" t="s">
        <v>176</v>
      </c>
      <c r="D118" s="125" t="s">
        <v>615</v>
      </c>
      <c r="E118" s="126"/>
      <c r="F118" s="13" t="s">
        <v>428</v>
      </c>
      <c r="G118" s="21">
        <v>118.12</v>
      </c>
      <c r="H118" s="21">
        <v>0</v>
      </c>
      <c r="I118" s="21">
        <f>G118*AO118</f>
        <v>0</v>
      </c>
      <c r="J118" s="21">
        <f>G118*AP118</f>
        <v>0</v>
      </c>
      <c r="K118" s="21">
        <f>G118*H118</f>
        <v>0</v>
      </c>
      <c r="L118" s="21">
        <v>0.00261</v>
      </c>
      <c r="M118" s="21">
        <f>G118*L118</f>
        <v>0.3082932</v>
      </c>
      <c r="N118" s="35" t="s">
        <v>452</v>
      </c>
      <c r="O118" s="39"/>
      <c r="Z118" s="41">
        <f>IF(AQ118="5",BJ118,0)</f>
        <v>0</v>
      </c>
      <c r="AB118" s="41">
        <f>IF(AQ118="1",BH118,0)</f>
        <v>0</v>
      </c>
      <c r="AC118" s="41">
        <f>IF(AQ118="1",BI118,0)</f>
        <v>0</v>
      </c>
      <c r="AD118" s="41">
        <f>IF(AQ118="7",BH118,0)</f>
        <v>0</v>
      </c>
      <c r="AE118" s="41">
        <f>IF(AQ118="7",BI118,0)</f>
        <v>0</v>
      </c>
      <c r="AF118" s="41">
        <f>IF(AQ118="2",BH118,0)</f>
        <v>0</v>
      </c>
      <c r="AG118" s="41">
        <f>IF(AQ118="2",BI118,0)</f>
        <v>0</v>
      </c>
      <c r="AH118" s="41">
        <f>IF(AQ118="0",BJ118,0)</f>
        <v>0</v>
      </c>
      <c r="AI118" s="31"/>
      <c r="AJ118" s="21">
        <f>IF(AN118=0,K118,0)</f>
        <v>0</v>
      </c>
      <c r="AK118" s="21">
        <f>IF(AN118=15,K118,0)</f>
        <v>0</v>
      </c>
      <c r="AL118" s="21">
        <f>IF(AN118=21,K118,0)</f>
        <v>0</v>
      </c>
      <c r="AN118" s="41">
        <v>21</v>
      </c>
      <c r="AO118" s="41">
        <f>H118*0.656455026455026</f>
        <v>0</v>
      </c>
      <c r="AP118" s="41">
        <f>H118*(1-0.656455026455026)</f>
        <v>0</v>
      </c>
      <c r="AQ118" s="42" t="s">
        <v>13</v>
      </c>
      <c r="AV118" s="41">
        <f>AW118+AX118</f>
        <v>0</v>
      </c>
      <c r="AW118" s="41">
        <f>G118*AO118</f>
        <v>0</v>
      </c>
      <c r="AX118" s="41">
        <f>G118*AP118</f>
        <v>0</v>
      </c>
      <c r="AY118" s="44" t="s">
        <v>483</v>
      </c>
      <c r="AZ118" s="44" t="s">
        <v>513</v>
      </c>
      <c r="BA118" s="31" t="s">
        <v>520</v>
      </c>
      <c r="BC118" s="41">
        <f>AW118+AX118</f>
        <v>0</v>
      </c>
      <c r="BD118" s="41">
        <f>H118/(100-BE118)*100</f>
        <v>0</v>
      </c>
      <c r="BE118" s="41">
        <v>0</v>
      </c>
      <c r="BF118" s="41">
        <f>M118</f>
        <v>0.3082932</v>
      </c>
      <c r="BH118" s="21">
        <f>G118*AO118</f>
        <v>0</v>
      </c>
      <c r="BI118" s="21">
        <f>G118*AP118</f>
        <v>0</v>
      </c>
      <c r="BJ118" s="21">
        <f>G118*H118</f>
        <v>0</v>
      </c>
      <c r="BK118" s="21" t="s">
        <v>525</v>
      </c>
      <c r="BL118" s="41">
        <v>764</v>
      </c>
    </row>
    <row r="119" spans="1:64" ht="12.75">
      <c r="A119" s="117"/>
      <c r="B119" s="114"/>
      <c r="C119" s="114"/>
      <c r="D119" s="114"/>
      <c r="E119" s="111" t="s">
        <v>696</v>
      </c>
      <c r="F119" s="114"/>
      <c r="G119" s="118"/>
      <c r="H119" s="118"/>
      <c r="I119" s="118"/>
      <c r="J119" s="118"/>
      <c r="K119" s="118"/>
      <c r="L119" s="118"/>
      <c r="M119" s="118"/>
      <c r="N119" s="119"/>
      <c r="O119" s="39"/>
      <c r="Z119" s="41"/>
      <c r="AB119" s="41"/>
      <c r="AC119" s="41"/>
      <c r="AD119" s="41"/>
      <c r="AE119" s="41"/>
      <c r="AF119" s="41"/>
      <c r="AG119" s="41"/>
      <c r="AH119" s="41"/>
      <c r="AI119" s="31"/>
      <c r="AJ119" s="21"/>
      <c r="AK119" s="21"/>
      <c r="AL119" s="21"/>
      <c r="AN119" s="41"/>
      <c r="AO119" s="41"/>
      <c r="AP119" s="41"/>
      <c r="AQ119" s="42"/>
      <c r="AV119" s="41"/>
      <c r="AW119" s="41"/>
      <c r="AX119" s="41"/>
      <c r="AY119" s="44"/>
      <c r="AZ119" s="44"/>
      <c r="BA119" s="31"/>
      <c r="BC119" s="41"/>
      <c r="BD119" s="41"/>
      <c r="BE119" s="41"/>
      <c r="BF119" s="41"/>
      <c r="BH119" s="21"/>
      <c r="BI119" s="21"/>
      <c r="BJ119" s="21"/>
      <c r="BK119" s="21"/>
      <c r="BL119" s="41"/>
    </row>
    <row r="120" spans="1:64" ht="12.75">
      <c r="A120" s="4" t="s">
        <v>54</v>
      </c>
      <c r="B120" s="13"/>
      <c r="C120" s="13" t="s">
        <v>616</v>
      </c>
      <c r="D120" s="125" t="s">
        <v>617</v>
      </c>
      <c r="E120" s="126"/>
      <c r="F120" s="13" t="s">
        <v>594</v>
      </c>
      <c r="G120" s="21">
        <v>1</v>
      </c>
      <c r="H120" s="21">
        <v>0</v>
      </c>
      <c r="I120" s="21">
        <f>G120*AO120</f>
        <v>0</v>
      </c>
      <c r="J120" s="21">
        <f>G120*AP120</f>
        <v>0</v>
      </c>
      <c r="K120" s="21">
        <f>G120*H120</f>
        <v>0</v>
      </c>
      <c r="L120" s="21">
        <v>0.00345</v>
      </c>
      <c r="M120" s="21">
        <f>G120*L120</f>
        <v>0.00345</v>
      </c>
      <c r="N120" s="35" t="s">
        <v>593</v>
      </c>
      <c r="O120" s="39"/>
      <c r="Z120" s="41">
        <f>IF(AQ120="5",BJ120,0)</f>
        <v>0</v>
      </c>
      <c r="AB120" s="41">
        <f>IF(AQ120="1",BH120,0)</f>
        <v>0</v>
      </c>
      <c r="AC120" s="41">
        <f>IF(AQ120="1",BI120,0)</f>
        <v>0</v>
      </c>
      <c r="AD120" s="41">
        <f>IF(AQ120="7",BH120,0)</f>
        <v>0</v>
      </c>
      <c r="AE120" s="41">
        <f>IF(AQ120="7",BI120,0)</f>
        <v>0</v>
      </c>
      <c r="AF120" s="41">
        <f>IF(AQ120="2",BH120,0)</f>
        <v>0</v>
      </c>
      <c r="AG120" s="41">
        <f>IF(AQ120="2",BI120,0)</f>
        <v>0</v>
      </c>
      <c r="AH120" s="41">
        <f>IF(AQ120="0",BJ120,0)</f>
        <v>0</v>
      </c>
      <c r="AI120" s="31"/>
      <c r="AJ120" s="21">
        <f>IF(AN120=0,K120,0)</f>
        <v>0</v>
      </c>
      <c r="AK120" s="21">
        <f>IF(AN120=15,K120,0)</f>
        <v>0</v>
      </c>
      <c r="AL120" s="21">
        <f>IF(AN120=21,K120,0)</f>
        <v>0</v>
      </c>
      <c r="AN120" s="41">
        <v>21</v>
      </c>
      <c r="AO120" s="41">
        <f>H120*0.240186478570562</f>
        <v>0</v>
      </c>
      <c r="AP120" s="41">
        <f>H120*(1-0.240186478570562)</f>
        <v>0</v>
      </c>
      <c r="AQ120" s="42" t="s">
        <v>13</v>
      </c>
      <c r="AV120" s="41">
        <f>AW120+AX120</f>
        <v>0</v>
      </c>
      <c r="AW120" s="41">
        <f>G120*AO120</f>
        <v>0</v>
      </c>
      <c r="AX120" s="41">
        <f>G120*AP120</f>
        <v>0</v>
      </c>
      <c r="AY120" s="44" t="s">
        <v>483</v>
      </c>
      <c r="AZ120" s="44" t="s">
        <v>513</v>
      </c>
      <c r="BA120" s="31" t="s">
        <v>520</v>
      </c>
      <c r="BC120" s="41">
        <f>AW120+AX120</f>
        <v>0</v>
      </c>
      <c r="BD120" s="41">
        <f>H120/(100-BE120)*100</f>
        <v>0</v>
      </c>
      <c r="BE120" s="41">
        <v>0</v>
      </c>
      <c r="BF120" s="41">
        <f>M120</f>
        <v>0.00345</v>
      </c>
      <c r="BH120" s="21">
        <f>G120*AO120</f>
        <v>0</v>
      </c>
      <c r="BI120" s="21">
        <f>G120*AP120</f>
        <v>0</v>
      </c>
      <c r="BJ120" s="21">
        <f>G120*H120</f>
        <v>0</v>
      </c>
      <c r="BK120" s="21" t="s">
        <v>525</v>
      </c>
      <c r="BL120" s="41">
        <v>764</v>
      </c>
    </row>
    <row r="121" spans="1:64" ht="12.75">
      <c r="A121" s="117"/>
      <c r="B121" s="114"/>
      <c r="C121" s="114"/>
      <c r="D121" s="114"/>
      <c r="E121" s="111" t="s">
        <v>697</v>
      </c>
      <c r="F121" s="114"/>
      <c r="G121" s="118"/>
      <c r="H121" s="118"/>
      <c r="I121" s="118"/>
      <c r="J121" s="118"/>
      <c r="K121" s="118"/>
      <c r="L121" s="118"/>
      <c r="M121" s="118"/>
      <c r="N121" s="119"/>
      <c r="O121" s="39"/>
      <c r="Z121" s="41"/>
      <c r="AB121" s="41"/>
      <c r="AC121" s="41"/>
      <c r="AD121" s="41"/>
      <c r="AE121" s="41"/>
      <c r="AF121" s="41"/>
      <c r="AG121" s="41"/>
      <c r="AH121" s="41"/>
      <c r="AI121" s="31"/>
      <c r="AJ121" s="21"/>
      <c r="AK121" s="21"/>
      <c r="AL121" s="21"/>
      <c r="AN121" s="41"/>
      <c r="AO121" s="41"/>
      <c r="AP121" s="41"/>
      <c r="AQ121" s="42"/>
      <c r="AV121" s="41"/>
      <c r="AW121" s="41"/>
      <c r="AX121" s="41"/>
      <c r="AY121" s="44"/>
      <c r="AZ121" s="44"/>
      <c r="BA121" s="31"/>
      <c r="BC121" s="41"/>
      <c r="BD121" s="41"/>
      <c r="BE121" s="41"/>
      <c r="BF121" s="41"/>
      <c r="BH121" s="21"/>
      <c r="BI121" s="21"/>
      <c r="BJ121" s="21"/>
      <c r="BK121" s="21"/>
      <c r="BL121" s="41"/>
    </row>
    <row r="122" spans="1:47" ht="12.75">
      <c r="A122" s="5"/>
      <c r="B122" s="14"/>
      <c r="C122" s="14" t="s">
        <v>178</v>
      </c>
      <c r="D122" s="127" t="s">
        <v>333</v>
      </c>
      <c r="E122" s="128"/>
      <c r="F122" s="19" t="s">
        <v>6</v>
      </c>
      <c r="G122" s="19" t="s">
        <v>6</v>
      </c>
      <c r="H122" s="19" t="s">
        <v>6</v>
      </c>
      <c r="I122" s="47">
        <f>SUM(I123:I127)</f>
        <v>0</v>
      </c>
      <c r="J122" s="47">
        <f>SUM(J123:J127)</f>
        <v>0</v>
      </c>
      <c r="K122" s="47">
        <f>SUM(K123:K127)</f>
        <v>0</v>
      </c>
      <c r="L122" s="31"/>
      <c r="M122" s="47">
        <f>SUM(M123:M127)</f>
        <v>47.278865599999996</v>
      </c>
      <c r="N122" s="36"/>
      <c r="O122" s="39"/>
      <c r="AI122" s="31"/>
      <c r="AS122" s="47">
        <f>SUM(AJ123:AJ127)</f>
        <v>0</v>
      </c>
      <c r="AT122" s="47">
        <f>SUM(AK123:AK127)</f>
        <v>0</v>
      </c>
      <c r="AU122" s="47">
        <f>SUM(AL123:AL127)</f>
        <v>0</v>
      </c>
    </row>
    <row r="123" spans="1:64" ht="12.75">
      <c r="A123" s="4" t="s">
        <v>55</v>
      </c>
      <c r="B123" s="13"/>
      <c r="C123" s="13" t="s">
        <v>179</v>
      </c>
      <c r="D123" s="125" t="s">
        <v>334</v>
      </c>
      <c r="E123" s="126"/>
      <c r="F123" s="13" t="s">
        <v>426</v>
      </c>
      <c r="G123" s="21">
        <v>1153.72</v>
      </c>
      <c r="H123" s="21">
        <v>0</v>
      </c>
      <c r="I123" s="21">
        <f>G123*AO123</f>
        <v>0</v>
      </c>
      <c r="J123" s="21">
        <f>G123*AP123</f>
        <v>0</v>
      </c>
      <c r="K123" s="21">
        <f>G123*H123</f>
        <v>0</v>
      </c>
      <c r="L123" s="21">
        <v>0.00014</v>
      </c>
      <c r="M123" s="21">
        <f>G123*L123</f>
        <v>0.1615208</v>
      </c>
      <c r="N123" s="35" t="s">
        <v>452</v>
      </c>
      <c r="O123" s="39"/>
      <c r="Z123" s="41">
        <f>IF(AQ123="5",BJ123,0)</f>
        <v>0</v>
      </c>
      <c r="AB123" s="41">
        <f>IF(AQ123="1",BH123,0)</f>
        <v>0</v>
      </c>
      <c r="AC123" s="41">
        <f>IF(AQ123="1",BI123,0)</f>
        <v>0</v>
      </c>
      <c r="AD123" s="41">
        <f>IF(AQ123="7",BH123,0)</f>
        <v>0</v>
      </c>
      <c r="AE123" s="41">
        <f>IF(AQ123="7",BI123,0)</f>
        <v>0</v>
      </c>
      <c r="AF123" s="41">
        <f>IF(AQ123="2",BH123,0)</f>
        <v>0</v>
      </c>
      <c r="AG123" s="41">
        <f>IF(AQ123="2",BI123,0)</f>
        <v>0</v>
      </c>
      <c r="AH123" s="41">
        <f>IF(AQ123="0",BJ123,0)</f>
        <v>0</v>
      </c>
      <c r="AI123" s="31"/>
      <c r="AJ123" s="21">
        <f>IF(AN123=0,K123,0)</f>
        <v>0</v>
      </c>
      <c r="AK123" s="21">
        <f>IF(AN123=15,K123,0)</f>
        <v>0</v>
      </c>
      <c r="AL123" s="21">
        <f>IF(AN123=21,K123,0)</f>
        <v>0</v>
      </c>
      <c r="AN123" s="41">
        <v>21</v>
      </c>
      <c r="AO123" s="41">
        <f>H123*0.274605694025906</f>
        <v>0</v>
      </c>
      <c r="AP123" s="41">
        <f>H123*(1-0.274605694025906)</f>
        <v>0</v>
      </c>
      <c r="AQ123" s="42" t="s">
        <v>13</v>
      </c>
      <c r="AV123" s="41">
        <f>AW123+AX123</f>
        <v>0</v>
      </c>
      <c r="AW123" s="41">
        <f>G123*AO123</f>
        <v>0</v>
      </c>
      <c r="AX123" s="41">
        <f>G123*AP123</f>
        <v>0</v>
      </c>
      <c r="AY123" s="44" t="s">
        <v>484</v>
      </c>
      <c r="AZ123" s="44" t="s">
        <v>513</v>
      </c>
      <c r="BA123" s="31" t="s">
        <v>520</v>
      </c>
      <c r="BC123" s="41">
        <f>AW123+AX123</f>
        <v>0</v>
      </c>
      <c r="BD123" s="41">
        <f>H123/(100-BE123)*100</f>
        <v>0</v>
      </c>
      <c r="BE123" s="41">
        <v>0</v>
      </c>
      <c r="BF123" s="41">
        <f>M123</f>
        <v>0.1615208</v>
      </c>
      <c r="BH123" s="21">
        <f>G123*AO123</f>
        <v>0</v>
      </c>
      <c r="BI123" s="21">
        <f>G123*AP123</f>
        <v>0</v>
      </c>
      <c r="BJ123" s="21">
        <f>G123*H123</f>
        <v>0</v>
      </c>
      <c r="BK123" s="21" t="s">
        <v>525</v>
      </c>
      <c r="BL123" s="41">
        <v>765</v>
      </c>
    </row>
    <row r="124" spans="1:64" ht="12.75">
      <c r="A124" s="117"/>
      <c r="B124" s="114"/>
      <c r="C124" s="114"/>
      <c r="D124" s="114"/>
      <c r="E124" s="111" t="s">
        <v>698</v>
      </c>
      <c r="F124" s="114"/>
      <c r="G124" s="118"/>
      <c r="H124" s="118"/>
      <c r="I124" s="118"/>
      <c r="J124" s="118"/>
      <c r="K124" s="118"/>
      <c r="L124" s="118"/>
      <c r="M124" s="118"/>
      <c r="N124" s="119"/>
      <c r="O124" s="39"/>
      <c r="Z124" s="41"/>
      <c r="AB124" s="41"/>
      <c r="AC124" s="41"/>
      <c r="AD124" s="41"/>
      <c r="AE124" s="41"/>
      <c r="AF124" s="41"/>
      <c r="AG124" s="41"/>
      <c r="AH124" s="41"/>
      <c r="AI124" s="31"/>
      <c r="AJ124" s="21"/>
      <c r="AK124" s="21"/>
      <c r="AL124" s="21"/>
      <c r="AN124" s="41"/>
      <c r="AO124" s="41"/>
      <c r="AP124" s="41"/>
      <c r="AQ124" s="42"/>
      <c r="AV124" s="41"/>
      <c r="AW124" s="41"/>
      <c r="AX124" s="41"/>
      <c r="AY124" s="44"/>
      <c r="AZ124" s="44"/>
      <c r="BA124" s="31"/>
      <c r="BC124" s="41"/>
      <c r="BD124" s="41"/>
      <c r="BE124" s="41"/>
      <c r="BF124" s="41"/>
      <c r="BH124" s="21"/>
      <c r="BI124" s="21"/>
      <c r="BJ124" s="21"/>
      <c r="BK124" s="21"/>
      <c r="BL124" s="41"/>
    </row>
    <row r="125" spans="1:64" ht="12.75">
      <c r="A125" s="4" t="s">
        <v>56</v>
      </c>
      <c r="B125" s="13"/>
      <c r="C125" s="13" t="s">
        <v>619</v>
      </c>
      <c r="D125" s="125" t="s">
        <v>618</v>
      </c>
      <c r="E125" s="126"/>
      <c r="F125" s="13" t="s">
        <v>428</v>
      </c>
      <c r="G125" s="21">
        <v>59.06</v>
      </c>
      <c r="H125" s="21">
        <v>0</v>
      </c>
      <c r="I125" s="21">
        <f>G125*AO125</f>
        <v>0</v>
      </c>
      <c r="J125" s="21">
        <f>G125*AP125</f>
        <v>0</v>
      </c>
      <c r="K125" s="21">
        <f>G125*H125</f>
        <v>0</v>
      </c>
      <c r="L125" s="21">
        <v>0.01428</v>
      </c>
      <c r="M125" s="21">
        <f>G125*L125</f>
        <v>0.8433768</v>
      </c>
      <c r="N125" s="35" t="s">
        <v>593</v>
      </c>
      <c r="O125" s="39"/>
      <c r="Z125" s="41">
        <f>IF(AQ125="5",BJ125,0)</f>
        <v>0</v>
      </c>
      <c r="AB125" s="41">
        <f>IF(AQ125="1",BH125,0)</f>
        <v>0</v>
      </c>
      <c r="AC125" s="41">
        <f>IF(AQ125="1",BI125,0)</f>
        <v>0</v>
      </c>
      <c r="AD125" s="41">
        <f>IF(AQ125="7",BH125,0)</f>
        <v>0</v>
      </c>
      <c r="AE125" s="41">
        <f>IF(AQ125="7",BI125,0)</f>
        <v>0</v>
      </c>
      <c r="AF125" s="41">
        <f>IF(AQ125="2",BH125,0)</f>
        <v>0</v>
      </c>
      <c r="AG125" s="41">
        <f>IF(AQ125="2",BI125,0)</f>
        <v>0</v>
      </c>
      <c r="AH125" s="41">
        <f>IF(AQ125="0",BJ125,0)</f>
        <v>0</v>
      </c>
      <c r="AI125" s="31"/>
      <c r="AJ125" s="21">
        <f>IF(AN125=0,K125,0)</f>
        <v>0</v>
      </c>
      <c r="AK125" s="21">
        <f>IF(AN125=15,K125,0)</f>
        <v>0</v>
      </c>
      <c r="AL125" s="21">
        <f>IF(AN125=21,K125,0)</f>
        <v>0</v>
      </c>
      <c r="AN125" s="41">
        <v>21</v>
      </c>
      <c r="AO125" s="41">
        <f>H125*0.592294288480155</f>
        <v>0</v>
      </c>
      <c r="AP125" s="41">
        <f>H125*(1-0.592294288480155)</f>
        <v>0</v>
      </c>
      <c r="AQ125" s="42" t="s">
        <v>13</v>
      </c>
      <c r="AV125" s="41">
        <f>AW125+AX125</f>
        <v>0</v>
      </c>
      <c r="AW125" s="41">
        <f>G125*AO125</f>
        <v>0</v>
      </c>
      <c r="AX125" s="41">
        <f>G125*AP125</f>
        <v>0</v>
      </c>
      <c r="AY125" s="44" t="s">
        <v>484</v>
      </c>
      <c r="AZ125" s="44" t="s">
        <v>513</v>
      </c>
      <c r="BA125" s="31" t="s">
        <v>520</v>
      </c>
      <c r="BC125" s="41">
        <f>AW125+AX125</f>
        <v>0</v>
      </c>
      <c r="BD125" s="41">
        <f>H125/(100-BE125)*100</f>
        <v>0</v>
      </c>
      <c r="BE125" s="41">
        <v>0</v>
      </c>
      <c r="BF125" s="41">
        <f>M125</f>
        <v>0.8433768</v>
      </c>
      <c r="BH125" s="21">
        <f>G125*AO125</f>
        <v>0</v>
      </c>
      <c r="BI125" s="21">
        <f>G125*AP125</f>
        <v>0</v>
      </c>
      <c r="BJ125" s="21">
        <f>G125*H125</f>
        <v>0</v>
      </c>
      <c r="BK125" s="21" t="s">
        <v>525</v>
      </c>
      <c r="BL125" s="41">
        <v>765</v>
      </c>
    </row>
    <row r="126" spans="1:64" ht="12.75">
      <c r="A126" s="4" t="s">
        <v>57</v>
      </c>
      <c r="B126" s="13"/>
      <c r="C126" s="13" t="s">
        <v>619</v>
      </c>
      <c r="D126" s="125" t="s">
        <v>620</v>
      </c>
      <c r="E126" s="126"/>
      <c r="F126" s="13" t="s">
        <v>428</v>
      </c>
      <c r="G126" s="21">
        <v>16.34</v>
      </c>
      <c r="H126" s="21">
        <v>0</v>
      </c>
      <c r="I126" s="21">
        <f>G126*AO126</f>
        <v>0</v>
      </c>
      <c r="J126" s="21">
        <f>G126*AP126</f>
        <v>0</v>
      </c>
      <c r="K126" s="21">
        <f>G126*H126</f>
        <v>0</v>
      </c>
      <c r="L126" s="21">
        <v>0.04824</v>
      </c>
      <c r="M126" s="21">
        <f>G126*L126</f>
        <v>0.7882416</v>
      </c>
      <c r="N126" s="35" t="s">
        <v>593</v>
      </c>
      <c r="O126" s="39"/>
      <c r="Z126" s="41">
        <f>IF(AQ126="5",BJ126,0)</f>
        <v>0</v>
      </c>
      <c r="AB126" s="41">
        <f>IF(AQ126="1",BH126,0)</f>
        <v>0</v>
      </c>
      <c r="AC126" s="41">
        <f>IF(AQ126="1",BI126,0)</f>
        <v>0</v>
      </c>
      <c r="AD126" s="41">
        <f>IF(AQ126="7",BH126,0)</f>
        <v>0</v>
      </c>
      <c r="AE126" s="41">
        <f>IF(AQ126="7",BI126,0)</f>
        <v>0</v>
      </c>
      <c r="AF126" s="41">
        <f>IF(AQ126="2",BH126,0)</f>
        <v>0</v>
      </c>
      <c r="AG126" s="41">
        <f>IF(AQ126="2",BI126,0)</f>
        <v>0</v>
      </c>
      <c r="AH126" s="41">
        <f>IF(AQ126="0",BJ126,0)</f>
        <v>0</v>
      </c>
      <c r="AI126" s="31"/>
      <c r="AJ126" s="21">
        <f>IF(AN126=0,K126,0)</f>
        <v>0</v>
      </c>
      <c r="AK126" s="21">
        <f>IF(AN126=15,K126,0)</f>
        <v>0</v>
      </c>
      <c r="AL126" s="21">
        <f>IF(AN126=21,K126,0)</f>
        <v>0</v>
      </c>
      <c r="AN126" s="41">
        <v>21</v>
      </c>
      <c r="AO126" s="41">
        <f>H126*0.305968117121558</f>
        <v>0</v>
      </c>
      <c r="AP126" s="41">
        <f>H126*(1-0.305968117121558)</f>
        <v>0</v>
      </c>
      <c r="AQ126" s="42" t="s">
        <v>13</v>
      </c>
      <c r="AV126" s="41">
        <f>AW126+AX126</f>
        <v>0</v>
      </c>
      <c r="AW126" s="41">
        <f>G126*AO126</f>
        <v>0</v>
      </c>
      <c r="AX126" s="41">
        <f>G126*AP126</f>
        <v>0</v>
      </c>
      <c r="AY126" s="44" t="s">
        <v>484</v>
      </c>
      <c r="AZ126" s="44" t="s">
        <v>513</v>
      </c>
      <c r="BA126" s="31" t="s">
        <v>520</v>
      </c>
      <c r="BC126" s="41">
        <f>AW126+AX126</f>
        <v>0</v>
      </c>
      <c r="BD126" s="41">
        <f>H126/(100-BE126)*100</f>
        <v>0</v>
      </c>
      <c r="BE126" s="41">
        <v>0</v>
      </c>
      <c r="BF126" s="41">
        <f>M126</f>
        <v>0.7882416</v>
      </c>
      <c r="BH126" s="21">
        <f>G126*AO126</f>
        <v>0</v>
      </c>
      <c r="BI126" s="21">
        <f>G126*AP126</f>
        <v>0</v>
      </c>
      <c r="BJ126" s="21">
        <f>G126*H126</f>
        <v>0</v>
      </c>
      <c r="BK126" s="21" t="s">
        <v>525</v>
      </c>
      <c r="BL126" s="41">
        <v>765</v>
      </c>
    </row>
    <row r="127" spans="1:64" ht="12.75">
      <c r="A127" s="4" t="s">
        <v>58</v>
      </c>
      <c r="B127" s="13"/>
      <c r="C127" s="13" t="s">
        <v>622</v>
      </c>
      <c r="D127" s="125" t="s">
        <v>621</v>
      </c>
      <c r="E127" s="126"/>
      <c r="F127" s="13" t="s">
        <v>426</v>
      </c>
      <c r="G127" s="21">
        <v>961.44</v>
      </c>
      <c r="H127" s="21">
        <v>0</v>
      </c>
      <c r="I127" s="21">
        <f>G127*AO127</f>
        <v>0</v>
      </c>
      <c r="J127" s="21">
        <f>G127*AP127</f>
        <v>0</v>
      </c>
      <c r="K127" s="21">
        <f>G127*H127</f>
        <v>0</v>
      </c>
      <c r="L127" s="21">
        <v>0.04731</v>
      </c>
      <c r="M127" s="21">
        <f>G127*L127</f>
        <v>45.4857264</v>
      </c>
      <c r="N127" s="35" t="s">
        <v>593</v>
      </c>
      <c r="O127" s="39"/>
      <c r="Z127" s="41">
        <f>IF(AQ127="5",BJ127,0)</f>
        <v>0</v>
      </c>
      <c r="AB127" s="41">
        <f>IF(AQ127="1",BH127,0)</f>
        <v>0</v>
      </c>
      <c r="AC127" s="41">
        <f>IF(AQ127="1",BI127,0)</f>
        <v>0</v>
      </c>
      <c r="AD127" s="41">
        <f>IF(AQ127="7",BH127,0)</f>
        <v>0</v>
      </c>
      <c r="AE127" s="41">
        <f>IF(AQ127="7",BI127,0)</f>
        <v>0</v>
      </c>
      <c r="AF127" s="41">
        <f>IF(AQ127="2",BH127,0)</f>
        <v>0</v>
      </c>
      <c r="AG127" s="41">
        <f>IF(AQ127="2",BI127,0)</f>
        <v>0</v>
      </c>
      <c r="AH127" s="41">
        <f>IF(AQ127="0",BJ127,0)</f>
        <v>0</v>
      </c>
      <c r="AI127" s="31"/>
      <c r="AJ127" s="21">
        <f>IF(AN127=0,K127,0)</f>
        <v>0</v>
      </c>
      <c r="AK127" s="21">
        <f>IF(AN127=15,K127,0)</f>
        <v>0</v>
      </c>
      <c r="AL127" s="21">
        <f>IF(AN127=21,K127,0)</f>
        <v>0</v>
      </c>
      <c r="AN127" s="41">
        <v>21</v>
      </c>
      <c r="AO127" s="41">
        <f>H127*0.714011764705882</f>
        <v>0</v>
      </c>
      <c r="AP127" s="41">
        <f>H127*(1-0.714011764705882)</f>
        <v>0</v>
      </c>
      <c r="AQ127" s="42" t="s">
        <v>13</v>
      </c>
      <c r="AV127" s="41">
        <f>AW127+AX127</f>
        <v>0</v>
      </c>
      <c r="AW127" s="41">
        <f>G127*AO127</f>
        <v>0</v>
      </c>
      <c r="AX127" s="41">
        <f>G127*AP127</f>
        <v>0</v>
      </c>
      <c r="AY127" s="44" t="s">
        <v>484</v>
      </c>
      <c r="AZ127" s="44" t="s">
        <v>513</v>
      </c>
      <c r="BA127" s="31" t="s">
        <v>520</v>
      </c>
      <c r="BC127" s="41">
        <f>AW127+AX127</f>
        <v>0</v>
      </c>
      <c r="BD127" s="41">
        <f>H127/(100-BE127)*100</f>
        <v>0</v>
      </c>
      <c r="BE127" s="41">
        <v>0</v>
      </c>
      <c r="BF127" s="41">
        <f>M127</f>
        <v>45.4857264</v>
      </c>
      <c r="BH127" s="21">
        <f>G127*AO127</f>
        <v>0</v>
      </c>
      <c r="BI127" s="21">
        <f>G127*AP127</f>
        <v>0</v>
      </c>
      <c r="BJ127" s="21">
        <f>G127*H127</f>
        <v>0</v>
      </c>
      <c r="BK127" s="21" t="s">
        <v>525</v>
      </c>
      <c r="BL127" s="41">
        <v>765</v>
      </c>
    </row>
    <row r="128" spans="1:47" ht="12.75">
      <c r="A128" s="5"/>
      <c r="B128" s="14"/>
      <c r="C128" s="14" t="s">
        <v>183</v>
      </c>
      <c r="D128" s="127" t="s">
        <v>338</v>
      </c>
      <c r="E128" s="128"/>
      <c r="F128" s="19" t="s">
        <v>6</v>
      </c>
      <c r="G128" s="19" t="s">
        <v>6</v>
      </c>
      <c r="H128" s="19" t="s">
        <v>6</v>
      </c>
      <c r="I128" s="47">
        <f>SUM(I129:I131)</f>
        <v>0</v>
      </c>
      <c r="J128" s="47">
        <f>SUM(J129:J131)</f>
        <v>0</v>
      </c>
      <c r="K128" s="47">
        <f>SUM(K129:K131)</f>
        <v>0</v>
      </c>
      <c r="L128" s="31"/>
      <c r="M128" s="47">
        <f>SUM(M129:M131)</f>
        <v>0.06506</v>
      </c>
      <c r="N128" s="36"/>
      <c r="O128" s="39"/>
      <c r="AI128" s="31"/>
      <c r="AS128" s="47">
        <f>SUM(AJ129:AJ131)</f>
        <v>0</v>
      </c>
      <c r="AT128" s="47">
        <f>SUM(AK129:AK131)</f>
        <v>0</v>
      </c>
      <c r="AU128" s="47">
        <f>SUM(AL129:AL131)</f>
        <v>0</v>
      </c>
    </row>
    <row r="129" spans="1:64" ht="12.75">
      <c r="A129" s="4" t="s">
        <v>59</v>
      </c>
      <c r="B129" s="13"/>
      <c r="C129" s="13" t="s">
        <v>623</v>
      </c>
      <c r="D129" s="125" t="s">
        <v>625</v>
      </c>
      <c r="E129" s="126"/>
      <c r="F129" s="13" t="s">
        <v>594</v>
      </c>
      <c r="G129" s="21">
        <v>1</v>
      </c>
      <c r="H129" s="21">
        <v>0</v>
      </c>
      <c r="I129" s="21">
        <f>G129*AO129</f>
        <v>0</v>
      </c>
      <c r="J129" s="21">
        <f>G129*AP129</f>
        <v>0</v>
      </c>
      <c r="K129" s="21">
        <f>G129*H129</f>
        <v>0</v>
      </c>
      <c r="L129" s="21">
        <v>6E-05</v>
      </c>
      <c r="M129" s="21">
        <f>G129*L129</f>
        <v>6E-05</v>
      </c>
      <c r="N129" s="35" t="s">
        <v>593</v>
      </c>
      <c r="O129" s="39"/>
      <c r="Z129" s="41">
        <f>IF(AQ129="5",BJ129,0)</f>
        <v>0</v>
      </c>
      <c r="AB129" s="41">
        <f>IF(AQ129="1",BH129,0)</f>
        <v>0</v>
      </c>
      <c r="AC129" s="41">
        <f>IF(AQ129="1",BI129,0)</f>
        <v>0</v>
      </c>
      <c r="AD129" s="41">
        <f>IF(AQ129="7",BH129,0)</f>
        <v>0</v>
      </c>
      <c r="AE129" s="41">
        <f>IF(AQ129="7",BI129,0)</f>
        <v>0</v>
      </c>
      <c r="AF129" s="41">
        <f>IF(AQ129="2",BH129,0)</f>
        <v>0</v>
      </c>
      <c r="AG129" s="41">
        <f>IF(AQ129="2",BI129,0)</f>
        <v>0</v>
      </c>
      <c r="AH129" s="41">
        <f>IF(AQ129="0",BJ129,0)</f>
        <v>0</v>
      </c>
      <c r="AI129" s="31"/>
      <c r="AJ129" s="21">
        <f>IF(AN129=0,K129,0)</f>
        <v>0</v>
      </c>
      <c r="AK129" s="21">
        <f>IF(AN129=15,K129,0)</f>
        <v>0</v>
      </c>
      <c r="AL129" s="21">
        <f>IF(AN129=21,K129,0)</f>
        <v>0</v>
      </c>
      <c r="AN129" s="41">
        <v>21</v>
      </c>
      <c r="AO129" s="41">
        <f>H129*0.106610169491525</f>
        <v>0</v>
      </c>
      <c r="AP129" s="41">
        <f>H129*(1-0.106610169491525)</f>
        <v>0</v>
      </c>
      <c r="AQ129" s="42" t="s">
        <v>13</v>
      </c>
      <c r="AV129" s="41">
        <f>AW129+AX129</f>
        <v>0</v>
      </c>
      <c r="AW129" s="41">
        <f>G129*AO129</f>
        <v>0</v>
      </c>
      <c r="AX129" s="41">
        <f>G129*AP129</f>
        <v>0</v>
      </c>
      <c r="AY129" s="44" t="s">
        <v>485</v>
      </c>
      <c r="AZ129" s="44" t="s">
        <v>513</v>
      </c>
      <c r="BA129" s="31" t="s">
        <v>520</v>
      </c>
      <c r="BC129" s="41">
        <f>AW129+AX129</f>
        <v>0</v>
      </c>
      <c r="BD129" s="41">
        <f>H129/(100-BE129)*100</f>
        <v>0</v>
      </c>
      <c r="BE129" s="41">
        <v>0</v>
      </c>
      <c r="BF129" s="41">
        <f>M129</f>
        <v>6E-05</v>
      </c>
      <c r="BH129" s="21">
        <f>G129*AO129</f>
        <v>0</v>
      </c>
      <c r="BI129" s="21">
        <f>G129*AP129</f>
        <v>0</v>
      </c>
      <c r="BJ129" s="21">
        <f>G129*H129</f>
        <v>0</v>
      </c>
      <c r="BK129" s="21" t="s">
        <v>525</v>
      </c>
      <c r="BL129" s="41">
        <v>767</v>
      </c>
    </row>
    <row r="130" spans="1:64" ht="12.75">
      <c r="A130" s="117"/>
      <c r="B130" s="114"/>
      <c r="C130" s="114"/>
      <c r="D130" s="114"/>
      <c r="E130" s="111" t="s">
        <v>699</v>
      </c>
      <c r="F130" s="114"/>
      <c r="G130" s="118"/>
      <c r="H130" s="118"/>
      <c r="I130" s="118"/>
      <c r="J130" s="118"/>
      <c r="K130" s="118"/>
      <c r="L130" s="118"/>
      <c r="M130" s="118"/>
      <c r="N130" s="119"/>
      <c r="O130" s="39"/>
      <c r="Z130" s="41"/>
      <c r="AB130" s="41"/>
      <c r="AC130" s="41"/>
      <c r="AD130" s="41"/>
      <c r="AE130" s="41"/>
      <c r="AF130" s="41"/>
      <c r="AG130" s="41"/>
      <c r="AH130" s="41"/>
      <c r="AI130" s="31"/>
      <c r="AJ130" s="21"/>
      <c r="AK130" s="21"/>
      <c r="AL130" s="21"/>
      <c r="AN130" s="41"/>
      <c r="AO130" s="41"/>
      <c r="AP130" s="41"/>
      <c r="AQ130" s="42"/>
      <c r="AV130" s="41"/>
      <c r="AW130" s="41"/>
      <c r="AX130" s="41"/>
      <c r="AY130" s="44"/>
      <c r="AZ130" s="44"/>
      <c r="BA130" s="31"/>
      <c r="BC130" s="41"/>
      <c r="BD130" s="41"/>
      <c r="BE130" s="41"/>
      <c r="BF130" s="41"/>
      <c r="BH130" s="21"/>
      <c r="BI130" s="21"/>
      <c r="BJ130" s="21"/>
      <c r="BK130" s="21"/>
      <c r="BL130" s="41"/>
    </row>
    <row r="131" spans="1:64" ht="12.75">
      <c r="A131" s="4" t="s">
        <v>60</v>
      </c>
      <c r="B131" s="13"/>
      <c r="C131" s="13" t="s">
        <v>624</v>
      </c>
      <c r="D131" s="125" t="s">
        <v>626</v>
      </c>
      <c r="E131" s="126"/>
      <c r="F131" s="13" t="s">
        <v>594</v>
      </c>
      <c r="G131" s="21">
        <v>1</v>
      </c>
      <c r="H131" s="21">
        <v>0</v>
      </c>
      <c r="I131" s="21">
        <f>G131*AO131</f>
        <v>0</v>
      </c>
      <c r="J131" s="21">
        <f>G131*AP131</f>
        <v>0</v>
      </c>
      <c r="K131" s="21">
        <f>G131*H131</f>
        <v>0</v>
      </c>
      <c r="L131" s="21">
        <v>0.065</v>
      </c>
      <c r="M131" s="21">
        <f>G131*L131</f>
        <v>0.065</v>
      </c>
      <c r="N131" s="35" t="s">
        <v>593</v>
      </c>
      <c r="O131" s="39"/>
      <c r="Z131" s="41">
        <f>IF(AQ131="5",BJ131,0)</f>
        <v>0</v>
      </c>
      <c r="AB131" s="41">
        <f>IF(AQ131="1",BH131,0)</f>
        <v>0</v>
      </c>
      <c r="AC131" s="41">
        <f>IF(AQ131="1",BI131,0)</f>
        <v>0</v>
      </c>
      <c r="AD131" s="41">
        <f>IF(AQ131="7",BH131,0)</f>
        <v>0</v>
      </c>
      <c r="AE131" s="41">
        <f>IF(AQ131="7",BI131,0)</f>
        <v>0</v>
      </c>
      <c r="AF131" s="41">
        <f>IF(AQ131="2",BH131,0)</f>
        <v>0</v>
      </c>
      <c r="AG131" s="41">
        <f>IF(AQ131="2",BI131,0)</f>
        <v>0</v>
      </c>
      <c r="AH131" s="41">
        <f>IF(AQ131="0",BJ131,0)</f>
        <v>0</v>
      </c>
      <c r="AI131" s="31"/>
      <c r="AJ131" s="21">
        <f>IF(AN131=0,K131,0)</f>
        <v>0</v>
      </c>
      <c r="AK131" s="21">
        <f>IF(AN131=15,K131,0)</f>
        <v>0</v>
      </c>
      <c r="AL131" s="21">
        <f>IF(AN131=21,K131,0)</f>
        <v>0</v>
      </c>
      <c r="AN131" s="41">
        <v>21</v>
      </c>
      <c r="AO131" s="41">
        <f>H131*0</f>
        <v>0</v>
      </c>
      <c r="AP131" s="41">
        <f>H131*(1-0)</f>
        <v>0</v>
      </c>
      <c r="AQ131" s="42" t="s">
        <v>13</v>
      </c>
      <c r="AV131" s="41">
        <f>AW131+AX131</f>
        <v>0</v>
      </c>
      <c r="AW131" s="41">
        <f>G131*AO131</f>
        <v>0</v>
      </c>
      <c r="AX131" s="41">
        <f>G131*AP131</f>
        <v>0</v>
      </c>
      <c r="AY131" s="44" t="s">
        <v>485</v>
      </c>
      <c r="AZ131" s="44" t="s">
        <v>513</v>
      </c>
      <c r="BA131" s="31" t="s">
        <v>520</v>
      </c>
      <c r="BC131" s="41">
        <f>AW131+AX131</f>
        <v>0</v>
      </c>
      <c r="BD131" s="41">
        <f>H131/(100-BE131)*100</f>
        <v>0</v>
      </c>
      <c r="BE131" s="41">
        <v>0</v>
      </c>
      <c r="BF131" s="41">
        <f>M131</f>
        <v>0.065</v>
      </c>
      <c r="BH131" s="21">
        <f>G131*AO131</f>
        <v>0</v>
      </c>
      <c r="BI131" s="21">
        <f>G131*AP131</f>
        <v>0</v>
      </c>
      <c r="BJ131" s="21">
        <f>G131*H131</f>
        <v>0</v>
      </c>
      <c r="BK131" s="21" t="s">
        <v>525</v>
      </c>
      <c r="BL131" s="41">
        <v>767</v>
      </c>
    </row>
    <row r="132" spans="1:64" ht="12.75">
      <c r="A132" s="117"/>
      <c r="B132" s="114"/>
      <c r="C132" s="114"/>
      <c r="D132" s="114"/>
      <c r="E132" s="111" t="s">
        <v>700</v>
      </c>
      <c r="F132" s="114"/>
      <c r="G132" s="118"/>
      <c r="H132" s="118"/>
      <c r="I132" s="118"/>
      <c r="J132" s="118"/>
      <c r="K132" s="118"/>
      <c r="L132" s="118"/>
      <c r="M132" s="118"/>
      <c r="N132" s="119"/>
      <c r="O132" s="39"/>
      <c r="Z132" s="41"/>
      <c r="AB132" s="41"/>
      <c r="AC132" s="41"/>
      <c r="AD132" s="41"/>
      <c r="AE132" s="41"/>
      <c r="AF132" s="41"/>
      <c r="AG132" s="41"/>
      <c r="AH132" s="41"/>
      <c r="AI132" s="31"/>
      <c r="AJ132" s="21"/>
      <c r="AK132" s="21"/>
      <c r="AL132" s="21"/>
      <c r="AN132" s="41"/>
      <c r="AO132" s="41"/>
      <c r="AP132" s="41"/>
      <c r="AQ132" s="42"/>
      <c r="AV132" s="41"/>
      <c r="AW132" s="41"/>
      <c r="AX132" s="41"/>
      <c r="AY132" s="44"/>
      <c r="AZ132" s="44"/>
      <c r="BA132" s="31"/>
      <c r="BC132" s="41"/>
      <c r="BD132" s="41"/>
      <c r="BE132" s="41"/>
      <c r="BF132" s="41"/>
      <c r="BH132" s="21"/>
      <c r="BI132" s="21"/>
      <c r="BJ132" s="21"/>
      <c r="BK132" s="21"/>
      <c r="BL132" s="41"/>
    </row>
    <row r="133" spans="1:64" ht="12.75">
      <c r="A133" s="117"/>
      <c r="B133" s="114"/>
      <c r="C133" s="114"/>
      <c r="D133" s="114"/>
      <c r="E133" s="111" t="s">
        <v>701</v>
      </c>
      <c r="F133" s="114"/>
      <c r="G133" s="118"/>
      <c r="H133" s="118"/>
      <c r="I133" s="118"/>
      <c r="J133" s="118"/>
      <c r="K133" s="118"/>
      <c r="L133" s="118"/>
      <c r="M133" s="118"/>
      <c r="N133" s="119"/>
      <c r="O133" s="39"/>
      <c r="Z133" s="41"/>
      <c r="AB133" s="41"/>
      <c r="AC133" s="41"/>
      <c r="AD133" s="41"/>
      <c r="AE133" s="41"/>
      <c r="AF133" s="41"/>
      <c r="AG133" s="41"/>
      <c r="AH133" s="41"/>
      <c r="AI133" s="31"/>
      <c r="AJ133" s="21"/>
      <c r="AK133" s="21"/>
      <c r="AL133" s="21"/>
      <c r="AN133" s="41"/>
      <c r="AO133" s="41"/>
      <c r="AP133" s="41"/>
      <c r="AQ133" s="42"/>
      <c r="AV133" s="41"/>
      <c r="AW133" s="41"/>
      <c r="AX133" s="41"/>
      <c r="AY133" s="44"/>
      <c r="AZ133" s="44"/>
      <c r="BA133" s="31"/>
      <c r="BC133" s="41"/>
      <c r="BD133" s="41"/>
      <c r="BE133" s="41"/>
      <c r="BF133" s="41"/>
      <c r="BH133" s="21"/>
      <c r="BI133" s="21"/>
      <c r="BJ133" s="21"/>
      <c r="BK133" s="21"/>
      <c r="BL133" s="41"/>
    </row>
    <row r="134" spans="1:47" ht="12.75">
      <c r="A134" s="5"/>
      <c r="B134" s="14"/>
      <c r="C134" s="14" t="s">
        <v>186</v>
      </c>
      <c r="D134" s="127" t="s">
        <v>341</v>
      </c>
      <c r="E134" s="128"/>
      <c r="F134" s="19" t="s">
        <v>6</v>
      </c>
      <c r="G134" s="19" t="s">
        <v>6</v>
      </c>
      <c r="H134" s="19" t="s">
        <v>6</v>
      </c>
      <c r="I134" s="47">
        <f>SUM(I135:I137)</f>
        <v>0</v>
      </c>
      <c r="J134" s="47">
        <f>SUM(J135:J137)</f>
        <v>0</v>
      </c>
      <c r="K134" s="47">
        <f>SUM(K135:K137)</f>
        <v>0</v>
      </c>
      <c r="L134" s="31"/>
      <c r="M134" s="47">
        <f>SUM(M135:M137)</f>
        <v>0.020960100000000002</v>
      </c>
      <c r="N134" s="36"/>
      <c r="O134" s="39"/>
      <c r="AI134" s="31"/>
      <c r="AS134" s="47">
        <f>SUM(AJ135:AJ137)</f>
        <v>0</v>
      </c>
      <c r="AT134" s="47">
        <f>SUM(AK135:AK137)</f>
        <v>0</v>
      </c>
      <c r="AU134" s="47">
        <f>SUM(AL135:AL137)</f>
        <v>0</v>
      </c>
    </row>
    <row r="135" spans="1:64" ht="12.75">
      <c r="A135" s="4" t="s">
        <v>61</v>
      </c>
      <c r="B135" s="13"/>
      <c r="C135" s="13" t="s">
        <v>187</v>
      </c>
      <c r="D135" s="125" t="s">
        <v>342</v>
      </c>
      <c r="E135" s="126"/>
      <c r="F135" s="13" t="s">
        <v>426</v>
      </c>
      <c r="G135" s="21">
        <v>99.81</v>
      </c>
      <c r="H135" s="21">
        <v>0</v>
      </c>
      <c r="I135" s="21">
        <f>G135*AO135</f>
        <v>0</v>
      </c>
      <c r="J135" s="21">
        <f>G135*AP135</f>
        <v>0</v>
      </c>
      <c r="K135" s="21">
        <f>G135*H135</f>
        <v>0</v>
      </c>
      <c r="L135" s="21">
        <v>0.00021</v>
      </c>
      <c r="M135" s="21">
        <f>G135*L135</f>
        <v>0.020960100000000002</v>
      </c>
      <c r="N135" s="35" t="s">
        <v>452</v>
      </c>
      <c r="O135" s="39"/>
      <c r="Z135" s="41">
        <f>IF(AQ135="5",BJ135,0)</f>
        <v>0</v>
      </c>
      <c r="AB135" s="41">
        <f>IF(AQ135="1",BH135,0)</f>
        <v>0</v>
      </c>
      <c r="AC135" s="41">
        <f>IF(AQ135="1",BI135,0)</f>
        <v>0</v>
      </c>
      <c r="AD135" s="41">
        <f>IF(AQ135="7",BH135,0)</f>
        <v>0</v>
      </c>
      <c r="AE135" s="41">
        <f>IF(AQ135="7",BI135,0)</f>
        <v>0</v>
      </c>
      <c r="AF135" s="41">
        <f>IF(AQ135="2",BH135,0)</f>
        <v>0</v>
      </c>
      <c r="AG135" s="41">
        <f>IF(AQ135="2",BI135,0)</f>
        <v>0</v>
      </c>
      <c r="AH135" s="41">
        <f>IF(AQ135="0",BJ135,0)</f>
        <v>0</v>
      </c>
      <c r="AI135" s="31"/>
      <c r="AJ135" s="21">
        <f>IF(AN135=0,K135,0)</f>
        <v>0</v>
      </c>
      <c r="AK135" s="21">
        <f>IF(AN135=15,K135,0)</f>
        <v>0</v>
      </c>
      <c r="AL135" s="21">
        <f>IF(AN135=21,K135,0)</f>
        <v>0</v>
      </c>
      <c r="AN135" s="41">
        <v>21</v>
      </c>
      <c r="AO135" s="41">
        <f>H135*0.496905858209254</f>
        <v>0</v>
      </c>
      <c r="AP135" s="41">
        <f>H135*(1-0.496905858209254)</f>
        <v>0</v>
      </c>
      <c r="AQ135" s="42" t="s">
        <v>13</v>
      </c>
      <c r="AV135" s="41">
        <f>AW135+AX135</f>
        <v>0</v>
      </c>
      <c r="AW135" s="41">
        <f>G135*AO135</f>
        <v>0</v>
      </c>
      <c r="AX135" s="41">
        <f>G135*AP135</f>
        <v>0</v>
      </c>
      <c r="AY135" s="44" t="s">
        <v>486</v>
      </c>
      <c r="AZ135" s="44" t="s">
        <v>514</v>
      </c>
      <c r="BA135" s="31" t="s">
        <v>520</v>
      </c>
      <c r="BC135" s="41">
        <f>AW135+AX135</f>
        <v>0</v>
      </c>
      <c r="BD135" s="41">
        <f>H135/(100-BE135)*100</f>
        <v>0</v>
      </c>
      <c r="BE135" s="41">
        <v>0</v>
      </c>
      <c r="BF135" s="41">
        <f>M135</f>
        <v>0.020960100000000002</v>
      </c>
      <c r="BH135" s="21">
        <f>G135*AO135</f>
        <v>0</v>
      </c>
      <c r="BI135" s="21">
        <f>G135*AP135</f>
        <v>0</v>
      </c>
      <c r="BJ135" s="21">
        <f>G135*H135</f>
        <v>0</v>
      </c>
      <c r="BK135" s="21" t="s">
        <v>525</v>
      </c>
      <c r="BL135" s="41">
        <v>771</v>
      </c>
    </row>
    <row r="136" spans="1:64" ht="12.75">
      <c r="A136" s="4" t="s">
        <v>62</v>
      </c>
      <c r="B136" s="13"/>
      <c r="C136" s="13" t="s">
        <v>188</v>
      </c>
      <c r="D136" s="125" t="s">
        <v>343</v>
      </c>
      <c r="E136" s="126"/>
      <c r="F136" s="13" t="s">
        <v>426</v>
      </c>
      <c r="G136" s="21">
        <v>99.81</v>
      </c>
      <c r="H136" s="21">
        <v>0</v>
      </c>
      <c r="I136" s="21">
        <f>G136*AO136</f>
        <v>0</v>
      </c>
      <c r="J136" s="21">
        <f>G136*AP136</f>
        <v>0</v>
      </c>
      <c r="K136" s="21">
        <f>G136*H136</f>
        <v>0</v>
      </c>
      <c r="L136" s="21">
        <v>0</v>
      </c>
      <c r="M136" s="21">
        <f>G136*L136</f>
        <v>0</v>
      </c>
      <c r="N136" s="35" t="s">
        <v>452</v>
      </c>
      <c r="O136" s="39"/>
      <c r="Z136" s="41">
        <f>IF(AQ136="5",BJ136,0)</f>
        <v>0</v>
      </c>
      <c r="AB136" s="41">
        <f>IF(AQ136="1",BH136,0)</f>
        <v>0</v>
      </c>
      <c r="AC136" s="41">
        <f>IF(AQ136="1",BI136,0)</f>
        <v>0</v>
      </c>
      <c r="AD136" s="41">
        <f>IF(AQ136="7",BH136,0)</f>
        <v>0</v>
      </c>
      <c r="AE136" s="41">
        <f>IF(AQ136="7",BI136,0)</f>
        <v>0</v>
      </c>
      <c r="AF136" s="41">
        <f>IF(AQ136="2",BH136,0)</f>
        <v>0</v>
      </c>
      <c r="AG136" s="41">
        <f>IF(AQ136="2",BI136,0)</f>
        <v>0</v>
      </c>
      <c r="AH136" s="41">
        <f>IF(AQ136="0",BJ136,0)</f>
        <v>0</v>
      </c>
      <c r="AI136" s="31"/>
      <c r="AJ136" s="21">
        <f>IF(AN136=0,K136,0)</f>
        <v>0</v>
      </c>
      <c r="AK136" s="21">
        <f>IF(AN136=15,K136,0)</f>
        <v>0</v>
      </c>
      <c r="AL136" s="21">
        <f>IF(AN136=21,K136,0)</f>
        <v>0</v>
      </c>
      <c r="AN136" s="41">
        <v>21</v>
      </c>
      <c r="AO136" s="41">
        <f>H136*0</f>
        <v>0</v>
      </c>
      <c r="AP136" s="41">
        <f>H136*(1-0)</f>
        <v>0</v>
      </c>
      <c r="AQ136" s="42" t="s">
        <v>13</v>
      </c>
      <c r="AV136" s="41">
        <f>AW136+AX136</f>
        <v>0</v>
      </c>
      <c r="AW136" s="41">
        <f>G136*AO136</f>
        <v>0</v>
      </c>
      <c r="AX136" s="41">
        <f>G136*AP136</f>
        <v>0</v>
      </c>
      <c r="AY136" s="44" t="s">
        <v>486</v>
      </c>
      <c r="AZ136" s="44" t="s">
        <v>514</v>
      </c>
      <c r="BA136" s="31" t="s">
        <v>520</v>
      </c>
      <c r="BC136" s="41">
        <f>AW136+AX136</f>
        <v>0</v>
      </c>
      <c r="BD136" s="41">
        <f>H136/(100-BE136)*100</f>
        <v>0</v>
      </c>
      <c r="BE136" s="41">
        <v>0</v>
      </c>
      <c r="BF136" s="41">
        <f>M136</f>
        <v>0</v>
      </c>
      <c r="BH136" s="21">
        <f>G136*AO136</f>
        <v>0</v>
      </c>
      <c r="BI136" s="21">
        <f>G136*AP136</f>
        <v>0</v>
      </c>
      <c r="BJ136" s="21">
        <f>G136*H136</f>
        <v>0</v>
      </c>
      <c r="BK136" s="21" t="s">
        <v>525</v>
      </c>
      <c r="BL136" s="41">
        <v>771</v>
      </c>
    </row>
    <row r="137" spans="1:64" ht="12.75">
      <c r="A137" s="4" t="s">
        <v>63</v>
      </c>
      <c r="B137" s="13"/>
      <c r="C137" s="13" t="s">
        <v>189</v>
      </c>
      <c r="D137" s="125" t="s">
        <v>344</v>
      </c>
      <c r="E137" s="126"/>
      <c r="F137" s="13" t="s">
        <v>428</v>
      </c>
      <c r="G137" s="21">
        <v>41.38</v>
      </c>
      <c r="H137" s="21">
        <v>0</v>
      </c>
      <c r="I137" s="21">
        <f>G137*AO137</f>
        <v>0</v>
      </c>
      <c r="J137" s="21">
        <f>G137*AP137</f>
        <v>0</v>
      </c>
      <c r="K137" s="21">
        <f>G137*H137</f>
        <v>0</v>
      </c>
      <c r="L137" s="21">
        <v>0</v>
      </c>
      <c r="M137" s="21">
        <f>G137*L137</f>
        <v>0</v>
      </c>
      <c r="N137" s="35" t="s">
        <v>452</v>
      </c>
      <c r="O137" s="39"/>
      <c r="Z137" s="41">
        <f>IF(AQ137="5",BJ137,0)</f>
        <v>0</v>
      </c>
      <c r="AB137" s="41">
        <f>IF(AQ137="1",BH137,0)</f>
        <v>0</v>
      </c>
      <c r="AC137" s="41">
        <f>IF(AQ137="1",BI137,0)</f>
        <v>0</v>
      </c>
      <c r="AD137" s="41">
        <f>IF(AQ137="7",BH137,0)</f>
        <v>0</v>
      </c>
      <c r="AE137" s="41">
        <f>IF(AQ137="7",BI137,0)</f>
        <v>0</v>
      </c>
      <c r="AF137" s="41">
        <f>IF(AQ137="2",BH137,0)</f>
        <v>0</v>
      </c>
      <c r="AG137" s="41">
        <f>IF(AQ137="2",BI137,0)</f>
        <v>0</v>
      </c>
      <c r="AH137" s="41">
        <f>IF(AQ137="0",BJ137,0)</f>
        <v>0</v>
      </c>
      <c r="AI137" s="31"/>
      <c r="AJ137" s="21">
        <f>IF(AN137=0,K137,0)</f>
        <v>0</v>
      </c>
      <c r="AK137" s="21">
        <f>IF(AN137=15,K137,0)</f>
        <v>0</v>
      </c>
      <c r="AL137" s="21">
        <f>IF(AN137=21,K137,0)</f>
        <v>0</v>
      </c>
      <c r="AN137" s="41">
        <v>21</v>
      </c>
      <c r="AO137" s="41">
        <f>H137*0</f>
        <v>0</v>
      </c>
      <c r="AP137" s="41">
        <f>H137*(1-0)</f>
        <v>0</v>
      </c>
      <c r="AQ137" s="42" t="s">
        <v>13</v>
      </c>
      <c r="AV137" s="41">
        <f>AW137+AX137</f>
        <v>0</v>
      </c>
      <c r="AW137" s="41">
        <f>G137*AO137</f>
        <v>0</v>
      </c>
      <c r="AX137" s="41">
        <f>G137*AP137</f>
        <v>0</v>
      </c>
      <c r="AY137" s="44" t="s">
        <v>486</v>
      </c>
      <c r="AZ137" s="44" t="s">
        <v>514</v>
      </c>
      <c r="BA137" s="31" t="s">
        <v>520</v>
      </c>
      <c r="BC137" s="41">
        <f>AW137+AX137</f>
        <v>0</v>
      </c>
      <c r="BD137" s="41">
        <f>H137/(100-BE137)*100</f>
        <v>0</v>
      </c>
      <c r="BE137" s="41">
        <v>0</v>
      </c>
      <c r="BF137" s="41">
        <f>M137</f>
        <v>0</v>
      </c>
      <c r="BH137" s="21">
        <f>G137*AO137</f>
        <v>0</v>
      </c>
      <c r="BI137" s="21">
        <f>G137*AP137</f>
        <v>0</v>
      </c>
      <c r="BJ137" s="21">
        <f>G137*H137</f>
        <v>0</v>
      </c>
      <c r="BK137" s="21" t="s">
        <v>525</v>
      </c>
      <c r="BL137" s="41">
        <v>771</v>
      </c>
    </row>
    <row r="138" spans="1:47" ht="12.75">
      <c r="A138" s="5"/>
      <c r="B138" s="14"/>
      <c r="C138" s="14" t="s">
        <v>190</v>
      </c>
      <c r="D138" s="127" t="s">
        <v>345</v>
      </c>
      <c r="E138" s="128"/>
      <c r="F138" s="19" t="s">
        <v>6</v>
      </c>
      <c r="G138" s="19" t="s">
        <v>6</v>
      </c>
      <c r="H138" s="19" t="s">
        <v>6</v>
      </c>
      <c r="I138" s="47">
        <f>SUM(I139:I139)</f>
        <v>0</v>
      </c>
      <c r="J138" s="47">
        <f>SUM(J139:J139)</f>
        <v>0</v>
      </c>
      <c r="K138" s="47">
        <f>SUM(K139:K139)</f>
        <v>0</v>
      </c>
      <c r="L138" s="31"/>
      <c r="M138" s="47">
        <f>SUM(M139:M139)</f>
        <v>1E-05</v>
      </c>
      <c r="N138" s="36"/>
      <c r="O138" s="39"/>
      <c r="AI138" s="31"/>
      <c r="AS138" s="47">
        <f>SUM(AJ139:AJ139)</f>
        <v>0</v>
      </c>
      <c r="AT138" s="47">
        <f>SUM(AK139:AK139)</f>
        <v>0</v>
      </c>
      <c r="AU138" s="47">
        <f>SUM(AL139:AL139)</f>
        <v>0</v>
      </c>
    </row>
    <row r="139" spans="1:64" ht="12.75">
      <c r="A139" s="4" t="s">
        <v>64</v>
      </c>
      <c r="B139" s="13"/>
      <c r="C139" s="13" t="s">
        <v>627</v>
      </c>
      <c r="D139" s="125" t="s">
        <v>628</v>
      </c>
      <c r="E139" s="126"/>
      <c r="F139" s="13" t="s">
        <v>594</v>
      </c>
      <c r="G139" s="21">
        <v>1</v>
      </c>
      <c r="H139" s="21">
        <v>0</v>
      </c>
      <c r="I139" s="21">
        <f>G139*AO139</f>
        <v>0</v>
      </c>
      <c r="J139" s="21">
        <f>G139*AP139</f>
        <v>0</v>
      </c>
      <c r="K139" s="21">
        <f>G139*H139</f>
        <v>0</v>
      </c>
      <c r="L139" s="21">
        <v>1E-05</v>
      </c>
      <c r="M139" s="21">
        <f>G139*L139</f>
        <v>1E-05</v>
      </c>
      <c r="N139" s="35" t="s">
        <v>593</v>
      </c>
      <c r="O139" s="39"/>
      <c r="Z139" s="41">
        <f>IF(AQ139="5",BJ139,0)</f>
        <v>0</v>
      </c>
      <c r="AB139" s="41">
        <f>IF(AQ139="1",BH139,0)</f>
        <v>0</v>
      </c>
      <c r="AC139" s="41">
        <f>IF(AQ139="1",BI139,0)</f>
        <v>0</v>
      </c>
      <c r="AD139" s="41">
        <f>IF(AQ139="7",BH139,0)</f>
        <v>0</v>
      </c>
      <c r="AE139" s="41">
        <f>IF(AQ139="7",BI139,0)</f>
        <v>0</v>
      </c>
      <c r="AF139" s="41">
        <f>IF(AQ139="2",BH139,0)</f>
        <v>0</v>
      </c>
      <c r="AG139" s="41">
        <f>IF(AQ139="2",BI139,0)</f>
        <v>0</v>
      </c>
      <c r="AH139" s="41">
        <f>IF(AQ139="0",BJ139,0)</f>
        <v>0</v>
      </c>
      <c r="AI139" s="31"/>
      <c r="AJ139" s="21">
        <f>IF(AN139=0,K139,0)</f>
        <v>0</v>
      </c>
      <c r="AK139" s="21">
        <f>IF(AN139=15,K139,0)</f>
        <v>0</v>
      </c>
      <c r="AL139" s="21">
        <f>IF(AN139=21,K139,0)</f>
        <v>0</v>
      </c>
      <c r="AN139" s="41">
        <v>21</v>
      </c>
      <c r="AO139" s="41">
        <f>H139*0.0503333333333333</f>
        <v>0</v>
      </c>
      <c r="AP139" s="41">
        <f>H139*(1-0.0503333333333333)</f>
        <v>0</v>
      </c>
      <c r="AQ139" s="42" t="s">
        <v>13</v>
      </c>
      <c r="AV139" s="41">
        <f>AW139+AX139</f>
        <v>0</v>
      </c>
      <c r="AW139" s="41">
        <f>G139*AO139</f>
        <v>0</v>
      </c>
      <c r="AX139" s="41">
        <f>G139*AP139</f>
        <v>0</v>
      </c>
      <c r="AY139" s="44" t="s">
        <v>487</v>
      </c>
      <c r="AZ139" s="44" t="s">
        <v>515</v>
      </c>
      <c r="BA139" s="31" t="s">
        <v>520</v>
      </c>
      <c r="BC139" s="41">
        <f>AW139+AX139</f>
        <v>0</v>
      </c>
      <c r="BD139" s="41">
        <f>H139/(100-BE139)*100</f>
        <v>0</v>
      </c>
      <c r="BE139" s="41">
        <v>0</v>
      </c>
      <c r="BF139" s="41">
        <f>M139</f>
        <v>1E-05</v>
      </c>
      <c r="BH139" s="21">
        <f>G139*AO139</f>
        <v>0</v>
      </c>
      <c r="BI139" s="21">
        <f>G139*AP139</f>
        <v>0</v>
      </c>
      <c r="BJ139" s="21">
        <f>G139*H139</f>
        <v>0</v>
      </c>
      <c r="BK139" s="21" t="s">
        <v>525</v>
      </c>
      <c r="BL139" s="41">
        <v>783</v>
      </c>
    </row>
    <row r="140" spans="1:64" ht="12.75">
      <c r="A140" s="117"/>
      <c r="B140" s="114"/>
      <c r="C140" s="114"/>
      <c r="D140" s="114"/>
      <c r="E140" s="111" t="s">
        <v>702</v>
      </c>
      <c r="F140" s="114"/>
      <c r="G140" s="118"/>
      <c r="H140" s="118"/>
      <c r="I140" s="118"/>
      <c r="J140" s="118"/>
      <c r="K140" s="118"/>
      <c r="L140" s="118"/>
      <c r="M140" s="118"/>
      <c r="N140" s="119"/>
      <c r="O140" s="39"/>
      <c r="Z140" s="41"/>
      <c r="AB140" s="41"/>
      <c r="AC140" s="41"/>
      <c r="AD140" s="41"/>
      <c r="AE140" s="41"/>
      <c r="AF140" s="41"/>
      <c r="AG140" s="41"/>
      <c r="AH140" s="41"/>
      <c r="AI140" s="31"/>
      <c r="AJ140" s="21"/>
      <c r="AK140" s="21"/>
      <c r="AL140" s="21"/>
      <c r="AN140" s="41"/>
      <c r="AO140" s="41"/>
      <c r="AP140" s="41"/>
      <c r="AQ140" s="42"/>
      <c r="AV140" s="41"/>
      <c r="AW140" s="41"/>
      <c r="AX140" s="41"/>
      <c r="AY140" s="44"/>
      <c r="AZ140" s="44"/>
      <c r="BA140" s="31"/>
      <c r="BC140" s="41"/>
      <c r="BD140" s="41"/>
      <c r="BE140" s="41"/>
      <c r="BF140" s="41"/>
      <c r="BH140" s="21"/>
      <c r="BI140" s="21"/>
      <c r="BJ140" s="21"/>
      <c r="BK140" s="21"/>
      <c r="BL140" s="41"/>
    </row>
    <row r="141" spans="1:47" ht="12.75">
      <c r="A141" s="5"/>
      <c r="B141" s="14"/>
      <c r="C141" s="14" t="s">
        <v>192</v>
      </c>
      <c r="D141" s="127" t="s">
        <v>347</v>
      </c>
      <c r="E141" s="128"/>
      <c r="F141" s="19" t="s">
        <v>6</v>
      </c>
      <c r="G141" s="19" t="s">
        <v>6</v>
      </c>
      <c r="H141" s="19" t="s">
        <v>6</v>
      </c>
      <c r="I141" s="47">
        <f>SUM(I142:I148)</f>
        <v>0</v>
      </c>
      <c r="J141" s="47">
        <f>SUM(J142:J148)</f>
        <v>0</v>
      </c>
      <c r="K141" s="47">
        <f>SUM(K142:K148)</f>
        <v>0</v>
      </c>
      <c r="L141" s="31"/>
      <c r="M141" s="47">
        <f>SUM(M142:M148)</f>
        <v>0.36486999999999997</v>
      </c>
      <c r="N141" s="36"/>
      <c r="O141" s="39"/>
      <c r="AI141" s="31"/>
      <c r="AS141" s="47">
        <f>SUM(AJ142:AJ148)</f>
        <v>0</v>
      </c>
      <c r="AT141" s="47">
        <f>SUM(AK142:AK148)</f>
        <v>0</v>
      </c>
      <c r="AU141" s="47">
        <f>SUM(AL142:AL148)</f>
        <v>0</v>
      </c>
    </row>
    <row r="142" spans="1:64" ht="12.75">
      <c r="A142" s="4" t="s">
        <v>65</v>
      </c>
      <c r="B142" s="13"/>
      <c r="C142" s="13" t="s">
        <v>193</v>
      </c>
      <c r="D142" s="125" t="s">
        <v>629</v>
      </c>
      <c r="E142" s="126"/>
      <c r="F142" s="13" t="s">
        <v>426</v>
      </c>
      <c r="G142" s="21">
        <v>1658.5</v>
      </c>
      <c r="H142" s="21">
        <v>0</v>
      </c>
      <c r="I142" s="21">
        <f>G142*AO142</f>
        <v>0</v>
      </c>
      <c r="J142" s="21">
        <f>G142*AP142</f>
        <v>0</v>
      </c>
      <c r="K142" s="21">
        <f>G142*H142</f>
        <v>0</v>
      </c>
      <c r="L142" s="21">
        <v>0</v>
      </c>
      <c r="M142" s="21">
        <f>G142*L142</f>
        <v>0</v>
      </c>
      <c r="N142" s="35" t="s">
        <v>452</v>
      </c>
      <c r="O142" s="39"/>
      <c r="Z142" s="41">
        <f>IF(AQ142="5",BJ142,0)</f>
        <v>0</v>
      </c>
      <c r="AB142" s="41">
        <f>IF(AQ142="1",BH142,0)</f>
        <v>0</v>
      </c>
      <c r="AC142" s="41">
        <f>IF(AQ142="1",BI142,0)</f>
        <v>0</v>
      </c>
      <c r="AD142" s="41">
        <f>IF(AQ142="7",BH142,0)</f>
        <v>0</v>
      </c>
      <c r="AE142" s="41">
        <f>IF(AQ142="7",BI142,0)</f>
        <v>0</v>
      </c>
      <c r="AF142" s="41">
        <f>IF(AQ142="2",BH142,0)</f>
        <v>0</v>
      </c>
      <c r="AG142" s="41">
        <f>IF(AQ142="2",BI142,0)</f>
        <v>0</v>
      </c>
      <c r="AH142" s="41">
        <f>IF(AQ142="0",BJ142,0)</f>
        <v>0</v>
      </c>
      <c r="AI142" s="31"/>
      <c r="AJ142" s="21">
        <f>IF(AN142=0,K142,0)</f>
        <v>0</v>
      </c>
      <c r="AK142" s="21">
        <f>IF(AN142=15,K142,0)</f>
        <v>0</v>
      </c>
      <c r="AL142" s="21">
        <f>IF(AN142=21,K142,0)</f>
        <v>0</v>
      </c>
      <c r="AN142" s="41">
        <v>21</v>
      </c>
      <c r="AO142" s="41">
        <f>H142*0.00926783800366802</f>
        <v>0</v>
      </c>
      <c r="AP142" s="41">
        <f>H142*(1-0.00926783800366802)</f>
        <v>0</v>
      </c>
      <c r="AQ142" s="42" t="s">
        <v>13</v>
      </c>
      <c r="AV142" s="41">
        <f>AW142+AX142</f>
        <v>0</v>
      </c>
      <c r="AW142" s="41">
        <f>G142*AO142</f>
        <v>0</v>
      </c>
      <c r="AX142" s="41">
        <f>G142*AP142</f>
        <v>0</v>
      </c>
      <c r="AY142" s="44" t="s">
        <v>488</v>
      </c>
      <c r="AZ142" s="44" t="s">
        <v>515</v>
      </c>
      <c r="BA142" s="31" t="s">
        <v>520</v>
      </c>
      <c r="BC142" s="41">
        <f>AW142+AX142</f>
        <v>0</v>
      </c>
      <c r="BD142" s="41">
        <f>H142/(100-BE142)*100</f>
        <v>0</v>
      </c>
      <c r="BE142" s="41">
        <v>0</v>
      </c>
      <c r="BF142" s="41">
        <f>M142</f>
        <v>0</v>
      </c>
      <c r="BH142" s="21">
        <f>G142*AO142</f>
        <v>0</v>
      </c>
      <c r="BI142" s="21">
        <f>G142*AP142</f>
        <v>0</v>
      </c>
      <c r="BJ142" s="21">
        <f>G142*H142</f>
        <v>0</v>
      </c>
      <c r="BK142" s="21" t="s">
        <v>525</v>
      </c>
      <c r="BL142" s="41">
        <v>784</v>
      </c>
    </row>
    <row r="143" spans="1:64" ht="12.75">
      <c r="A143" s="4" t="s">
        <v>66</v>
      </c>
      <c r="B143" s="13"/>
      <c r="C143" s="13" t="s">
        <v>194</v>
      </c>
      <c r="D143" s="125" t="s">
        <v>630</v>
      </c>
      <c r="E143" s="126"/>
      <c r="F143" s="13" t="s">
        <v>426</v>
      </c>
      <c r="G143" s="21">
        <v>1658.5</v>
      </c>
      <c r="H143" s="21">
        <v>0</v>
      </c>
      <c r="I143" s="21">
        <f>G143*AO143</f>
        <v>0</v>
      </c>
      <c r="J143" s="21">
        <f>G143*AP143</f>
        <v>0</v>
      </c>
      <c r="K143" s="21">
        <f>G143*H143</f>
        <v>0</v>
      </c>
      <c r="L143" s="21">
        <v>0.00015</v>
      </c>
      <c r="M143" s="21">
        <f>G143*L143</f>
        <v>0.24877499999999997</v>
      </c>
      <c r="N143" s="35" t="s">
        <v>452</v>
      </c>
      <c r="O143" s="39"/>
      <c r="Z143" s="41">
        <f>IF(AQ143="5",BJ143,0)</f>
        <v>0</v>
      </c>
      <c r="AB143" s="41">
        <f>IF(AQ143="1",BH143,0)</f>
        <v>0</v>
      </c>
      <c r="AC143" s="41">
        <f>IF(AQ143="1",BI143,0)</f>
        <v>0</v>
      </c>
      <c r="AD143" s="41">
        <f>IF(AQ143="7",BH143,0)</f>
        <v>0</v>
      </c>
      <c r="AE143" s="41">
        <f>IF(AQ143="7",BI143,0)</f>
        <v>0</v>
      </c>
      <c r="AF143" s="41">
        <f>IF(AQ143="2",BH143,0)</f>
        <v>0</v>
      </c>
      <c r="AG143" s="41">
        <f>IF(AQ143="2",BI143,0)</f>
        <v>0</v>
      </c>
      <c r="AH143" s="41">
        <f>IF(AQ143="0",BJ143,0)</f>
        <v>0</v>
      </c>
      <c r="AI143" s="31"/>
      <c r="AJ143" s="21">
        <f>IF(AN143=0,K143,0)</f>
        <v>0</v>
      </c>
      <c r="AK143" s="21">
        <f>IF(AN143=15,K143,0)</f>
        <v>0</v>
      </c>
      <c r="AL143" s="21">
        <f>IF(AN143=21,K143,0)</f>
        <v>0</v>
      </c>
      <c r="AN143" s="41">
        <v>21</v>
      </c>
      <c r="AO143" s="41">
        <f>H143*0.0966438184614459</f>
        <v>0</v>
      </c>
      <c r="AP143" s="41">
        <f>H143*(1-0.0966438184614459)</f>
        <v>0</v>
      </c>
      <c r="AQ143" s="42" t="s">
        <v>13</v>
      </c>
      <c r="AV143" s="41">
        <f>AW143+AX143</f>
        <v>0</v>
      </c>
      <c r="AW143" s="41">
        <f>G143*AO143</f>
        <v>0</v>
      </c>
      <c r="AX143" s="41">
        <f>G143*AP143</f>
        <v>0</v>
      </c>
      <c r="AY143" s="44" t="s">
        <v>488</v>
      </c>
      <c r="AZ143" s="44" t="s">
        <v>515</v>
      </c>
      <c r="BA143" s="31" t="s">
        <v>520</v>
      </c>
      <c r="BC143" s="41">
        <f>AW143+AX143</f>
        <v>0</v>
      </c>
      <c r="BD143" s="41">
        <f>H143/(100-BE143)*100</f>
        <v>0</v>
      </c>
      <c r="BE143" s="41">
        <v>0</v>
      </c>
      <c r="BF143" s="41">
        <f>M143</f>
        <v>0.24877499999999997</v>
      </c>
      <c r="BH143" s="21">
        <f>G143*AO143</f>
        <v>0</v>
      </c>
      <c r="BI143" s="21">
        <f>G143*AP143</f>
        <v>0</v>
      </c>
      <c r="BJ143" s="21">
        <f>G143*H143</f>
        <v>0</v>
      </c>
      <c r="BK143" s="21" t="s">
        <v>525</v>
      </c>
      <c r="BL143" s="41">
        <v>784</v>
      </c>
    </row>
    <row r="144" spans="1:64" ht="12.75">
      <c r="A144" s="117"/>
      <c r="B144" s="114"/>
      <c r="C144" s="114"/>
      <c r="D144" s="114"/>
      <c r="E144" s="111" t="s">
        <v>688</v>
      </c>
      <c r="F144" s="114"/>
      <c r="G144" s="118"/>
      <c r="H144" s="118"/>
      <c r="I144" s="118"/>
      <c r="J144" s="118"/>
      <c r="K144" s="118"/>
      <c r="L144" s="118"/>
      <c r="M144" s="118"/>
      <c r="N144" s="119"/>
      <c r="O144" s="39"/>
      <c r="Z144" s="41"/>
      <c r="AB144" s="41"/>
      <c r="AC144" s="41"/>
      <c r="AD144" s="41"/>
      <c r="AE144" s="41"/>
      <c r="AF144" s="41"/>
      <c r="AG144" s="41"/>
      <c r="AH144" s="41"/>
      <c r="AI144" s="31"/>
      <c r="AJ144" s="21"/>
      <c r="AK144" s="21"/>
      <c r="AL144" s="21"/>
      <c r="AN144" s="41"/>
      <c r="AO144" s="41"/>
      <c r="AP144" s="41"/>
      <c r="AQ144" s="42"/>
      <c r="AV144" s="41"/>
      <c r="AW144" s="41"/>
      <c r="AX144" s="41"/>
      <c r="AY144" s="44"/>
      <c r="AZ144" s="44"/>
      <c r="BA144" s="31"/>
      <c r="BC144" s="41"/>
      <c r="BD144" s="41"/>
      <c r="BE144" s="41"/>
      <c r="BF144" s="41"/>
      <c r="BH144" s="21"/>
      <c r="BI144" s="21"/>
      <c r="BJ144" s="21"/>
      <c r="BK144" s="21"/>
      <c r="BL144" s="41"/>
    </row>
    <row r="145" spans="1:64" ht="12.75">
      <c r="A145" s="117"/>
      <c r="B145" s="114"/>
      <c r="C145" s="114"/>
      <c r="D145" s="114"/>
      <c r="E145" s="111" t="s">
        <v>703</v>
      </c>
      <c r="F145" s="114"/>
      <c r="G145" s="118"/>
      <c r="H145" s="118"/>
      <c r="I145" s="118"/>
      <c r="J145" s="118"/>
      <c r="K145" s="118"/>
      <c r="L145" s="118"/>
      <c r="M145" s="118"/>
      <c r="N145" s="119"/>
      <c r="O145" s="39"/>
      <c r="Z145" s="41"/>
      <c r="AB145" s="41"/>
      <c r="AC145" s="41"/>
      <c r="AD145" s="41"/>
      <c r="AE145" s="41"/>
      <c r="AF145" s="41"/>
      <c r="AG145" s="41"/>
      <c r="AH145" s="41"/>
      <c r="AI145" s="31"/>
      <c r="AJ145" s="21"/>
      <c r="AK145" s="21"/>
      <c r="AL145" s="21"/>
      <c r="AN145" s="41"/>
      <c r="AO145" s="41"/>
      <c r="AP145" s="41"/>
      <c r="AQ145" s="42"/>
      <c r="AV145" s="41"/>
      <c r="AW145" s="41"/>
      <c r="AX145" s="41"/>
      <c r="AY145" s="44"/>
      <c r="AZ145" s="44"/>
      <c r="BA145" s="31"/>
      <c r="BC145" s="41"/>
      <c r="BD145" s="41"/>
      <c r="BE145" s="41"/>
      <c r="BF145" s="41"/>
      <c r="BH145" s="21"/>
      <c r="BI145" s="21"/>
      <c r="BJ145" s="21"/>
      <c r="BK145" s="21"/>
      <c r="BL145" s="41"/>
    </row>
    <row r="146" spans="1:64" ht="12.75">
      <c r="A146" s="117"/>
      <c r="B146" s="114"/>
      <c r="C146" s="114"/>
      <c r="D146" s="114"/>
      <c r="E146" s="111" t="s">
        <v>704</v>
      </c>
      <c r="F146" s="114"/>
      <c r="G146" s="118"/>
      <c r="H146" s="118"/>
      <c r="I146" s="118"/>
      <c r="J146" s="118"/>
      <c r="K146" s="118"/>
      <c r="L146" s="118"/>
      <c r="M146" s="118"/>
      <c r="N146" s="119"/>
      <c r="O146" s="39"/>
      <c r="Z146" s="41"/>
      <c r="AB146" s="41"/>
      <c r="AC146" s="41"/>
      <c r="AD146" s="41"/>
      <c r="AE146" s="41"/>
      <c r="AF146" s="41"/>
      <c r="AG146" s="41"/>
      <c r="AH146" s="41"/>
      <c r="AI146" s="31"/>
      <c r="AJ146" s="21"/>
      <c r="AK146" s="21"/>
      <c r="AL146" s="21"/>
      <c r="AN146" s="41"/>
      <c r="AO146" s="41"/>
      <c r="AP146" s="41"/>
      <c r="AQ146" s="42"/>
      <c r="AV146" s="41"/>
      <c r="AW146" s="41"/>
      <c r="AX146" s="41"/>
      <c r="AY146" s="44"/>
      <c r="AZ146" s="44"/>
      <c r="BA146" s="31"/>
      <c r="BC146" s="41"/>
      <c r="BD146" s="41"/>
      <c r="BE146" s="41"/>
      <c r="BF146" s="41"/>
      <c r="BH146" s="21"/>
      <c r="BI146" s="21"/>
      <c r="BJ146" s="21"/>
      <c r="BK146" s="21"/>
      <c r="BL146" s="41"/>
    </row>
    <row r="147" spans="1:64" ht="12.75">
      <c r="A147" s="117"/>
      <c r="B147" s="114"/>
      <c r="C147" s="114"/>
      <c r="D147" s="114"/>
      <c r="E147" s="111" t="s">
        <v>705</v>
      </c>
      <c r="F147" s="114"/>
      <c r="G147" s="118"/>
      <c r="H147" s="118"/>
      <c r="I147" s="118"/>
      <c r="J147" s="118"/>
      <c r="K147" s="118"/>
      <c r="L147" s="118"/>
      <c r="M147" s="118"/>
      <c r="N147" s="119"/>
      <c r="O147" s="39"/>
      <c r="Z147" s="41"/>
      <c r="AB147" s="41"/>
      <c r="AC147" s="41"/>
      <c r="AD147" s="41"/>
      <c r="AE147" s="41"/>
      <c r="AF147" s="41"/>
      <c r="AG147" s="41"/>
      <c r="AH147" s="41"/>
      <c r="AI147" s="31"/>
      <c r="AJ147" s="21"/>
      <c r="AK147" s="21"/>
      <c r="AL147" s="21"/>
      <c r="AN147" s="41"/>
      <c r="AO147" s="41"/>
      <c r="AP147" s="41"/>
      <c r="AQ147" s="42"/>
      <c r="AV147" s="41"/>
      <c r="AW147" s="41"/>
      <c r="AX147" s="41"/>
      <c r="AY147" s="44"/>
      <c r="AZ147" s="44"/>
      <c r="BA147" s="31"/>
      <c r="BC147" s="41"/>
      <c r="BD147" s="41"/>
      <c r="BE147" s="41"/>
      <c r="BF147" s="41"/>
      <c r="BH147" s="21"/>
      <c r="BI147" s="21"/>
      <c r="BJ147" s="21"/>
      <c r="BK147" s="21"/>
      <c r="BL147" s="41"/>
    </row>
    <row r="148" spans="1:64" ht="12.75">
      <c r="A148" s="4" t="s">
        <v>67</v>
      </c>
      <c r="B148" s="13"/>
      <c r="C148" s="13" t="s">
        <v>195</v>
      </c>
      <c r="D148" s="125" t="s">
        <v>631</v>
      </c>
      <c r="E148" s="126"/>
      <c r="F148" s="13" t="s">
        <v>426</v>
      </c>
      <c r="G148" s="21">
        <v>1658.5</v>
      </c>
      <c r="H148" s="21">
        <v>0</v>
      </c>
      <c r="I148" s="21">
        <f>G148*AO148</f>
        <v>0</v>
      </c>
      <c r="J148" s="21">
        <f>G148*AP148</f>
        <v>0</v>
      </c>
      <c r="K148" s="21">
        <f>G148*H148</f>
        <v>0</v>
      </c>
      <c r="L148" s="21">
        <v>7E-05</v>
      </c>
      <c r="M148" s="21">
        <f>G148*L148</f>
        <v>0.11609499999999999</v>
      </c>
      <c r="N148" s="35" t="s">
        <v>452</v>
      </c>
      <c r="O148" s="39"/>
      <c r="Z148" s="41">
        <f>IF(AQ148="5",BJ148,0)</f>
        <v>0</v>
      </c>
      <c r="AB148" s="41">
        <f>IF(AQ148="1",BH148,0)</f>
        <v>0</v>
      </c>
      <c r="AC148" s="41">
        <f>IF(AQ148="1",BI148,0)</f>
        <v>0</v>
      </c>
      <c r="AD148" s="41">
        <f>IF(AQ148="7",BH148,0)</f>
        <v>0</v>
      </c>
      <c r="AE148" s="41">
        <f>IF(AQ148="7",BI148,0)</f>
        <v>0</v>
      </c>
      <c r="AF148" s="41">
        <f>IF(AQ148="2",BH148,0)</f>
        <v>0</v>
      </c>
      <c r="AG148" s="41">
        <f>IF(AQ148="2",BI148,0)</f>
        <v>0</v>
      </c>
      <c r="AH148" s="41">
        <f>IF(AQ148="0",BJ148,0)</f>
        <v>0</v>
      </c>
      <c r="AI148" s="31"/>
      <c r="AJ148" s="21">
        <f>IF(AN148=0,K148,0)</f>
        <v>0</v>
      </c>
      <c r="AK148" s="21">
        <f>IF(AN148=15,K148,0)</f>
        <v>0</v>
      </c>
      <c r="AL148" s="21">
        <f>IF(AN148=21,K148,0)</f>
        <v>0</v>
      </c>
      <c r="AN148" s="41">
        <v>21</v>
      </c>
      <c r="AO148" s="41">
        <f>H148*0.279824561403509</f>
        <v>0</v>
      </c>
      <c r="AP148" s="41">
        <f>H148*(1-0.279824561403509)</f>
        <v>0</v>
      </c>
      <c r="AQ148" s="42" t="s">
        <v>13</v>
      </c>
      <c r="AV148" s="41">
        <f>AW148+AX148</f>
        <v>0</v>
      </c>
      <c r="AW148" s="41">
        <f>G148*AO148</f>
        <v>0</v>
      </c>
      <c r="AX148" s="41">
        <f>G148*AP148</f>
        <v>0</v>
      </c>
      <c r="AY148" s="44" t="s">
        <v>488</v>
      </c>
      <c r="AZ148" s="44" t="s">
        <v>515</v>
      </c>
      <c r="BA148" s="31" t="s">
        <v>520</v>
      </c>
      <c r="BC148" s="41">
        <f>AW148+AX148</f>
        <v>0</v>
      </c>
      <c r="BD148" s="41">
        <f>H148/(100-BE148)*100</f>
        <v>0</v>
      </c>
      <c r="BE148" s="41">
        <v>0</v>
      </c>
      <c r="BF148" s="41">
        <f>M148</f>
        <v>0.11609499999999999</v>
      </c>
      <c r="BH148" s="21">
        <f>G148*AO148</f>
        <v>0</v>
      </c>
      <c r="BI148" s="21">
        <f>G148*AP148</f>
        <v>0</v>
      </c>
      <c r="BJ148" s="21">
        <f>G148*H148</f>
        <v>0</v>
      </c>
      <c r="BK148" s="21" t="s">
        <v>525</v>
      </c>
      <c r="BL148" s="41">
        <v>784</v>
      </c>
    </row>
    <row r="149" spans="1:64" ht="12.75">
      <c r="A149" s="117"/>
      <c r="B149" s="114"/>
      <c r="C149" s="114"/>
      <c r="D149" s="114"/>
      <c r="E149" s="111" t="s">
        <v>688</v>
      </c>
      <c r="F149" s="114"/>
      <c r="G149" s="118"/>
      <c r="H149" s="118"/>
      <c r="I149" s="118"/>
      <c r="J149" s="118"/>
      <c r="K149" s="118"/>
      <c r="L149" s="118"/>
      <c r="M149" s="118"/>
      <c r="N149" s="119"/>
      <c r="O149" s="39"/>
      <c r="Z149" s="41"/>
      <c r="AB149" s="41"/>
      <c r="AC149" s="41"/>
      <c r="AD149" s="41"/>
      <c r="AE149" s="41"/>
      <c r="AF149" s="41"/>
      <c r="AG149" s="41"/>
      <c r="AH149" s="41"/>
      <c r="AI149" s="31"/>
      <c r="AJ149" s="21"/>
      <c r="AK149" s="21"/>
      <c r="AL149" s="21"/>
      <c r="AN149" s="41"/>
      <c r="AO149" s="41"/>
      <c r="AP149" s="41"/>
      <c r="AQ149" s="42"/>
      <c r="AV149" s="41"/>
      <c r="AW149" s="41"/>
      <c r="AX149" s="41"/>
      <c r="AY149" s="44"/>
      <c r="AZ149" s="44"/>
      <c r="BA149" s="31"/>
      <c r="BC149" s="41"/>
      <c r="BD149" s="41"/>
      <c r="BE149" s="41"/>
      <c r="BF149" s="41"/>
      <c r="BH149" s="21"/>
      <c r="BI149" s="21"/>
      <c r="BJ149" s="21"/>
      <c r="BK149" s="21"/>
      <c r="BL149" s="41"/>
    </row>
    <row r="150" spans="1:64" ht="12.75">
      <c r="A150" s="117"/>
      <c r="B150" s="114"/>
      <c r="C150" s="114"/>
      <c r="D150" s="114"/>
      <c r="E150" s="111" t="s">
        <v>703</v>
      </c>
      <c r="F150" s="114"/>
      <c r="G150" s="118"/>
      <c r="H150" s="118"/>
      <c r="I150" s="118"/>
      <c r="J150" s="118"/>
      <c r="K150" s="118"/>
      <c r="L150" s="118"/>
      <c r="M150" s="118"/>
      <c r="N150" s="119"/>
      <c r="O150" s="39"/>
      <c r="Z150" s="41"/>
      <c r="AB150" s="41"/>
      <c r="AC150" s="41"/>
      <c r="AD150" s="41"/>
      <c r="AE150" s="41"/>
      <c r="AF150" s="41"/>
      <c r="AG150" s="41"/>
      <c r="AH150" s="41"/>
      <c r="AI150" s="31"/>
      <c r="AJ150" s="21"/>
      <c r="AK150" s="21"/>
      <c r="AL150" s="21"/>
      <c r="AN150" s="41"/>
      <c r="AO150" s="41"/>
      <c r="AP150" s="41"/>
      <c r="AQ150" s="42"/>
      <c r="AV150" s="41"/>
      <c r="AW150" s="41"/>
      <c r="AX150" s="41"/>
      <c r="AY150" s="44"/>
      <c r="AZ150" s="44"/>
      <c r="BA150" s="31"/>
      <c r="BC150" s="41"/>
      <c r="BD150" s="41"/>
      <c r="BE150" s="41"/>
      <c r="BF150" s="41"/>
      <c r="BH150" s="21"/>
      <c r="BI150" s="21"/>
      <c r="BJ150" s="21"/>
      <c r="BK150" s="21"/>
      <c r="BL150" s="41"/>
    </row>
    <row r="151" spans="1:64" ht="12.75">
      <c r="A151" s="117"/>
      <c r="B151" s="114"/>
      <c r="C151" s="114"/>
      <c r="D151" s="114"/>
      <c r="E151" s="111" t="s">
        <v>704</v>
      </c>
      <c r="F151" s="114"/>
      <c r="G151" s="118"/>
      <c r="H151" s="118"/>
      <c r="I151" s="118"/>
      <c r="J151" s="118"/>
      <c r="K151" s="118"/>
      <c r="L151" s="118"/>
      <c r="M151" s="118"/>
      <c r="N151" s="119"/>
      <c r="O151" s="39"/>
      <c r="Z151" s="41"/>
      <c r="AB151" s="41"/>
      <c r="AC151" s="41"/>
      <c r="AD151" s="41"/>
      <c r="AE151" s="41"/>
      <c r="AF151" s="41"/>
      <c r="AG151" s="41"/>
      <c r="AH151" s="41"/>
      <c r="AI151" s="31"/>
      <c r="AJ151" s="21"/>
      <c r="AK151" s="21"/>
      <c r="AL151" s="21"/>
      <c r="AN151" s="41"/>
      <c r="AO151" s="41"/>
      <c r="AP151" s="41"/>
      <c r="AQ151" s="42"/>
      <c r="AV151" s="41"/>
      <c r="AW151" s="41"/>
      <c r="AX151" s="41"/>
      <c r="AY151" s="44"/>
      <c r="AZ151" s="44"/>
      <c r="BA151" s="31"/>
      <c r="BC151" s="41"/>
      <c r="BD151" s="41"/>
      <c r="BE151" s="41"/>
      <c r="BF151" s="41"/>
      <c r="BH151" s="21"/>
      <c r="BI151" s="21"/>
      <c r="BJ151" s="21"/>
      <c r="BK151" s="21"/>
      <c r="BL151" s="41"/>
    </row>
    <row r="152" spans="1:64" ht="12.75">
      <c r="A152" s="117"/>
      <c r="B152" s="114"/>
      <c r="C152" s="114"/>
      <c r="D152" s="114"/>
      <c r="E152" s="111" t="s">
        <v>705</v>
      </c>
      <c r="F152" s="114"/>
      <c r="G152" s="118"/>
      <c r="H152" s="118"/>
      <c r="I152" s="118"/>
      <c r="J152" s="118"/>
      <c r="K152" s="118"/>
      <c r="L152" s="118"/>
      <c r="M152" s="118"/>
      <c r="N152" s="119"/>
      <c r="O152" s="39"/>
      <c r="Z152" s="41"/>
      <c r="AB152" s="41"/>
      <c r="AC152" s="41"/>
      <c r="AD152" s="41"/>
      <c r="AE152" s="41"/>
      <c r="AF152" s="41"/>
      <c r="AG152" s="41"/>
      <c r="AH152" s="41"/>
      <c r="AI152" s="31"/>
      <c r="AJ152" s="21"/>
      <c r="AK152" s="21"/>
      <c r="AL152" s="21"/>
      <c r="AN152" s="41"/>
      <c r="AO152" s="41"/>
      <c r="AP152" s="41"/>
      <c r="AQ152" s="42"/>
      <c r="AV152" s="41"/>
      <c r="AW152" s="41"/>
      <c r="AX152" s="41"/>
      <c r="AY152" s="44"/>
      <c r="AZ152" s="44"/>
      <c r="BA152" s="31"/>
      <c r="BC152" s="41"/>
      <c r="BD152" s="41"/>
      <c r="BE152" s="41"/>
      <c r="BF152" s="41"/>
      <c r="BH152" s="21"/>
      <c r="BI152" s="21"/>
      <c r="BJ152" s="21"/>
      <c r="BK152" s="21"/>
      <c r="BL152" s="41"/>
    </row>
    <row r="153" spans="1:47" ht="12.75">
      <c r="A153" s="5"/>
      <c r="B153" s="14"/>
      <c r="C153" s="14" t="s">
        <v>89</v>
      </c>
      <c r="D153" s="127" t="s">
        <v>351</v>
      </c>
      <c r="E153" s="128"/>
      <c r="F153" s="19" t="s">
        <v>6</v>
      </c>
      <c r="G153" s="19" t="s">
        <v>6</v>
      </c>
      <c r="H153" s="19" t="s">
        <v>6</v>
      </c>
      <c r="I153" s="47">
        <f>SUM(I154:I156)</f>
        <v>0</v>
      </c>
      <c r="J153" s="47">
        <f>SUM(J154:J156)</f>
        <v>0</v>
      </c>
      <c r="K153" s="47">
        <f>SUM(K154:K156)</f>
        <v>0</v>
      </c>
      <c r="L153" s="31"/>
      <c r="M153" s="47">
        <f>SUM(M154:M156)</f>
        <v>187.90996330000002</v>
      </c>
      <c r="N153" s="36"/>
      <c r="O153" s="39"/>
      <c r="AI153" s="31"/>
      <c r="AS153" s="47">
        <f>SUM(AJ154:AJ156)</f>
        <v>0</v>
      </c>
      <c r="AT153" s="47">
        <f>SUM(AK154:AK156)</f>
        <v>0</v>
      </c>
      <c r="AU153" s="47">
        <f>SUM(AL154:AL156)</f>
        <v>0</v>
      </c>
    </row>
    <row r="154" spans="1:64" ht="12.75">
      <c r="A154" s="4" t="s">
        <v>68</v>
      </c>
      <c r="B154" s="13"/>
      <c r="C154" s="13" t="s">
        <v>196</v>
      </c>
      <c r="D154" s="125" t="s">
        <v>352</v>
      </c>
      <c r="E154" s="126"/>
      <c r="F154" s="13" t="s">
        <v>428</v>
      </c>
      <c r="G154" s="21">
        <v>84.59</v>
      </c>
      <c r="H154" s="21">
        <v>0</v>
      </c>
      <c r="I154" s="21">
        <f>G154*AO154</f>
        <v>0</v>
      </c>
      <c r="J154" s="21">
        <f>G154*AP154</f>
        <v>0</v>
      </c>
      <c r="K154" s="21">
        <f>G154*H154</f>
        <v>0</v>
      </c>
      <c r="L154" s="21">
        <v>0.96863</v>
      </c>
      <c r="M154" s="21">
        <f>G154*L154</f>
        <v>81.93641170000001</v>
      </c>
      <c r="N154" s="35" t="s">
        <v>452</v>
      </c>
      <c r="O154" s="39"/>
      <c r="Z154" s="41">
        <f>IF(AQ154="5",BJ154,0)</f>
        <v>0</v>
      </c>
      <c r="AB154" s="41">
        <f>IF(AQ154="1",BH154,0)</f>
        <v>0</v>
      </c>
      <c r="AC154" s="41">
        <f>IF(AQ154="1",BI154,0)</f>
        <v>0</v>
      </c>
      <c r="AD154" s="41">
        <f>IF(AQ154="7",BH154,0)</f>
        <v>0</v>
      </c>
      <c r="AE154" s="41">
        <f>IF(AQ154="7",BI154,0)</f>
        <v>0</v>
      </c>
      <c r="AF154" s="41">
        <f>IF(AQ154="2",BH154,0)</f>
        <v>0</v>
      </c>
      <c r="AG154" s="41">
        <f>IF(AQ154="2",BI154,0)</f>
        <v>0</v>
      </c>
      <c r="AH154" s="41">
        <f>IF(AQ154="0",BJ154,0)</f>
        <v>0</v>
      </c>
      <c r="AI154" s="31"/>
      <c r="AJ154" s="21">
        <f>IF(AN154=0,K154,0)</f>
        <v>0</v>
      </c>
      <c r="AK154" s="21">
        <f>IF(AN154=15,K154,0)</f>
        <v>0</v>
      </c>
      <c r="AL154" s="21">
        <f>IF(AN154=21,K154,0)</f>
        <v>0</v>
      </c>
      <c r="AN154" s="41">
        <v>21</v>
      </c>
      <c r="AO154" s="41">
        <f>H154*0.351532176361589</f>
        <v>0</v>
      </c>
      <c r="AP154" s="41">
        <f>H154*(1-0.351532176361589)</f>
        <v>0</v>
      </c>
      <c r="AQ154" s="42" t="s">
        <v>7</v>
      </c>
      <c r="AV154" s="41">
        <f>AW154+AX154</f>
        <v>0</v>
      </c>
      <c r="AW154" s="41">
        <f>G154*AO154</f>
        <v>0</v>
      </c>
      <c r="AX154" s="41">
        <f>G154*AP154</f>
        <v>0</v>
      </c>
      <c r="AY154" s="44" t="s">
        <v>489</v>
      </c>
      <c r="AZ154" s="44" t="s">
        <v>516</v>
      </c>
      <c r="BA154" s="31" t="s">
        <v>520</v>
      </c>
      <c r="BC154" s="41">
        <f>AW154+AX154</f>
        <v>0</v>
      </c>
      <c r="BD154" s="41">
        <f>H154/(100-BE154)*100</f>
        <v>0</v>
      </c>
      <c r="BE154" s="41">
        <v>0</v>
      </c>
      <c r="BF154" s="41">
        <f>M154</f>
        <v>81.93641170000001</v>
      </c>
      <c r="BH154" s="21">
        <f>G154*AO154</f>
        <v>0</v>
      </c>
      <c r="BI154" s="21">
        <f>G154*AP154</f>
        <v>0</v>
      </c>
      <c r="BJ154" s="21">
        <f>G154*H154</f>
        <v>0</v>
      </c>
      <c r="BK154" s="21" t="s">
        <v>525</v>
      </c>
      <c r="BL154" s="41">
        <v>83</v>
      </c>
    </row>
    <row r="155" spans="1:64" ht="12.75">
      <c r="A155" s="117"/>
      <c r="B155" s="114"/>
      <c r="C155" s="114"/>
      <c r="D155" s="114"/>
      <c r="E155" s="111" t="s">
        <v>706</v>
      </c>
      <c r="F155" s="114"/>
      <c r="G155" s="118"/>
      <c r="H155" s="118"/>
      <c r="I155" s="118"/>
      <c r="J155" s="118"/>
      <c r="K155" s="118"/>
      <c r="L155" s="118"/>
      <c r="M155" s="118"/>
      <c r="N155" s="119"/>
      <c r="O155" s="39"/>
      <c r="Z155" s="41"/>
      <c r="AB155" s="41"/>
      <c r="AC155" s="41"/>
      <c r="AD155" s="41"/>
      <c r="AE155" s="41"/>
      <c r="AF155" s="41"/>
      <c r="AG155" s="41"/>
      <c r="AH155" s="41"/>
      <c r="AI155" s="31"/>
      <c r="AJ155" s="21"/>
      <c r="AK155" s="21"/>
      <c r="AL155" s="21"/>
      <c r="AN155" s="41"/>
      <c r="AO155" s="41"/>
      <c r="AP155" s="41"/>
      <c r="AQ155" s="42"/>
      <c r="AV155" s="41"/>
      <c r="AW155" s="41"/>
      <c r="AX155" s="41"/>
      <c r="AY155" s="44"/>
      <c r="AZ155" s="44"/>
      <c r="BA155" s="31"/>
      <c r="BC155" s="41"/>
      <c r="BD155" s="41"/>
      <c r="BE155" s="41"/>
      <c r="BF155" s="41"/>
      <c r="BH155" s="21"/>
      <c r="BI155" s="21"/>
      <c r="BJ155" s="21"/>
      <c r="BK155" s="21"/>
      <c r="BL155" s="41"/>
    </row>
    <row r="156" spans="1:64" ht="12.75">
      <c r="A156" s="4" t="s">
        <v>69</v>
      </c>
      <c r="B156" s="13"/>
      <c r="C156" s="13" t="s">
        <v>197</v>
      </c>
      <c r="D156" s="125" t="s">
        <v>353</v>
      </c>
      <c r="E156" s="126"/>
      <c r="F156" s="13" t="s">
        <v>428</v>
      </c>
      <c r="G156" s="21">
        <v>116.58</v>
      </c>
      <c r="H156" s="21">
        <v>0</v>
      </c>
      <c r="I156" s="21">
        <f>G156*AO156</f>
        <v>0</v>
      </c>
      <c r="J156" s="21">
        <f>G156*AP156</f>
        <v>0</v>
      </c>
      <c r="K156" s="21">
        <f>G156*H156</f>
        <v>0</v>
      </c>
      <c r="L156" s="21">
        <v>0.90902</v>
      </c>
      <c r="M156" s="21">
        <f>G156*L156</f>
        <v>105.97355160000001</v>
      </c>
      <c r="N156" s="35" t="s">
        <v>452</v>
      </c>
      <c r="O156" s="39"/>
      <c r="Z156" s="41">
        <f>IF(AQ156="5",BJ156,0)</f>
        <v>0</v>
      </c>
      <c r="AB156" s="41">
        <f>IF(AQ156="1",BH156,0)</f>
        <v>0</v>
      </c>
      <c r="AC156" s="41">
        <f>IF(AQ156="1",BI156,0)</f>
        <v>0</v>
      </c>
      <c r="AD156" s="41">
        <f>IF(AQ156="7",BH156,0)</f>
        <v>0</v>
      </c>
      <c r="AE156" s="41">
        <f>IF(AQ156="7",BI156,0)</f>
        <v>0</v>
      </c>
      <c r="AF156" s="41">
        <f>IF(AQ156="2",BH156,0)</f>
        <v>0</v>
      </c>
      <c r="AG156" s="41">
        <f>IF(AQ156="2",BI156,0)</f>
        <v>0</v>
      </c>
      <c r="AH156" s="41">
        <f>IF(AQ156="0",BJ156,0)</f>
        <v>0</v>
      </c>
      <c r="AI156" s="31"/>
      <c r="AJ156" s="21">
        <f>IF(AN156=0,K156,0)</f>
        <v>0</v>
      </c>
      <c r="AK156" s="21">
        <f>IF(AN156=15,K156,0)</f>
        <v>0</v>
      </c>
      <c r="AL156" s="21">
        <f>IF(AN156=21,K156,0)</f>
        <v>0</v>
      </c>
      <c r="AN156" s="41">
        <v>21</v>
      </c>
      <c r="AO156" s="41">
        <f>H156*0.306667557508716</f>
        <v>0</v>
      </c>
      <c r="AP156" s="41">
        <f>H156*(1-0.306667557508716)</f>
        <v>0</v>
      </c>
      <c r="AQ156" s="42" t="s">
        <v>7</v>
      </c>
      <c r="AV156" s="41">
        <f>AW156+AX156</f>
        <v>0</v>
      </c>
      <c r="AW156" s="41">
        <f>G156*AO156</f>
        <v>0</v>
      </c>
      <c r="AX156" s="41">
        <f>G156*AP156</f>
        <v>0</v>
      </c>
      <c r="AY156" s="44" t="s">
        <v>489</v>
      </c>
      <c r="AZ156" s="44" t="s">
        <v>516</v>
      </c>
      <c r="BA156" s="31" t="s">
        <v>520</v>
      </c>
      <c r="BC156" s="41">
        <f>AW156+AX156</f>
        <v>0</v>
      </c>
      <c r="BD156" s="41">
        <f>H156/(100-BE156)*100</f>
        <v>0</v>
      </c>
      <c r="BE156" s="41">
        <v>0</v>
      </c>
      <c r="BF156" s="41">
        <f>M156</f>
        <v>105.97355160000001</v>
      </c>
      <c r="BH156" s="21">
        <f>G156*AO156</f>
        <v>0</v>
      </c>
      <c r="BI156" s="21">
        <f>G156*AP156</f>
        <v>0</v>
      </c>
      <c r="BJ156" s="21">
        <f>G156*H156</f>
        <v>0</v>
      </c>
      <c r="BK156" s="21" t="s">
        <v>525</v>
      </c>
      <c r="BL156" s="41">
        <v>83</v>
      </c>
    </row>
    <row r="157" spans="1:64" ht="12.75">
      <c r="A157" s="117"/>
      <c r="B157" s="114"/>
      <c r="C157" s="114"/>
      <c r="D157" s="114"/>
      <c r="E157" s="111" t="s">
        <v>706</v>
      </c>
      <c r="F157" s="114"/>
      <c r="G157" s="118"/>
      <c r="H157" s="118"/>
      <c r="I157" s="118"/>
      <c r="J157" s="118"/>
      <c r="K157" s="118"/>
      <c r="L157" s="118"/>
      <c r="M157" s="118"/>
      <c r="N157" s="119"/>
      <c r="O157" s="39"/>
      <c r="Z157" s="41"/>
      <c r="AB157" s="41"/>
      <c r="AC157" s="41"/>
      <c r="AD157" s="41"/>
      <c r="AE157" s="41"/>
      <c r="AF157" s="41"/>
      <c r="AG157" s="41"/>
      <c r="AH157" s="41"/>
      <c r="AI157" s="31"/>
      <c r="AJ157" s="21"/>
      <c r="AK157" s="21"/>
      <c r="AL157" s="21"/>
      <c r="AN157" s="41"/>
      <c r="AO157" s="41"/>
      <c r="AP157" s="41"/>
      <c r="AQ157" s="42"/>
      <c r="AV157" s="41"/>
      <c r="AW157" s="41"/>
      <c r="AX157" s="41"/>
      <c r="AY157" s="44"/>
      <c r="AZ157" s="44"/>
      <c r="BA157" s="31"/>
      <c r="BC157" s="41"/>
      <c r="BD157" s="41"/>
      <c r="BE157" s="41"/>
      <c r="BF157" s="41"/>
      <c r="BH157" s="21"/>
      <c r="BI157" s="21"/>
      <c r="BJ157" s="21"/>
      <c r="BK157" s="21"/>
      <c r="BL157" s="41"/>
    </row>
    <row r="158" spans="1:47" ht="12.75">
      <c r="A158" s="5"/>
      <c r="B158" s="14"/>
      <c r="C158" s="14" t="s">
        <v>93</v>
      </c>
      <c r="D158" s="127" t="s">
        <v>354</v>
      </c>
      <c r="E158" s="128"/>
      <c r="F158" s="19" t="s">
        <v>6</v>
      </c>
      <c r="G158" s="19" t="s">
        <v>6</v>
      </c>
      <c r="H158" s="19" t="s">
        <v>6</v>
      </c>
      <c r="I158" s="47">
        <f>SUM(I159:I159)</f>
        <v>0</v>
      </c>
      <c r="J158" s="47">
        <f>SUM(J159:J159)</f>
        <v>0</v>
      </c>
      <c r="K158" s="47">
        <f>SUM(K159:K159)</f>
        <v>0</v>
      </c>
      <c r="L158" s="31"/>
      <c r="M158" s="47">
        <f>SUM(M159:M159)</f>
        <v>0</v>
      </c>
      <c r="N158" s="36"/>
      <c r="O158" s="39"/>
      <c r="AI158" s="31"/>
      <c r="AS158" s="47">
        <f>SUM(AJ159:AJ159)</f>
        <v>0</v>
      </c>
      <c r="AT158" s="47">
        <f>SUM(AK159:AK159)</f>
        <v>0</v>
      </c>
      <c r="AU158" s="47">
        <f>SUM(AL159:AL159)</f>
        <v>0</v>
      </c>
    </row>
    <row r="159" spans="1:64" ht="12.75">
      <c r="A159" s="4" t="s">
        <v>70</v>
      </c>
      <c r="B159" s="13"/>
      <c r="C159" s="13" t="s">
        <v>198</v>
      </c>
      <c r="D159" s="125" t="s">
        <v>355</v>
      </c>
      <c r="E159" s="126"/>
      <c r="F159" s="13" t="s">
        <v>428</v>
      </c>
      <c r="G159" s="21">
        <v>49.2</v>
      </c>
      <c r="H159" s="21">
        <v>0</v>
      </c>
      <c r="I159" s="21">
        <f>G159*AO159</f>
        <v>0</v>
      </c>
      <c r="J159" s="21">
        <f>G159*AP159</f>
        <v>0</v>
      </c>
      <c r="K159" s="21">
        <f>G159*H159</f>
        <v>0</v>
      </c>
      <c r="L159" s="21">
        <v>0</v>
      </c>
      <c r="M159" s="21">
        <f>G159*L159</f>
        <v>0</v>
      </c>
      <c r="N159" s="35" t="s">
        <v>452</v>
      </c>
      <c r="O159" s="39"/>
      <c r="Z159" s="41">
        <f>IF(AQ159="5",BJ159,0)</f>
        <v>0</v>
      </c>
      <c r="AB159" s="41">
        <f>IF(AQ159="1",BH159,0)</f>
        <v>0</v>
      </c>
      <c r="AC159" s="41">
        <f>IF(AQ159="1",BI159,0)</f>
        <v>0</v>
      </c>
      <c r="AD159" s="41">
        <f>IF(AQ159="7",BH159,0)</f>
        <v>0</v>
      </c>
      <c r="AE159" s="41">
        <f>IF(AQ159="7",BI159,0)</f>
        <v>0</v>
      </c>
      <c r="AF159" s="41">
        <f>IF(AQ159="2",BH159,0)</f>
        <v>0</v>
      </c>
      <c r="AG159" s="41">
        <f>IF(AQ159="2",BI159,0)</f>
        <v>0</v>
      </c>
      <c r="AH159" s="41">
        <f>IF(AQ159="0",BJ159,0)</f>
        <v>0</v>
      </c>
      <c r="AI159" s="31"/>
      <c r="AJ159" s="21">
        <f>IF(AN159=0,K159,0)</f>
        <v>0</v>
      </c>
      <c r="AK159" s="21">
        <f>IF(AN159=15,K159,0)</f>
        <v>0</v>
      </c>
      <c r="AL159" s="21">
        <f>IF(AN159=21,K159,0)</f>
        <v>0</v>
      </c>
      <c r="AN159" s="41">
        <v>21</v>
      </c>
      <c r="AO159" s="41">
        <f>H159*0</f>
        <v>0</v>
      </c>
      <c r="AP159" s="41">
        <f>H159*(1-0)</f>
        <v>0</v>
      </c>
      <c r="AQ159" s="42" t="s">
        <v>7</v>
      </c>
      <c r="AV159" s="41">
        <f>AW159+AX159</f>
        <v>0</v>
      </c>
      <c r="AW159" s="41">
        <f>G159*AO159</f>
        <v>0</v>
      </c>
      <c r="AX159" s="41">
        <f>G159*AP159</f>
        <v>0</v>
      </c>
      <c r="AY159" s="44" t="s">
        <v>490</v>
      </c>
      <c r="AZ159" s="44" t="s">
        <v>516</v>
      </c>
      <c r="BA159" s="31" t="s">
        <v>520</v>
      </c>
      <c r="BC159" s="41">
        <f>AW159+AX159</f>
        <v>0</v>
      </c>
      <c r="BD159" s="41">
        <f>H159/(100-BE159)*100</f>
        <v>0</v>
      </c>
      <c r="BE159" s="41">
        <v>0</v>
      </c>
      <c r="BF159" s="41">
        <f>M159</f>
        <v>0</v>
      </c>
      <c r="BH159" s="21">
        <f>G159*AO159</f>
        <v>0</v>
      </c>
      <c r="BI159" s="21">
        <f>G159*AP159</f>
        <v>0</v>
      </c>
      <c r="BJ159" s="21">
        <f>G159*H159</f>
        <v>0</v>
      </c>
      <c r="BK159" s="21" t="s">
        <v>525</v>
      </c>
      <c r="BL159" s="41">
        <v>87</v>
      </c>
    </row>
    <row r="160" spans="1:47" ht="12.75">
      <c r="A160" s="5"/>
      <c r="B160" s="14"/>
      <c r="C160" s="14" t="s">
        <v>95</v>
      </c>
      <c r="D160" s="127" t="s">
        <v>356</v>
      </c>
      <c r="E160" s="128"/>
      <c r="F160" s="19" t="s">
        <v>6</v>
      </c>
      <c r="G160" s="19" t="s">
        <v>6</v>
      </c>
      <c r="H160" s="19" t="s">
        <v>6</v>
      </c>
      <c r="I160" s="47">
        <f>SUM(I161:I163)</f>
        <v>0</v>
      </c>
      <c r="J160" s="47">
        <f>SUM(J161:J163)</f>
        <v>0</v>
      </c>
      <c r="K160" s="47">
        <f>SUM(K161:K163)</f>
        <v>0</v>
      </c>
      <c r="L160" s="31"/>
      <c r="M160" s="47">
        <f>SUM(M161:M163)</f>
        <v>32.583600000000004</v>
      </c>
      <c r="N160" s="36"/>
      <c r="O160" s="39"/>
      <c r="AI160" s="31"/>
      <c r="AS160" s="47">
        <f>SUM(AJ161:AJ163)</f>
        <v>0</v>
      </c>
      <c r="AT160" s="47">
        <f>SUM(AK161:AK163)</f>
        <v>0</v>
      </c>
      <c r="AU160" s="47">
        <f>SUM(AL161:AL163)</f>
        <v>0</v>
      </c>
    </row>
    <row r="161" spans="1:64" ht="12.75">
      <c r="A161" s="4" t="s">
        <v>71</v>
      </c>
      <c r="B161" s="13"/>
      <c r="C161" s="13" t="s">
        <v>199</v>
      </c>
      <c r="D161" s="125" t="s">
        <v>632</v>
      </c>
      <c r="E161" s="126"/>
      <c r="F161" s="13" t="s">
        <v>431</v>
      </c>
      <c r="G161" s="21">
        <v>24</v>
      </c>
      <c r="H161" s="21">
        <v>0</v>
      </c>
      <c r="I161" s="21">
        <f>G161*AO161</f>
        <v>0</v>
      </c>
      <c r="J161" s="21">
        <f>G161*AP161</f>
        <v>0</v>
      </c>
      <c r="K161" s="21">
        <f>G161*H161</f>
        <v>0</v>
      </c>
      <c r="L161" s="21">
        <v>1.35765</v>
      </c>
      <c r="M161" s="21">
        <f>G161*L161</f>
        <v>32.583600000000004</v>
      </c>
      <c r="N161" s="35" t="s">
        <v>452</v>
      </c>
      <c r="O161" s="39"/>
      <c r="Z161" s="41">
        <f>IF(AQ161="5",BJ161,0)</f>
        <v>0</v>
      </c>
      <c r="AB161" s="41">
        <f>IF(AQ161="1",BH161,0)</f>
        <v>0</v>
      </c>
      <c r="AC161" s="41">
        <f>IF(AQ161="1",BI161,0)</f>
        <v>0</v>
      </c>
      <c r="AD161" s="41">
        <f>IF(AQ161="7",BH161,0)</f>
        <v>0</v>
      </c>
      <c r="AE161" s="41">
        <f>IF(AQ161="7",BI161,0)</f>
        <v>0</v>
      </c>
      <c r="AF161" s="41">
        <f>IF(AQ161="2",BH161,0)</f>
        <v>0</v>
      </c>
      <c r="AG161" s="41">
        <f>IF(AQ161="2",BI161,0)</f>
        <v>0</v>
      </c>
      <c r="AH161" s="41">
        <f>IF(AQ161="0",BJ161,0)</f>
        <v>0</v>
      </c>
      <c r="AI161" s="31"/>
      <c r="AJ161" s="21">
        <f>IF(AN161=0,K161,0)</f>
        <v>0</v>
      </c>
      <c r="AK161" s="21">
        <f>IF(AN161=15,K161,0)</f>
        <v>0</v>
      </c>
      <c r="AL161" s="21">
        <f>IF(AN161=21,K161,0)</f>
        <v>0</v>
      </c>
      <c r="AN161" s="41">
        <v>21</v>
      </c>
      <c r="AO161" s="41">
        <f>H161*0.472290974097421</f>
        <v>0</v>
      </c>
      <c r="AP161" s="41">
        <f>H161*(1-0.472290974097421)</f>
        <v>0</v>
      </c>
      <c r="AQ161" s="42" t="s">
        <v>7</v>
      </c>
      <c r="AV161" s="41">
        <f>AW161+AX161</f>
        <v>0</v>
      </c>
      <c r="AW161" s="41">
        <f>G161*AO161</f>
        <v>0</v>
      </c>
      <c r="AX161" s="41">
        <f>G161*AP161</f>
        <v>0</v>
      </c>
      <c r="AY161" s="44" t="s">
        <v>491</v>
      </c>
      <c r="AZ161" s="44" t="s">
        <v>516</v>
      </c>
      <c r="BA161" s="31" t="s">
        <v>520</v>
      </c>
      <c r="BC161" s="41">
        <f>AW161+AX161</f>
        <v>0</v>
      </c>
      <c r="BD161" s="41">
        <f>H161/(100-BE161)*100</f>
        <v>0</v>
      </c>
      <c r="BE161" s="41">
        <v>0</v>
      </c>
      <c r="BF161" s="41">
        <f>M161</f>
        <v>32.583600000000004</v>
      </c>
      <c r="BH161" s="21">
        <f>G161*AO161</f>
        <v>0</v>
      </c>
      <c r="BI161" s="21">
        <f>G161*AP161</f>
        <v>0</v>
      </c>
      <c r="BJ161" s="21">
        <f>G161*H161</f>
        <v>0</v>
      </c>
      <c r="BK161" s="21" t="s">
        <v>525</v>
      </c>
      <c r="BL161" s="41">
        <v>89</v>
      </c>
    </row>
    <row r="162" spans="1:64" ht="12.75">
      <c r="A162" s="117"/>
      <c r="B162" s="114"/>
      <c r="C162" s="114"/>
      <c r="D162" s="114"/>
      <c r="E162" s="111" t="s">
        <v>707</v>
      </c>
      <c r="F162" s="114"/>
      <c r="G162" s="118"/>
      <c r="H162" s="118"/>
      <c r="I162" s="118"/>
      <c r="J162" s="118"/>
      <c r="K162" s="118"/>
      <c r="L162" s="118"/>
      <c r="M162" s="118"/>
      <c r="N162" s="119"/>
      <c r="O162" s="39"/>
      <c r="Z162" s="41"/>
      <c r="AB162" s="41"/>
      <c r="AC162" s="41"/>
      <c r="AD162" s="41"/>
      <c r="AE162" s="41"/>
      <c r="AF162" s="41"/>
      <c r="AG162" s="41"/>
      <c r="AH162" s="41"/>
      <c r="AI162" s="31"/>
      <c r="AJ162" s="21"/>
      <c r="AK162" s="21"/>
      <c r="AL162" s="21"/>
      <c r="AN162" s="41"/>
      <c r="AO162" s="41"/>
      <c r="AP162" s="41"/>
      <c r="AQ162" s="42"/>
      <c r="AV162" s="41"/>
      <c r="AW162" s="41"/>
      <c r="AX162" s="41"/>
      <c r="AY162" s="44"/>
      <c r="AZ162" s="44"/>
      <c r="BA162" s="31"/>
      <c r="BC162" s="41"/>
      <c r="BD162" s="41"/>
      <c r="BE162" s="41"/>
      <c r="BF162" s="41"/>
      <c r="BH162" s="21"/>
      <c r="BI162" s="21"/>
      <c r="BJ162" s="21"/>
      <c r="BK162" s="21"/>
      <c r="BL162" s="41"/>
    </row>
    <row r="163" spans="1:64" ht="12.75">
      <c r="A163" s="4" t="s">
        <v>72</v>
      </c>
      <c r="B163" s="13"/>
      <c r="C163" s="13" t="s">
        <v>200</v>
      </c>
      <c r="D163" s="125" t="s">
        <v>633</v>
      </c>
      <c r="E163" s="126"/>
      <c r="F163" s="13" t="s">
        <v>428</v>
      </c>
      <c r="G163" s="21">
        <v>201.17</v>
      </c>
      <c r="H163" s="21">
        <v>0</v>
      </c>
      <c r="I163" s="21">
        <f>G163*AO163</f>
        <v>0</v>
      </c>
      <c r="J163" s="21">
        <f>G163*AP163</f>
        <v>0</v>
      </c>
      <c r="K163" s="21">
        <f>G163*H163</f>
        <v>0</v>
      </c>
      <c r="L163" s="21">
        <v>0</v>
      </c>
      <c r="M163" s="21">
        <f>G163*L163</f>
        <v>0</v>
      </c>
      <c r="N163" s="35" t="s">
        <v>452</v>
      </c>
      <c r="O163" s="39"/>
      <c r="Z163" s="41">
        <f>IF(AQ163="5",BJ163,0)</f>
        <v>0</v>
      </c>
      <c r="AB163" s="41">
        <f>IF(AQ163="1",BH163,0)</f>
        <v>0</v>
      </c>
      <c r="AC163" s="41">
        <f>IF(AQ163="1",BI163,0)</f>
        <v>0</v>
      </c>
      <c r="AD163" s="41">
        <f>IF(AQ163="7",BH163,0)</f>
        <v>0</v>
      </c>
      <c r="AE163" s="41">
        <f>IF(AQ163="7",BI163,0)</f>
        <v>0</v>
      </c>
      <c r="AF163" s="41">
        <f>IF(AQ163="2",BH163,0)</f>
        <v>0</v>
      </c>
      <c r="AG163" s="41">
        <f>IF(AQ163="2",BI163,0)</f>
        <v>0</v>
      </c>
      <c r="AH163" s="41">
        <f>IF(AQ163="0",BJ163,0)</f>
        <v>0</v>
      </c>
      <c r="AI163" s="31"/>
      <c r="AJ163" s="21">
        <f>IF(AN163=0,K163,0)</f>
        <v>0</v>
      </c>
      <c r="AK163" s="21">
        <f>IF(AN163=15,K163,0)</f>
        <v>0</v>
      </c>
      <c r="AL163" s="21">
        <f>IF(AN163=21,K163,0)</f>
        <v>0</v>
      </c>
      <c r="AN163" s="41">
        <v>21</v>
      </c>
      <c r="AO163" s="41">
        <f>H163*0.0295964191534276</f>
        <v>0</v>
      </c>
      <c r="AP163" s="41">
        <f>H163*(1-0.0295964191534276)</f>
        <v>0</v>
      </c>
      <c r="AQ163" s="42" t="s">
        <v>7</v>
      </c>
      <c r="AV163" s="41">
        <f>AW163+AX163</f>
        <v>0</v>
      </c>
      <c r="AW163" s="41">
        <f>G163*AO163</f>
        <v>0</v>
      </c>
      <c r="AX163" s="41">
        <f>G163*AP163</f>
        <v>0</v>
      </c>
      <c r="AY163" s="44" t="s">
        <v>491</v>
      </c>
      <c r="AZ163" s="44" t="s">
        <v>516</v>
      </c>
      <c r="BA163" s="31" t="s">
        <v>520</v>
      </c>
      <c r="BC163" s="41">
        <f>AW163+AX163</f>
        <v>0</v>
      </c>
      <c r="BD163" s="41">
        <f>H163/(100-BE163)*100</f>
        <v>0</v>
      </c>
      <c r="BE163" s="41">
        <v>0</v>
      </c>
      <c r="BF163" s="41">
        <f>M163</f>
        <v>0</v>
      </c>
      <c r="BH163" s="21">
        <f>G163*AO163</f>
        <v>0</v>
      </c>
      <c r="BI163" s="21">
        <f>G163*AP163</f>
        <v>0</v>
      </c>
      <c r="BJ163" s="21">
        <f>G163*H163</f>
        <v>0</v>
      </c>
      <c r="BK163" s="21" t="s">
        <v>525</v>
      </c>
      <c r="BL163" s="41">
        <v>89</v>
      </c>
    </row>
    <row r="164" spans="1:47" ht="12.75">
      <c r="A164" s="5"/>
      <c r="B164" s="14"/>
      <c r="C164" s="14" t="s">
        <v>100</v>
      </c>
      <c r="D164" s="127" t="s">
        <v>359</v>
      </c>
      <c r="E164" s="128"/>
      <c r="F164" s="19" t="s">
        <v>6</v>
      </c>
      <c r="G164" s="19" t="s">
        <v>6</v>
      </c>
      <c r="H164" s="19" t="s">
        <v>6</v>
      </c>
      <c r="I164" s="47">
        <f>SUM(I165:I171)</f>
        <v>0</v>
      </c>
      <c r="J164" s="47">
        <f>SUM(J165:J171)</f>
        <v>0</v>
      </c>
      <c r="K164" s="47">
        <f>SUM(K165:K171)</f>
        <v>0</v>
      </c>
      <c r="L164" s="31"/>
      <c r="M164" s="47">
        <f>SUM(M165:M171)</f>
        <v>16.2904188</v>
      </c>
      <c r="N164" s="36"/>
      <c r="O164" s="39"/>
      <c r="AI164" s="31"/>
      <c r="AS164" s="47">
        <f>SUM(AJ165:AJ171)</f>
        <v>0</v>
      </c>
      <c r="AT164" s="47">
        <f>SUM(AK165:AK171)</f>
        <v>0</v>
      </c>
      <c r="AU164" s="47">
        <f>SUM(AL165:AL171)</f>
        <v>0</v>
      </c>
    </row>
    <row r="165" spans="1:64" ht="12.75">
      <c r="A165" s="4" t="s">
        <v>73</v>
      </c>
      <c r="B165" s="13"/>
      <c r="C165" s="13" t="s">
        <v>201</v>
      </c>
      <c r="D165" s="125" t="s">
        <v>360</v>
      </c>
      <c r="E165" s="126"/>
      <c r="F165" s="13" t="s">
        <v>426</v>
      </c>
      <c r="G165" s="21">
        <v>716.86</v>
      </c>
      <c r="H165" s="21">
        <v>0</v>
      </c>
      <c r="I165" s="21">
        <f>G165*AO165</f>
        <v>0</v>
      </c>
      <c r="J165" s="21">
        <f>G165*AP165</f>
        <v>0</v>
      </c>
      <c r="K165" s="21">
        <f>G165*H165</f>
        <v>0</v>
      </c>
      <c r="L165" s="21">
        <v>0.01838</v>
      </c>
      <c r="M165" s="21">
        <f>G165*L165</f>
        <v>13.1758868</v>
      </c>
      <c r="N165" s="35" t="s">
        <v>452</v>
      </c>
      <c r="O165" s="39"/>
      <c r="Z165" s="41">
        <f>IF(AQ165="5",BJ165,0)</f>
        <v>0</v>
      </c>
      <c r="AB165" s="41">
        <f>IF(AQ165="1",BH165,0)</f>
        <v>0</v>
      </c>
      <c r="AC165" s="41">
        <f>IF(AQ165="1",BI165,0)</f>
        <v>0</v>
      </c>
      <c r="AD165" s="41">
        <f>IF(AQ165="7",BH165,0)</f>
        <v>0</v>
      </c>
      <c r="AE165" s="41">
        <f>IF(AQ165="7",BI165,0)</f>
        <v>0</v>
      </c>
      <c r="AF165" s="41">
        <f>IF(AQ165="2",BH165,0)</f>
        <v>0</v>
      </c>
      <c r="AG165" s="41">
        <f>IF(AQ165="2",BI165,0)</f>
        <v>0</v>
      </c>
      <c r="AH165" s="41">
        <f>IF(AQ165="0",BJ165,0)</f>
        <v>0</v>
      </c>
      <c r="AI165" s="31"/>
      <c r="AJ165" s="21">
        <f>IF(AN165=0,K165,0)</f>
        <v>0</v>
      </c>
      <c r="AK165" s="21">
        <f>IF(AN165=15,K165,0)</f>
        <v>0</v>
      </c>
      <c r="AL165" s="21">
        <f>IF(AN165=21,K165,0)</f>
        <v>0</v>
      </c>
      <c r="AN165" s="41">
        <v>21</v>
      </c>
      <c r="AO165" s="41">
        <f>H165*0.000558737225499371</f>
        <v>0</v>
      </c>
      <c r="AP165" s="41">
        <f>H165*(1-0.000558737225499371)</f>
        <v>0</v>
      </c>
      <c r="AQ165" s="42" t="s">
        <v>7</v>
      </c>
      <c r="AV165" s="41">
        <f>AW165+AX165</f>
        <v>0</v>
      </c>
      <c r="AW165" s="41">
        <f>G165*AO165</f>
        <v>0</v>
      </c>
      <c r="AX165" s="41">
        <f>G165*AP165</f>
        <v>0</v>
      </c>
      <c r="AY165" s="44" t="s">
        <v>492</v>
      </c>
      <c r="AZ165" s="44" t="s">
        <v>517</v>
      </c>
      <c r="BA165" s="31" t="s">
        <v>520</v>
      </c>
      <c r="BC165" s="41">
        <f>AW165+AX165</f>
        <v>0</v>
      </c>
      <c r="BD165" s="41">
        <f>H165/(100-BE165)*100</f>
        <v>0</v>
      </c>
      <c r="BE165" s="41">
        <v>0</v>
      </c>
      <c r="BF165" s="41">
        <f>M165</f>
        <v>13.1758868</v>
      </c>
      <c r="BH165" s="21">
        <f>G165*AO165</f>
        <v>0</v>
      </c>
      <c r="BI165" s="21">
        <f>G165*AP165</f>
        <v>0</v>
      </c>
      <c r="BJ165" s="21">
        <f>G165*H165</f>
        <v>0</v>
      </c>
      <c r="BK165" s="21" t="s">
        <v>525</v>
      </c>
      <c r="BL165" s="41">
        <v>94</v>
      </c>
    </row>
    <row r="166" spans="1:64" ht="12.75">
      <c r="A166" s="117"/>
      <c r="B166" s="114"/>
      <c r="C166" s="114"/>
      <c r="D166" s="114"/>
      <c r="E166" s="111" t="s">
        <v>708</v>
      </c>
      <c r="F166" s="114"/>
      <c r="G166" s="118"/>
      <c r="H166" s="118"/>
      <c r="I166" s="118"/>
      <c r="J166" s="118"/>
      <c r="K166" s="118"/>
      <c r="L166" s="118"/>
      <c r="M166" s="118"/>
      <c r="N166" s="119"/>
      <c r="O166" s="39"/>
      <c r="Z166" s="41"/>
      <c r="AB166" s="41"/>
      <c r="AC166" s="41"/>
      <c r="AD166" s="41"/>
      <c r="AE166" s="41"/>
      <c r="AF166" s="41"/>
      <c r="AG166" s="41"/>
      <c r="AH166" s="41"/>
      <c r="AI166" s="31"/>
      <c r="AJ166" s="21"/>
      <c r="AK166" s="21"/>
      <c r="AL166" s="21"/>
      <c r="AN166" s="41"/>
      <c r="AO166" s="41"/>
      <c r="AP166" s="41"/>
      <c r="AQ166" s="42"/>
      <c r="AV166" s="41"/>
      <c r="AW166" s="41"/>
      <c r="AX166" s="41"/>
      <c r="AY166" s="44"/>
      <c r="AZ166" s="44"/>
      <c r="BA166" s="31"/>
      <c r="BC166" s="41"/>
      <c r="BD166" s="41"/>
      <c r="BE166" s="41"/>
      <c r="BF166" s="41"/>
      <c r="BH166" s="21"/>
      <c r="BI166" s="21"/>
      <c r="BJ166" s="21"/>
      <c r="BK166" s="21"/>
      <c r="BL166" s="41"/>
    </row>
    <row r="167" spans="1:64" ht="12.75">
      <c r="A167" s="117"/>
      <c r="B167" s="114"/>
      <c r="C167" s="114"/>
      <c r="D167" s="114"/>
      <c r="E167" s="111" t="s">
        <v>709</v>
      </c>
      <c r="F167" s="114"/>
      <c r="G167" s="118"/>
      <c r="H167" s="118"/>
      <c r="I167" s="118"/>
      <c r="J167" s="118"/>
      <c r="K167" s="118"/>
      <c r="L167" s="118"/>
      <c r="M167" s="118"/>
      <c r="N167" s="119"/>
      <c r="O167" s="39"/>
      <c r="Z167" s="41"/>
      <c r="AB167" s="41"/>
      <c r="AC167" s="41"/>
      <c r="AD167" s="41"/>
      <c r="AE167" s="41"/>
      <c r="AF167" s="41"/>
      <c r="AG167" s="41"/>
      <c r="AH167" s="41"/>
      <c r="AI167" s="31"/>
      <c r="AJ167" s="21"/>
      <c r="AK167" s="21"/>
      <c r="AL167" s="21"/>
      <c r="AN167" s="41"/>
      <c r="AO167" s="41"/>
      <c r="AP167" s="41"/>
      <c r="AQ167" s="42"/>
      <c r="AV167" s="41"/>
      <c r="AW167" s="41"/>
      <c r="AX167" s="41"/>
      <c r="AY167" s="44"/>
      <c r="AZ167" s="44"/>
      <c r="BA167" s="31"/>
      <c r="BC167" s="41"/>
      <c r="BD167" s="41"/>
      <c r="BE167" s="41"/>
      <c r="BF167" s="41"/>
      <c r="BH167" s="21"/>
      <c r="BI167" s="21"/>
      <c r="BJ167" s="21"/>
      <c r="BK167" s="21"/>
      <c r="BL167" s="41"/>
    </row>
    <row r="168" spans="1:64" ht="12.75">
      <c r="A168" s="4" t="s">
        <v>74</v>
      </c>
      <c r="B168" s="13"/>
      <c r="C168" s="13" t="s">
        <v>202</v>
      </c>
      <c r="D168" s="125" t="s">
        <v>361</v>
      </c>
      <c r="E168" s="126"/>
      <c r="F168" s="13" t="s">
        <v>426</v>
      </c>
      <c r="G168" s="21">
        <v>2150.58</v>
      </c>
      <c r="H168" s="21">
        <v>0</v>
      </c>
      <c r="I168" s="21">
        <f>G168*AO168</f>
        <v>0</v>
      </c>
      <c r="J168" s="21">
        <f>G168*AP168</f>
        <v>0</v>
      </c>
      <c r="K168" s="21">
        <f>G168*H168</f>
        <v>0</v>
      </c>
      <c r="L168" s="21">
        <v>0.00097</v>
      </c>
      <c r="M168" s="21">
        <f>G168*L168</f>
        <v>2.0860626</v>
      </c>
      <c r="N168" s="35" t="s">
        <v>452</v>
      </c>
      <c r="O168" s="39"/>
      <c r="Z168" s="41">
        <f>IF(AQ168="5",BJ168,0)</f>
        <v>0</v>
      </c>
      <c r="AB168" s="41">
        <f>IF(AQ168="1",BH168,0)</f>
        <v>0</v>
      </c>
      <c r="AC168" s="41">
        <f>IF(AQ168="1",BI168,0)</f>
        <v>0</v>
      </c>
      <c r="AD168" s="41">
        <f>IF(AQ168="7",BH168,0)</f>
        <v>0</v>
      </c>
      <c r="AE168" s="41">
        <f>IF(AQ168="7",BI168,0)</f>
        <v>0</v>
      </c>
      <c r="AF168" s="41">
        <f>IF(AQ168="2",BH168,0)</f>
        <v>0</v>
      </c>
      <c r="AG168" s="41">
        <f>IF(AQ168="2",BI168,0)</f>
        <v>0</v>
      </c>
      <c r="AH168" s="41">
        <f>IF(AQ168="0",BJ168,0)</f>
        <v>0</v>
      </c>
      <c r="AI168" s="31"/>
      <c r="AJ168" s="21">
        <f>IF(AN168=0,K168,0)</f>
        <v>0</v>
      </c>
      <c r="AK168" s="21">
        <f>IF(AN168=15,K168,0)</f>
        <v>0</v>
      </c>
      <c r="AL168" s="21">
        <f>IF(AN168=21,K168,0)</f>
        <v>0</v>
      </c>
      <c r="AN168" s="41">
        <v>21</v>
      </c>
      <c r="AO168" s="41">
        <f>H168*0.925433501137682</f>
        <v>0</v>
      </c>
      <c r="AP168" s="41">
        <f>H168*(1-0.925433501137682)</f>
        <v>0</v>
      </c>
      <c r="AQ168" s="42" t="s">
        <v>7</v>
      </c>
      <c r="AV168" s="41">
        <f>AW168+AX168</f>
        <v>0</v>
      </c>
      <c r="AW168" s="41">
        <f>G168*AO168</f>
        <v>0</v>
      </c>
      <c r="AX168" s="41">
        <f>G168*AP168</f>
        <v>0</v>
      </c>
      <c r="AY168" s="44" t="s">
        <v>492</v>
      </c>
      <c r="AZ168" s="44" t="s">
        <v>517</v>
      </c>
      <c r="BA168" s="31" t="s">
        <v>520</v>
      </c>
      <c r="BC168" s="41">
        <f>AW168+AX168</f>
        <v>0</v>
      </c>
      <c r="BD168" s="41">
        <f>H168/(100-BE168)*100</f>
        <v>0</v>
      </c>
      <c r="BE168" s="41">
        <v>0</v>
      </c>
      <c r="BF168" s="41">
        <f>M168</f>
        <v>2.0860626</v>
      </c>
      <c r="BH168" s="21">
        <f>G168*AO168</f>
        <v>0</v>
      </c>
      <c r="BI168" s="21">
        <f>G168*AP168</f>
        <v>0</v>
      </c>
      <c r="BJ168" s="21">
        <f>G168*H168</f>
        <v>0</v>
      </c>
      <c r="BK168" s="21" t="s">
        <v>525</v>
      </c>
      <c r="BL168" s="41">
        <v>94</v>
      </c>
    </row>
    <row r="169" spans="1:64" ht="12.75">
      <c r="A169" s="117"/>
      <c r="B169" s="114"/>
      <c r="C169" s="114"/>
      <c r="D169" s="114"/>
      <c r="E169" s="111" t="s">
        <v>710</v>
      </c>
      <c r="F169" s="114"/>
      <c r="G169" s="118"/>
      <c r="H169" s="118"/>
      <c r="I169" s="118"/>
      <c r="J169" s="118"/>
      <c r="K169" s="118"/>
      <c r="L169" s="118"/>
      <c r="M169" s="118"/>
      <c r="N169" s="119"/>
      <c r="O169" s="39"/>
      <c r="Z169" s="41"/>
      <c r="AB169" s="41"/>
      <c r="AC169" s="41"/>
      <c r="AD169" s="41"/>
      <c r="AE169" s="41"/>
      <c r="AF169" s="41"/>
      <c r="AG169" s="41"/>
      <c r="AH169" s="41"/>
      <c r="AI169" s="31"/>
      <c r="AJ169" s="21"/>
      <c r="AK169" s="21"/>
      <c r="AL169" s="21"/>
      <c r="AN169" s="41"/>
      <c r="AO169" s="41"/>
      <c r="AP169" s="41"/>
      <c r="AQ169" s="42"/>
      <c r="AV169" s="41"/>
      <c r="AW169" s="41"/>
      <c r="AX169" s="41"/>
      <c r="AY169" s="44"/>
      <c r="AZ169" s="44"/>
      <c r="BA169" s="31"/>
      <c r="BC169" s="41"/>
      <c r="BD169" s="41"/>
      <c r="BE169" s="41"/>
      <c r="BF169" s="41"/>
      <c r="BH169" s="21"/>
      <c r="BI169" s="21"/>
      <c r="BJ169" s="21"/>
      <c r="BK169" s="21"/>
      <c r="BL169" s="41"/>
    </row>
    <row r="170" spans="1:64" ht="12.75">
      <c r="A170" s="4" t="s">
        <v>75</v>
      </c>
      <c r="B170" s="13"/>
      <c r="C170" s="13" t="s">
        <v>203</v>
      </c>
      <c r="D170" s="125" t="s">
        <v>362</v>
      </c>
      <c r="E170" s="126"/>
      <c r="F170" s="13" t="s">
        <v>426</v>
      </c>
      <c r="G170" s="21">
        <v>716.86</v>
      </c>
      <c r="H170" s="21">
        <v>0</v>
      </c>
      <c r="I170" s="21">
        <f>G170*AO170</f>
        <v>0</v>
      </c>
      <c r="J170" s="21">
        <f>G170*AP170</f>
        <v>0</v>
      </c>
      <c r="K170" s="21">
        <f>G170*H170</f>
        <v>0</v>
      </c>
      <c r="L170" s="21">
        <v>0</v>
      </c>
      <c r="M170" s="21">
        <f>G170*L170</f>
        <v>0</v>
      </c>
      <c r="N170" s="35" t="s">
        <v>452</v>
      </c>
      <c r="O170" s="39"/>
      <c r="Z170" s="41">
        <f>IF(AQ170="5",BJ170,0)</f>
        <v>0</v>
      </c>
      <c r="AB170" s="41">
        <f>IF(AQ170="1",BH170,0)</f>
        <v>0</v>
      </c>
      <c r="AC170" s="41">
        <f>IF(AQ170="1",BI170,0)</f>
        <v>0</v>
      </c>
      <c r="AD170" s="41">
        <f>IF(AQ170="7",BH170,0)</f>
        <v>0</v>
      </c>
      <c r="AE170" s="41">
        <f>IF(AQ170="7",BI170,0)</f>
        <v>0</v>
      </c>
      <c r="AF170" s="41">
        <f>IF(AQ170="2",BH170,0)</f>
        <v>0</v>
      </c>
      <c r="AG170" s="41">
        <f>IF(AQ170="2",BI170,0)</f>
        <v>0</v>
      </c>
      <c r="AH170" s="41">
        <f>IF(AQ170="0",BJ170,0)</f>
        <v>0</v>
      </c>
      <c r="AI170" s="31"/>
      <c r="AJ170" s="21">
        <f>IF(AN170=0,K170,0)</f>
        <v>0</v>
      </c>
      <c r="AK170" s="21">
        <f>IF(AN170=15,K170,0)</f>
        <v>0</v>
      </c>
      <c r="AL170" s="21">
        <f>IF(AN170=21,K170,0)</f>
        <v>0</v>
      </c>
      <c r="AN170" s="41">
        <v>21</v>
      </c>
      <c r="AO170" s="41">
        <f>H170*0</f>
        <v>0</v>
      </c>
      <c r="AP170" s="41">
        <f>H170*(1-0)</f>
        <v>0</v>
      </c>
      <c r="AQ170" s="42" t="s">
        <v>7</v>
      </c>
      <c r="AV170" s="41">
        <f>AW170+AX170</f>
        <v>0</v>
      </c>
      <c r="AW170" s="41">
        <f>G170*AO170</f>
        <v>0</v>
      </c>
      <c r="AX170" s="41">
        <f>G170*AP170</f>
        <v>0</v>
      </c>
      <c r="AY170" s="44" t="s">
        <v>492</v>
      </c>
      <c r="AZ170" s="44" t="s">
        <v>517</v>
      </c>
      <c r="BA170" s="31" t="s">
        <v>520</v>
      </c>
      <c r="BC170" s="41">
        <f>AW170+AX170</f>
        <v>0</v>
      </c>
      <c r="BD170" s="41">
        <f>H170/(100-BE170)*100</f>
        <v>0</v>
      </c>
      <c r="BE170" s="41">
        <v>0</v>
      </c>
      <c r="BF170" s="41">
        <f>M170</f>
        <v>0</v>
      </c>
      <c r="BH170" s="21">
        <f>G170*AO170</f>
        <v>0</v>
      </c>
      <c r="BI170" s="21">
        <f>G170*AP170</f>
        <v>0</v>
      </c>
      <c r="BJ170" s="21">
        <f>G170*H170</f>
        <v>0</v>
      </c>
      <c r="BK170" s="21" t="s">
        <v>525</v>
      </c>
      <c r="BL170" s="41">
        <v>94</v>
      </c>
    </row>
    <row r="171" spans="1:64" ht="12.75">
      <c r="A171" s="4" t="s">
        <v>76</v>
      </c>
      <c r="B171" s="13"/>
      <c r="C171" s="13" t="s">
        <v>204</v>
      </c>
      <c r="D171" s="125" t="s">
        <v>363</v>
      </c>
      <c r="E171" s="126"/>
      <c r="F171" s="13" t="s">
        <v>426</v>
      </c>
      <c r="G171" s="21">
        <v>650.93</v>
      </c>
      <c r="H171" s="21">
        <v>0</v>
      </c>
      <c r="I171" s="21">
        <f>G171*AO171</f>
        <v>0</v>
      </c>
      <c r="J171" s="21">
        <f>G171*AP171</f>
        <v>0</v>
      </c>
      <c r="K171" s="21">
        <f>G171*H171</f>
        <v>0</v>
      </c>
      <c r="L171" s="21">
        <v>0.00158</v>
      </c>
      <c r="M171" s="21">
        <f>G171*L171</f>
        <v>1.0284693999999999</v>
      </c>
      <c r="N171" s="35" t="s">
        <v>452</v>
      </c>
      <c r="O171" s="39"/>
      <c r="Z171" s="41">
        <f>IF(AQ171="5",BJ171,0)</f>
        <v>0</v>
      </c>
      <c r="AB171" s="41">
        <f>IF(AQ171="1",BH171,0)</f>
        <v>0</v>
      </c>
      <c r="AC171" s="41">
        <f>IF(AQ171="1",BI171,0)</f>
        <v>0</v>
      </c>
      <c r="AD171" s="41">
        <f>IF(AQ171="7",BH171,0)</f>
        <v>0</v>
      </c>
      <c r="AE171" s="41">
        <f>IF(AQ171="7",BI171,0)</f>
        <v>0</v>
      </c>
      <c r="AF171" s="41">
        <f>IF(AQ171="2",BH171,0)</f>
        <v>0</v>
      </c>
      <c r="AG171" s="41">
        <f>IF(AQ171="2",BI171,0)</f>
        <v>0</v>
      </c>
      <c r="AH171" s="41">
        <f>IF(AQ171="0",BJ171,0)</f>
        <v>0</v>
      </c>
      <c r="AI171" s="31"/>
      <c r="AJ171" s="21">
        <f>IF(AN171=0,K171,0)</f>
        <v>0</v>
      </c>
      <c r="AK171" s="21">
        <f>IF(AN171=15,K171,0)</f>
        <v>0</v>
      </c>
      <c r="AL171" s="21">
        <f>IF(AN171=21,K171,0)</f>
        <v>0</v>
      </c>
      <c r="AN171" s="41">
        <v>21</v>
      </c>
      <c r="AO171" s="41">
        <f>H171*0.360833333333333</f>
        <v>0</v>
      </c>
      <c r="AP171" s="41">
        <f>H171*(1-0.360833333333333)</f>
        <v>0</v>
      </c>
      <c r="AQ171" s="42" t="s">
        <v>7</v>
      </c>
      <c r="AV171" s="41">
        <f>AW171+AX171</f>
        <v>0</v>
      </c>
      <c r="AW171" s="41">
        <f>G171*AO171</f>
        <v>0</v>
      </c>
      <c r="AX171" s="41">
        <f>G171*AP171</f>
        <v>0</v>
      </c>
      <c r="AY171" s="44" t="s">
        <v>492</v>
      </c>
      <c r="AZ171" s="44" t="s">
        <v>517</v>
      </c>
      <c r="BA171" s="31" t="s">
        <v>520</v>
      </c>
      <c r="BC171" s="41">
        <f>AW171+AX171</f>
        <v>0</v>
      </c>
      <c r="BD171" s="41">
        <f>H171/(100-BE171)*100</f>
        <v>0</v>
      </c>
      <c r="BE171" s="41">
        <v>0</v>
      </c>
      <c r="BF171" s="41">
        <f>M171</f>
        <v>1.0284693999999999</v>
      </c>
      <c r="BH171" s="21">
        <f>G171*AO171</f>
        <v>0</v>
      </c>
      <c r="BI171" s="21">
        <f>G171*AP171</f>
        <v>0</v>
      </c>
      <c r="BJ171" s="21">
        <f>G171*H171</f>
        <v>0</v>
      </c>
      <c r="BK171" s="21" t="s">
        <v>525</v>
      </c>
      <c r="BL171" s="41">
        <v>94</v>
      </c>
    </row>
    <row r="172" spans="1:64" ht="12.75">
      <c r="A172" s="117"/>
      <c r="B172" s="114"/>
      <c r="C172" s="114"/>
      <c r="D172" s="114"/>
      <c r="E172" s="111" t="s">
        <v>711</v>
      </c>
      <c r="F172" s="114"/>
      <c r="G172" s="118"/>
      <c r="H172" s="118"/>
      <c r="I172" s="118"/>
      <c r="J172" s="118"/>
      <c r="K172" s="118"/>
      <c r="L172" s="118"/>
      <c r="M172" s="118"/>
      <c r="N172" s="119"/>
      <c r="O172" s="39"/>
      <c r="Z172" s="41"/>
      <c r="AB172" s="41"/>
      <c r="AC172" s="41"/>
      <c r="AD172" s="41"/>
      <c r="AE172" s="41"/>
      <c r="AF172" s="41"/>
      <c r="AG172" s="41"/>
      <c r="AH172" s="41"/>
      <c r="AI172" s="31"/>
      <c r="AJ172" s="21"/>
      <c r="AK172" s="21"/>
      <c r="AL172" s="21"/>
      <c r="AN172" s="41"/>
      <c r="AO172" s="41"/>
      <c r="AP172" s="41"/>
      <c r="AQ172" s="42"/>
      <c r="AV172" s="41"/>
      <c r="AW172" s="41"/>
      <c r="AX172" s="41"/>
      <c r="AY172" s="44"/>
      <c r="AZ172" s="44"/>
      <c r="BA172" s="31"/>
      <c r="BC172" s="41"/>
      <c r="BD172" s="41"/>
      <c r="BE172" s="41"/>
      <c r="BF172" s="41"/>
      <c r="BH172" s="21"/>
      <c r="BI172" s="21"/>
      <c r="BJ172" s="21"/>
      <c r="BK172" s="21"/>
      <c r="BL172" s="41"/>
    </row>
    <row r="173" spans="1:47" ht="12.75">
      <c r="A173" s="5"/>
      <c r="B173" s="14"/>
      <c r="C173" s="14" t="s">
        <v>101</v>
      </c>
      <c r="D173" s="127" t="s">
        <v>364</v>
      </c>
      <c r="E173" s="128"/>
      <c r="F173" s="19" t="s">
        <v>6</v>
      </c>
      <c r="G173" s="19" t="s">
        <v>6</v>
      </c>
      <c r="H173" s="19" t="s">
        <v>6</v>
      </c>
      <c r="I173" s="47">
        <f>SUM(I174:I174)</f>
        <v>0</v>
      </c>
      <c r="J173" s="47">
        <f>SUM(J174:J174)</f>
        <v>0</v>
      </c>
      <c r="K173" s="47">
        <f>SUM(K174:K174)</f>
        <v>0</v>
      </c>
      <c r="L173" s="31"/>
      <c r="M173" s="47">
        <f>SUM(M174:M174)</f>
        <v>0.0260372</v>
      </c>
      <c r="N173" s="36"/>
      <c r="O173" s="39"/>
      <c r="AI173" s="31"/>
      <c r="AS173" s="47">
        <f>SUM(AJ174:AJ174)</f>
        <v>0</v>
      </c>
      <c r="AT173" s="47">
        <f>SUM(AK174:AK174)</f>
        <v>0</v>
      </c>
      <c r="AU173" s="47">
        <f>SUM(AL174:AL174)</f>
        <v>0</v>
      </c>
    </row>
    <row r="174" spans="1:64" ht="12.75">
      <c r="A174" s="4" t="s">
        <v>77</v>
      </c>
      <c r="B174" s="13"/>
      <c r="C174" s="13" t="s">
        <v>205</v>
      </c>
      <c r="D174" s="125" t="s">
        <v>365</v>
      </c>
      <c r="E174" s="126"/>
      <c r="F174" s="13" t="s">
        <v>426</v>
      </c>
      <c r="G174" s="21">
        <v>650.93</v>
      </c>
      <c r="H174" s="21">
        <v>0</v>
      </c>
      <c r="I174" s="21">
        <f>G174*AO174</f>
        <v>0</v>
      </c>
      <c r="J174" s="21">
        <f>G174*AP174</f>
        <v>0</v>
      </c>
      <c r="K174" s="21">
        <f>G174*H174</f>
        <v>0</v>
      </c>
      <c r="L174" s="21">
        <v>4E-05</v>
      </c>
      <c r="M174" s="21">
        <f>G174*L174</f>
        <v>0.0260372</v>
      </c>
      <c r="N174" s="35" t="s">
        <v>452</v>
      </c>
      <c r="O174" s="39"/>
      <c r="Z174" s="41">
        <f>IF(AQ174="5",BJ174,0)</f>
        <v>0</v>
      </c>
      <c r="AB174" s="41">
        <f>IF(AQ174="1",BH174,0)</f>
        <v>0</v>
      </c>
      <c r="AC174" s="41">
        <f>IF(AQ174="1",BI174,0)</f>
        <v>0</v>
      </c>
      <c r="AD174" s="41">
        <f>IF(AQ174="7",BH174,0)</f>
        <v>0</v>
      </c>
      <c r="AE174" s="41">
        <f>IF(AQ174="7",BI174,0)</f>
        <v>0</v>
      </c>
      <c r="AF174" s="41">
        <f>IF(AQ174="2",BH174,0)</f>
        <v>0</v>
      </c>
      <c r="AG174" s="41">
        <f>IF(AQ174="2",BI174,0)</f>
        <v>0</v>
      </c>
      <c r="AH174" s="41">
        <f>IF(AQ174="0",BJ174,0)</f>
        <v>0</v>
      </c>
      <c r="AI174" s="31"/>
      <c r="AJ174" s="21">
        <f>IF(AN174=0,K174,0)</f>
        <v>0</v>
      </c>
      <c r="AK174" s="21">
        <f>IF(AN174=15,K174,0)</f>
        <v>0</v>
      </c>
      <c r="AL174" s="21">
        <f>IF(AN174=21,K174,0)</f>
        <v>0</v>
      </c>
      <c r="AN174" s="41">
        <v>21</v>
      </c>
      <c r="AO174" s="41">
        <f>H174*0.0108450704225352</f>
        <v>0</v>
      </c>
      <c r="AP174" s="41">
        <f>H174*(1-0.0108450704225352)</f>
        <v>0</v>
      </c>
      <c r="AQ174" s="42" t="s">
        <v>7</v>
      </c>
      <c r="AV174" s="41">
        <f>AW174+AX174</f>
        <v>0</v>
      </c>
      <c r="AW174" s="41">
        <f>G174*AO174</f>
        <v>0</v>
      </c>
      <c r="AX174" s="41">
        <f>G174*AP174</f>
        <v>0</v>
      </c>
      <c r="AY174" s="44" t="s">
        <v>493</v>
      </c>
      <c r="AZ174" s="44" t="s">
        <v>517</v>
      </c>
      <c r="BA174" s="31" t="s">
        <v>520</v>
      </c>
      <c r="BC174" s="41">
        <f>AW174+AX174</f>
        <v>0</v>
      </c>
      <c r="BD174" s="41">
        <f>H174/(100-BE174)*100</f>
        <v>0</v>
      </c>
      <c r="BE174" s="41">
        <v>0</v>
      </c>
      <c r="BF174" s="41">
        <f>M174</f>
        <v>0.0260372</v>
      </c>
      <c r="BH174" s="21">
        <f>G174*AO174</f>
        <v>0</v>
      </c>
      <c r="BI174" s="21">
        <f>G174*AP174</f>
        <v>0</v>
      </c>
      <c r="BJ174" s="21">
        <f>G174*H174</f>
        <v>0</v>
      </c>
      <c r="BK174" s="21" t="s">
        <v>525</v>
      </c>
      <c r="BL174" s="41">
        <v>95</v>
      </c>
    </row>
    <row r="175" spans="1:47" ht="12.75">
      <c r="A175" s="5"/>
      <c r="B175" s="14"/>
      <c r="C175" s="14" t="s">
        <v>102</v>
      </c>
      <c r="D175" s="127" t="s">
        <v>634</v>
      </c>
      <c r="E175" s="128"/>
      <c r="F175" s="19" t="s">
        <v>6</v>
      </c>
      <c r="G175" s="19" t="s">
        <v>6</v>
      </c>
      <c r="H175" s="19" t="s">
        <v>6</v>
      </c>
      <c r="I175" s="47">
        <f>SUM(I176:I176)</f>
        <v>0</v>
      </c>
      <c r="J175" s="47">
        <f>SUM(J176:J176)</f>
        <v>0</v>
      </c>
      <c r="K175" s="47">
        <f>SUM(K176:K176)</f>
        <v>0</v>
      </c>
      <c r="L175" s="31"/>
      <c r="M175" s="47">
        <f>SUM(M176:M176)</f>
        <v>2.27133</v>
      </c>
      <c r="N175" s="36"/>
      <c r="O175" s="39"/>
      <c r="AI175" s="31"/>
      <c r="AS175" s="47">
        <f>SUM(AJ176:AJ176)</f>
        <v>0</v>
      </c>
      <c r="AT175" s="47">
        <f>SUM(AK176:AK176)</f>
        <v>0</v>
      </c>
      <c r="AU175" s="47">
        <f>SUM(AL176:AL176)</f>
        <v>0</v>
      </c>
    </row>
    <row r="176" spans="1:64" ht="12.75">
      <c r="A176" s="4" t="s">
        <v>78</v>
      </c>
      <c r="B176" s="13"/>
      <c r="C176" s="13" t="s">
        <v>635</v>
      </c>
      <c r="D176" s="125" t="s">
        <v>636</v>
      </c>
      <c r="E176" s="126"/>
      <c r="F176" s="13" t="s">
        <v>594</v>
      </c>
      <c r="G176" s="21">
        <v>1</v>
      </c>
      <c r="H176" s="21">
        <v>0</v>
      </c>
      <c r="I176" s="21">
        <f>G176*AO176</f>
        <v>0</v>
      </c>
      <c r="J176" s="21">
        <f>G176*AP176</f>
        <v>0</v>
      </c>
      <c r="K176" s="21">
        <f>G176*H176</f>
        <v>0</v>
      </c>
      <c r="L176" s="21">
        <v>2.27133</v>
      </c>
      <c r="M176" s="21">
        <f>G176*L176</f>
        <v>2.27133</v>
      </c>
      <c r="N176" s="35" t="s">
        <v>452</v>
      </c>
      <c r="O176" s="39"/>
      <c r="Z176" s="41">
        <f>IF(AQ176="5",BJ176,0)</f>
        <v>0</v>
      </c>
      <c r="AB176" s="41">
        <f>IF(AQ176="1",BH176,0)</f>
        <v>0</v>
      </c>
      <c r="AC176" s="41">
        <f>IF(AQ176="1",BI176,0)</f>
        <v>0</v>
      </c>
      <c r="AD176" s="41">
        <f>IF(AQ176="7",BH176,0)</f>
        <v>0</v>
      </c>
      <c r="AE176" s="41">
        <f>IF(AQ176="7",BI176,0)</f>
        <v>0</v>
      </c>
      <c r="AF176" s="41">
        <f>IF(AQ176="2",BH176,0)</f>
        <v>0</v>
      </c>
      <c r="AG176" s="41">
        <f>IF(AQ176="2",BI176,0)</f>
        <v>0</v>
      </c>
      <c r="AH176" s="41">
        <f>IF(AQ176="0",BJ176,0)</f>
        <v>0</v>
      </c>
      <c r="AI176" s="31"/>
      <c r="AJ176" s="21">
        <f>IF(AN176=0,K176,0)</f>
        <v>0</v>
      </c>
      <c r="AK176" s="21">
        <f>IF(AN176=15,K176,0)</f>
        <v>0</v>
      </c>
      <c r="AL176" s="21">
        <f>IF(AN176=21,K176,0)</f>
        <v>0</v>
      </c>
      <c r="AN176" s="41">
        <v>21</v>
      </c>
      <c r="AO176" s="41">
        <f>H176*0.00936998320449717</f>
        <v>0</v>
      </c>
      <c r="AP176" s="41">
        <f>H176*(1-0.00936998320449717)</f>
        <v>0</v>
      </c>
      <c r="AQ176" s="42" t="s">
        <v>7</v>
      </c>
      <c r="AV176" s="41">
        <f>AW176+AX176</f>
        <v>0</v>
      </c>
      <c r="AW176" s="41">
        <f>G176*AO176</f>
        <v>0</v>
      </c>
      <c r="AX176" s="41">
        <f>G176*AP176</f>
        <v>0</v>
      </c>
      <c r="AY176" s="44" t="s">
        <v>494</v>
      </c>
      <c r="AZ176" s="44" t="s">
        <v>517</v>
      </c>
      <c r="BA176" s="31" t="s">
        <v>520</v>
      </c>
      <c r="BC176" s="41">
        <f>AW176+AX176</f>
        <v>0</v>
      </c>
      <c r="BD176" s="41">
        <f>H176/(100-BE176)*100</f>
        <v>0</v>
      </c>
      <c r="BE176" s="41">
        <v>0</v>
      </c>
      <c r="BF176" s="41">
        <f>M176</f>
        <v>2.27133</v>
      </c>
      <c r="BH176" s="21">
        <f>G176*AO176</f>
        <v>0</v>
      </c>
      <c r="BI176" s="21">
        <f>G176*AP176</f>
        <v>0</v>
      </c>
      <c r="BJ176" s="21">
        <f>G176*H176</f>
        <v>0</v>
      </c>
      <c r="BK176" s="21" t="s">
        <v>525</v>
      </c>
      <c r="BL176" s="41">
        <v>96</v>
      </c>
    </row>
    <row r="177" spans="1:64" ht="12.75">
      <c r="A177" s="117"/>
      <c r="B177" s="114"/>
      <c r="C177" s="114"/>
      <c r="D177" s="114"/>
      <c r="E177" s="111" t="s">
        <v>712</v>
      </c>
      <c r="F177" s="114"/>
      <c r="G177" s="118"/>
      <c r="H177" s="118"/>
      <c r="I177" s="118"/>
      <c r="J177" s="118"/>
      <c r="K177" s="118"/>
      <c r="L177" s="118"/>
      <c r="M177" s="118"/>
      <c r="N177" s="119"/>
      <c r="O177" s="39"/>
      <c r="Z177" s="41"/>
      <c r="AB177" s="41"/>
      <c r="AC177" s="41"/>
      <c r="AD177" s="41"/>
      <c r="AE177" s="41"/>
      <c r="AF177" s="41"/>
      <c r="AG177" s="41"/>
      <c r="AH177" s="41"/>
      <c r="AI177" s="31"/>
      <c r="AJ177" s="21"/>
      <c r="AK177" s="21"/>
      <c r="AL177" s="21"/>
      <c r="AN177" s="41"/>
      <c r="AO177" s="41"/>
      <c r="AP177" s="41"/>
      <c r="AQ177" s="42"/>
      <c r="AV177" s="41"/>
      <c r="AW177" s="41"/>
      <c r="AX177" s="41"/>
      <c r="AY177" s="44"/>
      <c r="AZ177" s="44"/>
      <c r="BA177" s="31"/>
      <c r="BC177" s="41"/>
      <c r="BD177" s="41"/>
      <c r="BE177" s="41"/>
      <c r="BF177" s="41"/>
      <c r="BH177" s="21"/>
      <c r="BI177" s="21"/>
      <c r="BJ177" s="21"/>
      <c r="BK177" s="21"/>
      <c r="BL177" s="41"/>
    </row>
    <row r="178" spans="1:47" ht="12.75">
      <c r="A178" s="5"/>
      <c r="B178" s="14"/>
      <c r="C178" s="14" t="s">
        <v>103</v>
      </c>
      <c r="D178" s="127" t="s">
        <v>368</v>
      </c>
      <c r="E178" s="128"/>
      <c r="F178" s="19" t="s">
        <v>6</v>
      </c>
      <c r="G178" s="19" t="s">
        <v>6</v>
      </c>
      <c r="H178" s="19" t="s">
        <v>6</v>
      </c>
      <c r="I178" s="47">
        <f>SUM(I179:I184)</f>
        <v>0</v>
      </c>
      <c r="J178" s="47">
        <f>SUM(J179:J184)</f>
        <v>0</v>
      </c>
      <c r="K178" s="47">
        <f>SUM(K179:K184)</f>
        <v>0</v>
      </c>
      <c r="L178" s="31"/>
      <c r="M178" s="47">
        <f>SUM(M179:M184)</f>
        <v>47.48368860000001</v>
      </c>
      <c r="N178" s="36"/>
      <c r="O178" s="39"/>
      <c r="AI178" s="31"/>
      <c r="AS178" s="47">
        <f>SUM(AJ179:AJ184)</f>
        <v>0</v>
      </c>
      <c r="AT178" s="47">
        <f>SUM(AK179:AK184)</f>
        <v>0</v>
      </c>
      <c r="AU178" s="47">
        <f>SUM(AL179:AL184)</f>
        <v>0</v>
      </c>
    </row>
    <row r="179" spans="1:64" ht="12.75">
      <c r="A179" s="4" t="s">
        <v>79</v>
      </c>
      <c r="B179" s="13"/>
      <c r="C179" s="13" t="s">
        <v>207</v>
      </c>
      <c r="D179" s="125" t="s">
        <v>369</v>
      </c>
      <c r="E179" s="126"/>
      <c r="F179" s="13" t="s">
        <v>426</v>
      </c>
      <c r="G179" s="21">
        <v>647.08</v>
      </c>
      <c r="H179" s="21">
        <v>0</v>
      </c>
      <c r="I179" s="21">
        <f>G179*AO179</f>
        <v>0</v>
      </c>
      <c r="J179" s="21">
        <f>G179*AP179</f>
        <v>0</v>
      </c>
      <c r="K179" s="21">
        <f>G179*H179</f>
        <v>0</v>
      </c>
      <c r="L179" s="21">
        <v>0.01</v>
      </c>
      <c r="M179" s="21">
        <f>G179*L179</f>
        <v>6.4708000000000006</v>
      </c>
      <c r="N179" s="35" t="s">
        <v>452</v>
      </c>
      <c r="O179" s="39"/>
      <c r="Z179" s="41">
        <f>IF(AQ179="5",BJ179,0)</f>
        <v>0</v>
      </c>
      <c r="AB179" s="41">
        <f>IF(AQ179="1",BH179,0)</f>
        <v>0</v>
      </c>
      <c r="AC179" s="41">
        <f>IF(AQ179="1",BI179,0)</f>
        <v>0</v>
      </c>
      <c r="AD179" s="41">
        <f>IF(AQ179="7",BH179,0)</f>
        <v>0</v>
      </c>
      <c r="AE179" s="41">
        <f>IF(AQ179="7",BI179,0)</f>
        <v>0</v>
      </c>
      <c r="AF179" s="41">
        <f>IF(AQ179="2",BH179,0)</f>
        <v>0</v>
      </c>
      <c r="AG179" s="41">
        <f>IF(AQ179="2",BI179,0)</f>
        <v>0</v>
      </c>
      <c r="AH179" s="41">
        <f>IF(AQ179="0",BJ179,0)</f>
        <v>0</v>
      </c>
      <c r="AI179" s="31"/>
      <c r="AJ179" s="21">
        <f>IF(AN179=0,K179,0)</f>
        <v>0</v>
      </c>
      <c r="AK179" s="21">
        <f>IF(AN179=15,K179,0)</f>
        <v>0</v>
      </c>
      <c r="AL179" s="21">
        <f>IF(AN179=21,K179,0)</f>
        <v>0</v>
      </c>
      <c r="AN179" s="41">
        <v>21</v>
      </c>
      <c r="AO179" s="41">
        <f>H179*0</f>
        <v>0</v>
      </c>
      <c r="AP179" s="41">
        <f>H179*(1-0)</f>
        <v>0</v>
      </c>
      <c r="AQ179" s="42" t="s">
        <v>7</v>
      </c>
      <c r="AV179" s="41">
        <f>AW179+AX179</f>
        <v>0</v>
      </c>
      <c r="AW179" s="41">
        <f>G179*AO179</f>
        <v>0</v>
      </c>
      <c r="AX179" s="41">
        <f>G179*AP179</f>
        <v>0</v>
      </c>
      <c r="AY179" s="44" t="s">
        <v>495</v>
      </c>
      <c r="AZ179" s="44" t="s">
        <v>517</v>
      </c>
      <c r="BA179" s="31" t="s">
        <v>520</v>
      </c>
      <c r="BC179" s="41">
        <f>AW179+AX179</f>
        <v>0</v>
      </c>
      <c r="BD179" s="41">
        <f>H179/(100-BE179)*100</f>
        <v>0</v>
      </c>
      <c r="BE179" s="41">
        <v>0</v>
      </c>
      <c r="BF179" s="41">
        <f>M179</f>
        <v>6.4708000000000006</v>
      </c>
      <c r="BH179" s="21">
        <f>G179*AO179</f>
        <v>0</v>
      </c>
      <c r="BI179" s="21">
        <f>G179*AP179</f>
        <v>0</v>
      </c>
      <c r="BJ179" s="21">
        <f>G179*H179</f>
        <v>0</v>
      </c>
      <c r="BK179" s="21" t="s">
        <v>525</v>
      </c>
      <c r="BL179" s="41">
        <v>97</v>
      </c>
    </row>
    <row r="180" spans="1:64" ht="12.75">
      <c r="A180" s="4" t="s">
        <v>80</v>
      </c>
      <c r="B180" s="13"/>
      <c r="C180" s="13" t="s">
        <v>208</v>
      </c>
      <c r="D180" s="125" t="s">
        <v>370</v>
      </c>
      <c r="E180" s="126"/>
      <c r="F180" s="13" t="s">
        <v>426</v>
      </c>
      <c r="G180" s="21">
        <v>371.01</v>
      </c>
      <c r="H180" s="21">
        <v>0</v>
      </c>
      <c r="I180" s="21">
        <f>G180*AO180</f>
        <v>0</v>
      </c>
      <c r="J180" s="21">
        <f>G180*AP180</f>
        <v>0</v>
      </c>
      <c r="K180" s="21">
        <f>G180*H180</f>
        <v>0</v>
      </c>
      <c r="L180" s="21">
        <v>0.01</v>
      </c>
      <c r="M180" s="21">
        <f>G180*L180</f>
        <v>3.7101</v>
      </c>
      <c r="N180" s="35" t="s">
        <v>452</v>
      </c>
      <c r="O180" s="39"/>
      <c r="Z180" s="41">
        <f>IF(AQ180="5",BJ180,0)</f>
        <v>0</v>
      </c>
      <c r="AB180" s="41">
        <f>IF(AQ180="1",BH180,0)</f>
        <v>0</v>
      </c>
      <c r="AC180" s="41">
        <f>IF(AQ180="1",BI180,0)</f>
        <v>0</v>
      </c>
      <c r="AD180" s="41">
        <f>IF(AQ180="7",BH180,0)</f>
        <v>0</v>
      </c>
      <c r="AE180" s="41">
        <f>IF(AQ180="7",BI180,0)</f>
        <v>0</v>
      </c>
      <c r="AF180" s="41">
        <f>IF(AQ180="2",BH180,0)</f>
        <v>0</v>
      </c>
      <c r="AG180" s="41">
        <f>IF(AQ180="2",BI180,0)</f>
        <v>0</v>
      </c>
      <c r="AH180" s="41">
        <f>IF(AQ180="0",BJ180,0)</f>
        <v>0</v>
      </c>
      <c r="AI180" s="31"/>
      <c r="AJ180" s="21">
        <f>IF(AN180=0,K180,0)</f>
        <v>0</v>
      </c>
      <c r="AK180" s="21">
        <f>IF(AN180=15,K180,0)</f>
        <v>0</v>
      </c>
      <c r="AL180" s="21">
        <f>IF(AN180=21,K180,0)</f>
        <v>0</v>
      </c>
      <c r="AN180" s="41">
        <v>21</v>
      </c>
      <c r="AO180" s="41">
        <f>H180*0</f>
        <v>0</v>
      </c>
      <c r="AP180" s="41">
        <f>H180*(1-0)</f>
        <v>0</v>
      </c>
      <c r="AQ180" s="42" t="s">
        <v>7</v>
      </c>
      <c r="AV180" s="41">
        <f>AW180+AX180</f>
        <v>0</v>
      </c>
      <c r="AW180" s="41">
        <f>G180*AO180</f>
        <v>0</v>
      </c>
      <c r="AX180" s="41">
        <f>G180*AP180</f>
        <v>0</v>
      </c>
      <c r="AY180" s="44" t="s">
        <v>495</v>
      </c>
      <c r="AZ180" s="44" t="s">
        <v>517</v>
      </c>
      <c r="BA180" s="31" t="s">
        <v>520</v>
      </c>
      <c r="BC180" s="41">
        <f>AW180+AX180</f>
        <v>0</v>
      </c>
      <c r="BD180" s="41">
        <f>H180/(100-BE180)*100</f>
        <v>0</v>
      </c>
      <c r="BE180" s="41">
        <v>0</v>
      </c>
      <c r="BF180" s="41">
        <f>M180</f>
        <v>3.7101</v>
      </c>
      <c r="BH180" s="21">
        <f>G180*AO180</f>
        <v>0</v>
      </c>
      <c r="BI180" s="21">
        <f>G180*AP180</f>
        <v>0</v>
      </c>
      <c r="BJ180" s="21">
        <f>G180*H180</f>
        <v>0</v>
      </c>
      <c r="BK180" s="21" t="s">
        <v>525</v>
      </c>
      <c r="BL180" s="41">
        <v>97</v>
      </c>
    </row>
    <row r="181" spans="1:64" ht="12.75">
      <c r="A181" s="4" t="s">
        <v>81</v>
      </c>
      <c r="B181" s="13"/>
      <c r="C181" s="13" t="s">
        <v>209</v>
      </c>
      <c r="D181" s="125" t="s">
        <v>371</v>
      </c>
      <c r="E181" s="126"/>
      <c r="F181" s="13" t="s">
        <v>426</v>
      </c>
      <c r="G181" s="21">
        <v>640.41</v>
      </c>
      <c r="H181" s="21">
        <v>0</v>
      </c>
      <c r="I181" s="21">
        <f>G181*AO181</f>
        <v>0</v>
      </c>
      <c r="J181" s="21">
        <f>G181*AP181</f>
        <v>0</v>
      </c>
      <c r="K181" s="21">
        <f>G181*H181</f>
        <v>0</v>
      </c>
      <c r="L181" s="21">
        <v>0.016</v>
      </c>
      <c r="M181" s="21">
        <f>G181*L181</f>
        <v>10.24656</v>
      </c>
      <c r="N181" s="35" t="s">
        <v>452</v>
      </c>
      <c r="O181" s="39"/>
      <c r="Z181" s="41">
        <f>IF(AQ181="5",BJ181,0)</f>
        <v>0</v>
      </c>
      <c r="AB181" s="41">
        <f>IF(AQ181="1",BH181,0)</f>
        <v>0</v>
      </c>
      <c r="AC181" s="41">
        <f>IF(AQ181="1",BI181,0)</f>
        <v>0</v>
      </c>
      <c r="AD181" s="41">
        <f>IF(AQ181="7",BH181,0)</f>
        <v>0</v>
      </c>
      <c r="AE181" s="41">
        <f>IF(AQ181="7",BI181,0)</f>
        <v>0</v>
      </c>
      <c r="AF181" s="41">
        <f>IF(AQ181="2",BH181,0)</f>
        <v>0</v>
      </c>
      <c r="AG181" s="41">
        <f>IF(AQ181="2",BI181,0)</f>
        <v>0</v>
      </c>
      <c r="AH181" s="41">
        <f>IF(AQ181="0",BJ181,0)</f>
        <v>0</v>
      </c>
      <c r="AI181" s="31"/>
      <c r="AJ181" s="21">
        <f>IF(AN181=0,K181,0)</f>
        <v>0</v>
      </c>
      <c r="AK181" s="21">
        <f>IF(AN181=15,K181,0)</f>
        <v>0</v>
      </c>
      <c r="AL181" s="21">
        <f>IF(AN181=21,K181,0)</f>
        <v>0</v>
      </c>
      <c r="AN181" s="41">
        <v>21</v>
      </c>
      <c r="AO181" s="41">
        <f>H181*0</f>
        <v>0</v>
      </c>
      <c r="AP181" s="41">
        <f>H181*(1-0)</f>
        <v>0</v>
      </c>
      <c r="AQ181" s="42" t="s">
        <v>7</v>
      </c>
      <c r="AV181" s="41">
        <f>AW181+AX181</f>
        <v>0</v>
      </c>
      <c r="AW181" s="41">
        <f>G181*AO181</f>
        <v>0</v>
      </c>
      <c r="AX181" s="41">
        <f>G181*AP181</f>
        <v>0</v>
      </c>
      <c r="AY181" s="44" t="s">
        <v>495</v>
      </c>
      <c r="AZ181" s="44" t="s">
        <v>517</v>
      </c>
      <c r="BA181" s="31" t="s">
        <v>520</v>
      </c>
      <c r="BC181" s="41">
        <f>AW181+AX181</f>
        <v>0</v>
      </c>
      <c r="BD181" s="41">
        <f>H181/(100-BE181)*100</f>
        <v>0</v>
      </c>
      <c r="BE181" s="41">
        <v>0</v>
      </c>
      <c r="BF181" s="41">
        <f>M181</f>
        <v>10.24656</v>
      </c>
      <c r="BH181" s="21">
        <f>G181*AO181</f>
        <v>0</v>
      </c>
      <c r="BI181" s="21">
        <f>G181*AP181</f>
        <v>0</v>
      </c>
      <c r="BJ181" s="21">
        <f>G181*H181</f>
        <v>0</v>
      </c>
      <c r="BK181" s="21" t="s">
        <v>525</v>
      </c>
      <c r="BL181" s="41">
        <v>97</v>
      </c>
    </row>
    <row r="182" spans="1:64" ht="12.75">
      <c r="A182" s="4" t="s">
        <v>82</v>
      </c>
      <c r="B182" s="13"/>
      <c r="C182" s="13" t="s">
        <v>210</v>
      </c>
      <c r="D182" s="125" t="s">
        <v>372</v>
      </c>
      <c r="E182" s="126"/>
      <c r="F182" s="13" t="s">
        <v>426</v>
      </c>
      <c r="G182" s="21">
        <v>12.54</v>
      </c>
      <c r="H182" s="21">
        <v>0</v>
      </c>
      <c r="I182" s="21">
        <f>G182*AO182</f>
        <v>0</v>
      </c>
      <c r="J182" s="21">
        <f>G182*AP182</f>
        <v>0</v>
      </c>
      <c r="K182" s="21">
        <f>G182*H182</f>
        <v>0</v>
      </c>
      <c r="L182" s="21">
        <v>1.08109</v>
      </c>
      <c r="M182" s="21">
        <f>G182*L182</f>
        <v>13.5568686</v>
      </c>
      <c r="N182" s="35" t="s">
        <v>452</v>
      </c>
      <c r="O182" s="39"/>
      <c r="Z182" s="41">
        <f>IF(AQ182="5",BJ182,0)</f>
        <v>0</v>
      </c>
      <c r="AB182" s="41">
        <f>IF(AQ182="1",BH182,0)</f>
        <v>0</v>
      </c>
      <c r="AC182" s="41">
        <f>IF(AQ182="1",BI182,0)</f>
        <v>0</v>
      </c>
      <c r="AD182" s="41">
        <f>IF(AQ182="7",BH182,0)</f>
        <v>0</v>
      </c>
      <c r="AE182" s="41">
        <f>IF(AQ182="7",BI182,0)</f>
        <v>0</v>
      </c>
      <c r="AF182" s="41">
        <f>IF(AQ182="2",BH182,0)</f>
        <v>0</v>
      </c>
      <c r="AG182" s="41">
        <f>IF(AQ182="2",BI182,0)</f>
        <v>0</v>
      </c>
      <c r="AH182" s="41">
        <f>IF(AQ182="0",BJ182,0)</f>
        <v>0</v>
      </c>
      <c r="AI182" s="31"/>
      <c r="AJ182" s="21">
        <f>IF(AN182=0,K182,0)</f>
        <v>0</v>
      </c>
      <c r="AK182" s="21">
        <f>IF(AN182=15,K182,0)</f>
        <v>0</v>
      </c>
      <c r="AL182" s="21">
        <f>IF(AN182=21,K182,0)</f>
        <v>0</v>
      </c>
      <c r="AN182" s="41">
        <v>21</v>
      </c>
      <c r="AO182" s="41">
        <f>H182*0.0107832919110012</f>
        <v>0</v>
      </c>
      <c r="AP182" s="41">
        <f>H182*(1-0.0107832919110012)</f>
        <v>0</v>
      </c>
      <c r="AQ182" s="42" t="s">
        <v>7</v>
      </c>
      <c r="AV182" s="41">
        <f>AW182+AX182</f>
        <v>0</v>
      </c>
      <c r="AW182" s="41">
        <f>G182*AO182</f>
        <v>0</v>
      </c>
      <c r="AX182" s="41">
        <f>G182*AP182</f>
        <v>0</v>
      </c>
      <c r="AY182" s="44" t="s">
        <v>495</v>
      </c>
      <c r="AZ182" s="44" t="s">
        <v>517</v>
      </c>
      <c r="BA182" s="31" t="s">
        <v>520</v>
      </c>
      <c r="BC182" s="41">
        <f>AW182+AX182</f>
        <v>0</v>
      </c>
      <c r="BD182" s="41">
        <f>H182/(100-BE182)*100</f>
        <v>0</v>
      </c>
      <c r="BE182" s="41">
        <v>0</v>
      </c>
      <c r="BF182" s="41">
        <f>M182</f>
        <v>13.5568686</v>
      </c>
      <c r="BH182" s="21">
        <f>G182*AO182</f>
        <v>0</v>
      </c>
      <c r="BI182" s="21">
        <f>G182*AP182</f>
        <v>0</v>
      </c>
      <c r="BJ182" s="21">
        <f>G182*H182</f>
        <v>0</v>
      </c>
      <c r="BK182" s="21" t="s">
        <v>525</v>
      </c>
      <c r="BL182" s="41">
        <v>97</v>
      </c>
    </row>
    <row r="183" spans="1:64" ht="12.75">
      <c r="A183" s="117"/>
      <c r="B183" s="114"/>
      <c r="C183" s="114"/>
      <c r="D183" s="114"/>
      <c r="E183" s="111" t="s">
        <v>713</v>
      </c>
      <c r="F183" s="114"/>
      <c r="G183" s="118"/>
      <c r="H183" s="118"/>
      <c r="I183" s="118"/>
      <c r="J183" s="118"/>
      <c r="K183" s="118"/>
      <c r="L183" s="118"/>
      <c r="M183" s="118"/>
      <c r="N183" s="119"/>
      <c r="O183" s="39"/>
      <c r="Z183" s="41"/>
      <c r="AB183" s="41"/>
      <c r="AC183" s="41"/>
      <c r="AD183" s="41"/>
      <c r="AE183" s="41"/>
      <c r="AF183" s="41"/>
      <c r="AG183" s="41"/>
      <c r="AH183" s="41"/>
      <c r="AI183" s="31"/>
      <c r="AJ183" s="21"/>
      <c r="AK183" s="21"/>
      <c r="AL183" s="21"/>
      <c r="AN183" s="41"/>
      <c r="AO183" s="41"/>
      <c r="AP183" s="41"/>
      <c r="AQ183" s="42"/>
      <c r="AV183" s="41"/>
      <c r="AW183" s="41"/>
      <c r="AX183" s="41"/>
      <c r="AY183" s="44"/>
      <c r="AZ183" s="44"/>
      <c r="BA183" s="31"/>
      <c r="BC183" s="41"/>
      <c r="BD183" s="41"/>
      <c r="BE183" s="41"/>
      <c r="BF183" s="41"/>
      <c r="BH183" s="21"/>
      <c r="BI183" s="21"/>
      <c r="BJ183" s="21"/>
      <c r="BK183" s="21"/>
      <c r="BL183" s="41"/>
    </row>
    <row r="184" spans="1:64" ht="12.75">
      <c r="A184" s="4" t="s">
        <v>83</v>
      </c>
      <c r="B184" s="13"/>
      <c r="C184" s="13" t="s">
        <v>211</v>
      </c>
      <c r="D184" s="125" t="s">
        <v>373</v>
      </c>
      <c r="E184" s="126"/>
      <c r="F184" s="13" t="s">
        <v>426</v>
      </c>
      <c r="G184" s="21">
        <v>198.52</v>
      </c>
      <c r="H184" s="21">
        <v>0</v>
      </c>
      <c r="I184" s="21">
        <f>G184*AO184</f>
        <v>0</v>
      </c>
      <c r="J184" s="21">
        <f>G184*AP184</f>
        <v>0</v>
      </c>
      <c r="K184" s="21">
        <f>G184*H184</f>
        <v>0</v>
      </c>
      <c r="L184" s="21">
        <v>0.068</v>
      </c>
      <c r="M184" s="21">
        <f>G184*L184</f>
        <v>13.499360000000001</v>
      </c>
      <c r="N184" s="35" t="s">
        <v>452</v>
      </c>
      <c r="O184" s="39"/>
      <c r="Z184" s="41">
        <f>IF(AQ184="5",BJ184,0)</f>
        <v>0</v>
      </c>
      <c r="AB184" s="41">
        <f>IF(AQ184="1",BH184,0)</f>
        <v>0</v>
      </c>
      <c r="AC184" s="41">
        <f>IF(AQ184="1",BI184,0)</f>
        <v>0</v>
      </c>
      <c r="AD184" s="41">
        <f>IF(AQ184="7",BH184,0)</f>
        <v>0</v>
      </c>
      <c r="AE184" s="41">
        <f>IF(AQ184="7",BI184,0)</f>
        <v>0</v>
      </c>
      <c r="AF184" s="41">
        <f>IF(AQ184="2",BH184,0)</f>
        <v>0</v>
      </c>
      <c r="AG184" s="41">
        <f>IF(AQ184="2",BI184,0)</f>
        <v>0</v>
      </c>
      <c r="AH184" s="41">
        <f>IF(AQ184="0",BJ184,0)</f>
        <v>0</v>
      </c>
      <c r="AI184" s="31"/>
      <c r="AJ184" s="21">
        <f>IF(AN184=0,K184,0)</f>
        <v>0</v>
      </c>
      <c r="AK184" s="21">
        <f>IF(AN184=15,K184,0)</f>
        <v>0</v>
      </c>
      <c r="AL184" s="21">
        <f>IF(AN184=21,K184,0)</f>
        <v>0</v>
      </c>
      <c r="AN184" s="41">
        <v>21</v>
      </c>
      <c r="AO184" s="41">
        <f>H184*0</f>
        <v>0</v>
      </c>
      <c r="AP184" s="41">
        <f>H184*(1-0)</f>
        <v>0</v>
      </c>
      <c r="AQ184" s="42" t="s">
        <v>7</v>
      </c>
      <c r="AV184" s="41">
        <f>AW184+AX184</f>
        <v>0</v>
      </c>
      <c r="AW184" s="41">
        <f>G184*AO184</f>
        <v>0</v>
      </c>
      <c r="AX184" s="41">
        <f>G184*AP184</f>
        <v>0</v>
      </c>
      <c r="AY184" s="44" t="s">
        <v>495</v>
      </c>
      <c r="AZ184" s="44" t="s">
        <v>517</v>
      </c>
      <c r="BA184" s="31" t="s">
        <v>520</v>
      </c>
      <c r="BC184" s="41">
        <f>AW184+AX184</f>
        <v>0</v>
      </c>
      <c r="BD184" s="41">
        <f>H184/(100-BE184)*100</f>
        <v>0</v>
      </c>
      <c r="BE184" s="41">
        <v>0</v>
      </c>
      <c r="BF184" s="41">
        <f>M184</f>
        <v>13.499360000000001</v>
      </c>
      <c r="BH184" s="21">
        <f>G184*AO184</f>
        <v>0</v>
      </c>
      <c r="BI184" s="21">
        <f>G184*AP184</f>
        <v>0</v>
      </c>
      <c r="BJ184" s="21">
        <f>G184*H184</f>
        <v>0</v>
      </c>
      <c r="BK184" s="21" t="s">
        <v>525</v>
      </c>
      <c r="BL184" s="41">
        <v>97</v>
      </c>
    </row>
    <row r="185" spans="1:64" ht="12.75">
      <c r="A185" s="117"/>
      <c r="B185" s="114"/>
      <c r="C185" s="114"/>
      <c r="D185" s="114"/>
      <c r="E185" s="111" t="s">
        <v>714</v>
      </c>
      <c r="F185" s="114"/>
      <c r="G185" s="118"/>
      <c r="H185" s="118"/>
      <c r="I185" s="118"/>
      <c r="J185" s="118"/>
      <c r="K185" s="118"/>
      <c r="L185" s="118"/>
      <c r="M185" s="118"/>
      <c r="N185" s="119"/>
      <c r="O185" s="39"/>
      <c r="Z185" s="41"/>
      <c r="AB185" s="41"/>
      <c r="AC185" s="41"/>
      <c r="AD185" s="41"/>
      <c r="AE185" s="41"/>
      <c r="AF185" s="41"/>
      <c r="AG185" s="41"/>
      <c r="AH185" s="41"/>
      <c r="AI185" s="31"/>
      <c r="AJ185" s="21"/>
      <c r="AK185" s="21"/>
      <c r="AL185" s="21"/>
      <c r="AN185" s="41"/>
      <c r="AO185" s="41"/>
      <c r="AP185" s="41"/>
      <c r="AQ185" s="42"/>
      <c r="AV185" s="41"/>
      <c r="AW185" s="41"/>
      <c r="AX185" s="41"/>
      <c r="AY185" s="44"/>
      <c r="AZ185" s="44"/>
      <c r="BA185" s="31"/>
      <c r="BC185" s="41"/>
      <c r="BD185" s="41"/>
      <c r="BE185" s="41"/>
      <c r="BF185" s="41"/>
      <c r="BH185" s="21"/>
      <c r="BI185" s="21"/>
      <c r="BJ185" s="21"/>
      <c r="BK185" s="21"/>
      <c r="BL185" s="41"/>
    </row>
    <row r="186" spans="1:47" ht="12.75">
      <c r="A186" s="5"/>
      <c r="B186" s="14"/>
      <c r="C186" s="14" t="s">
        <v>104</v>
      </c>
      <c r="D186" s="127" t="s">
        <v>374</v>
      </c>
      <c r="E186" s="128"/>
      <c r="F186" s="19" t="s">
        <v>6</v>
      </c>
      <c r="G186" s="19" t="s">
        <v>6</v>
      </c>
      <c r="H186" s="19" t="s">
        <v>6</v>
      </c>
      <c r="I186" s="47">
        <f>SUM(I187:I201)</f>
        <v>0</v>
      </c>
      <c r="J186" s="47">
        <f>SUM(J187:J201)</f>
        <v>0</v>
      </c>
      <c r="K186" s="47">
        <f>SUM(K187:K201)</f>
        <v>0</v>
      </c>
      <c r="L186" s="31"/>
      <c r="M186" s="47">
        <f>SUM(M187:M201)</f>
        <v>436.3463183</v>
      </c>
      <c r="N186" s="36"/>
      <c r="O186" s="39"/>
      <c r="AI186" s="31"/>
      <c r="AS186" s="47">
        <f>SUM(AJ187:AJ201)</f>
        <v>0</v>
      </c>
      <c r="AT186" s="47">
        <f>SUM(AK187:AK201)</f>
        <v>0</v>
      </c>
      <c r="AU186" s="47">
        <f>SUM(AL187:AL201)</f>
        <v>0</v>
      </c>
    </row>
    <row r="187" spans="1:64" ht="12.75">
      <c r="A187" s="4" t="s">
        <v>84</v>
      </c>
      <c r="B187" s="13"/>
      <c r="C187" s="13" t="s">
        <v>637</v>
      </c>
      <c r="D187" s="125" t="s">
        <v>375</v>
      </c>
      <c r="E187" s="126"/>
      <c r="F187" s="13" t="s">
        <v>425</v>
      </c>
      <c r="G187" s="21">
        <v>40.23</v>
      </c>
      <c r="H187" s="21">
        <v>0</v>
      </c>
      <c r="I187" s="21">
        <f>G187*AO187</f>
        <v>0</v>
      </c>
      <c r="J187" s="21">
        <f>G187*AP187</f>
        <v>0</v>
      </c>
      <c r="K187" s="21">
        <f>G187*H187</f>
        <v>0</v>
      </c>
      <c r="L187" s="21">
        <v>2.41674</v>
      </c>
      <c r="M187" s="21">
        <f>G187*L187</f>
        <v>97.22545019999998</v>
      </c>
      <c r="N187" s="35" t="s">
        <v>593</v>
      </c>
      <c r="O187" s="39"/>
      <c r="Z187" s="41">
        <f>IF(AQ187="5",BJ187,0)</f>
        <v>0</v>
      </c>
      <c r="AB187" s="41">
        <f>IF(AQ187="1",BH187,0)</f>
        <v>0</v>
      </c>
      <c r="AC187" s="41">
        <f>IF(AQ187="1",BI187,0)</f>
        <v>0</v>
      </c>
      <c r="AD187" s="41">
        <f>IF(AQ187="7",BH187,0)</f>
        <v>0</v>
      </c>
      <c r="AE187" s="41">
        <f>IF(AQ187="7",BI187,0)</f>
        <v>0</v>
      </c>
      <c r="AF187" s="41">
        <f>IF(AQ187="2",BH187,0)</f>
        <v>0</v>
      </c>
      <c r="AG187" s="41">
        <f>IF(AQ187="2",BI187,0)</f>
        <v>0</v>
      </c>
      <c r="AH187" s="41">
        <f>IF(AQ187="0",BJ187,0)</f>
        <v>0</v>
      </c>
      <c r="AI187" s="31"/>
      <c r="AJ187" s="21">
        <f>IF(AN187=0,K187,0)</f>
        <v>0</v>
      </c>
      <c r="AK187" s="21">
        <f>IF(AN187=15,K187,0)</f>
        <v>0</v>
      </c>
      <c r="AL187" s="21">
        <f>IF(AN187=21,K187,0)</f>
        <v>0</v>
      </c>
      <c r="AN187" s="41">
        <v>21</v>
      </c>
      <c r="AO187" s="41">
        <f>H187*0.0201711607973805</f>
        <v>0</v>
      </c>
      <c r="AP187" s="41">
        <f>H187*(1-0.0201711607973805)</f>
        <v>0</v>
      </c>
      <c r="AQ187" s="42" t="s">
        <v>7</v>
      </c>
      <c r="AV187" s="41">
        <f>AW187+AX187</f>
        <v>0</v>
      </c>
      <c r="AW187" s="41">
        <f>G187*AO187</f>
        <v>0</v>
      </c>
      <c r="AX187" s="41">
        <f>G187*AP187</f>
        <v>0</v>
      </c>
      <c r="AY187" s="44" t="s">
        <v>496</v>
      </c>
      <c r="AZ187" s="44" t="s">
        <v>517</v>
      </c>
      <c r="BA187" s="31" t="s">
        <v>520</v>
      </c>
      <c r="BC187" s="41">
        <f>AW187+AX187</f>
        <v>0</v>
      </c>
      <c r="BD187" s="41">
        <f>H187/(100-BE187)*100</f>
        <v>0</v>
      </c>
      <c r="BE187" s="41">
        <v>0</v>
      </c>
      <c r="BF187" s="41">
        <f>M187</f>
        <v>97.22545019999998</v>
      </c>
      <c r="BH187" s="21">
        <f>G187*AO187</f>
        <v>0</v>
      </c>
      <c r="BI187" s="21">
        <f>G187*AP187</f>
        <v>0</v>
      </c>
      <c r="BJ187" s="21">
        <f>G187*H187</f>
        <v>0</v>
      </c>
      <c r="BK187" s="21" t="s">
        <v>525</v>
      </c>
      <c r="BL187" s="41">
        <v>98</v>
      </c>
    </row>
    <row r="188" spans="1:64" ht="12.75">
      <c r="A188" s="117"/>
      <c r="B188" s="114"/>
      <c r="C188" s="114"/>
      <c r="D188" s="114"/>
      <c r="E188" s="111" t="s">
        <v>667</v>
      </c>
      <c r="F188" s="114"/>
      <c r="G188" s="118"/>
      <c r="H188" s="118"/>
      <c r="I188" s="118"/>
      <c r="J188" s="118"/>
      <c r="K188" s="118"/>
      <c r="L188" s="118"/>
      <c r="M188" s="118"/>
      <c r="N188" s="119"/>
      <c r="O188" s="39"/>
      <c r="Z188" s="41"/>
      <c r="AB188" s="41"/>
      <c r="AC188" s="41"/>
      <c r="AD188" s="41"/>
      <c r="AE188" s="41"/>
      <c r="AF188" s="41"/>
      <c r="AG188" s="41"/>
      <c r="AH188" s="41"/>
      <c r="AI188" s="31"/>
      <c r="AJ188" s="21"/>
      <c r="AK188" s="21"/>
      <c r="AL188" s="21"/>
      <c r="AN188" s="41"/>
      <c r="AO188" s="41"/>
      <c r="AP188" s="41"/>
      <c r="AQ188" s="42"/>
      <c r="AV188" s="41"/>
      <c r="AW188" s="41"/>
      <c r="AX188" s="41"/>
      <c r="AY188" s="44"/>
      <c r="AZ188" s="44"/>
      <c r="BA188" s="31"/>
      <c r="BC188" s="41"/>
      <c r="BD188" s="41"/>
      <c r="BE188" s="41"/>
      <c r="BF188" s="41"/>
      <c r="BH188" s="21"/>
      <c r="BI188" s="21"/>
      <c r="BJ188" s="21"/>
      <c r="BK188" s="21"/>
      <c r="BL188" s="41"/>
    </row>
    <row r="189" spans="1:64" ht="12.75">
      <c r="A189" s="117"/>
      <c r="B189" s="114"/>
      <c r="C189" s="114"/>
      <c r="D189" s="114"/>
      <c r="E189" s="111" t="s">
        <v>715</v>
      </c>
      <c r="F189" s="114"/>
      <c r="G189" s="118"/>
      <c r="H189" s="118"/>
      <c r="I189" s="118"/>
      <c r="J189" s="118"/>
      <c r="K189" s="118"/>
      <c r="L189" s="118"/>
      <c r="M189" s="118"/>
      <c r="N189" s="119"/>
      <c r="O189" s="39"/>
      <c r="Z189" s="41"/>
      <c r="AB189" s="41"/>
      <c r="AC189" s="41"/>
      <c r="AD189" s="41"/>
      <c r="AE189" s="41"/>
      <c r="AF189" s="41"/>
      <c r="AG189" s="41"/>
      <c r="AH189" s="41"/>
      <c r="AI189" s="31"/>
      <c r="AJ189" s="21"/>
      <c r="AK189" s="21"/>
      <c r="AL189" s="21"/>
      <c r="AN189" s="41"/>
      <c r="AO189" s="41"/>
      <c r="AP189" s="41"/>
      <c r="AQ189" s="42"/>
      <c r="AV189" s="41"/>
      <c r="AW189" s="41"/>
      <c r="AX189" s="41"/>
      <c r="AY189" s="44"/>
      <c r="AZ189" s="44"/>
      <c r="BA189" s="31"/>
      <c r="BC189" s="41"/>
      <c r="BD189" s="41"/>
      <c r="BE189" s="41"/>
      <c r="BF189" s="41"/>
      <c r="BH189" s="21"/>
      <c r="BI189" s="21"/>
      <c r="BJ189" s="21"/>
      <c r="BK189" s="21"/>
      <c r="BL189" s="41"/>
    </row>
    <row r="190" spans="1:64" ht="12.75">
      <c r="A190" s="117"/>
      <c r="B190" s="114"/>
      <c r="C190" s="114"/>
      <c r="D190" s="114"/>
      <c r="E190" s="111" t="s">
        <v>716</v>
      </c>
      <c r="F190" s="114"/>
      <c r="G190" s="118"/>
      <c r="H190" s="118"/>
      <c r="I190" s="118"/>
      <c r="J190" s="118"/>
      <c r="K190" s="118"/>
      <c r="L190" s="118"/>
      <c r="M190" s="118"/>
      <c r="N190" s="119"/>
      <c r="O190" s="39"/>
      <c r="Z190" s="41"/>
      <c r="AB190" s="41"/>
      <c r="AC190" s="41"/>
      <c r="AD190" s="41"/>
      <c r="AE190" s="41"/>
      <c r="AF190" s="41"/>
      <c r="AG190" s="41"/>
      <c r="AH190" s="41"/>
      <c r="AI190" s="31"/>
      <c r="AJ190" s="21"/>
      <c r="AK190" s="21"/>
      <c r="AL190" s="21"/>
      <c r="AN190" s="41"/>
      <c r="AO190" s="41"/>
      <c r="AP190" s="41"/>
      <c r="AQ190" s="42"/>
      <c r="AV190" s="41"/>
      <c r="AW190" s="41"/>
      <c r="AX190" s="41"/>
      <c r="AY190" s="44"/>
      <c r="AZ190" s="44"/>
      <c r="BA190" s="31"/>
      <c r="BC190" s="41"/>
      <c r="BD190" s="41"/>
      <c r="BE190" s="41"/>
      <c r="BF190" s="41"/>
      <c r="BH190" s="21"/>
      <c r="BI190" s="21"/>
      <c r="BJ190" s="21"/>
      <c r="BK190" s="21"/>
      <c r="BL190" s="41"/>
    </row>
    <row r="191" spans="1:64" ht="12.75">
      <c r="A191" s="4" t="s">
        <v>85</v>
      </c>
      <c r="B191" s="13"/>
      <c r="C191" s="13" t="s">
        <v>638</v>
      </c>
      <c r="D191" s="125" t="s">
        <v>640</v>
      </c>
      <c r="E191" s="126"/>
      <c r="F191" s="13" t="s">
        <v>425</v>
      </c>
      <c r="G191" s="21">
        <v>161.35</v>
      </c>
      <c r="H191" s="21">
        <v>0</v>
      </c>
      <c r="I191" s="21">
        <f>G191*AO191</f>
        <v>0</v>
      </c>
      <c r="J191" s="21">
        <f>G191*AP191</f>
        <v>0</v>
      </c>
      <c r="K191" s="21">
        <f>G191*H191</f>
        <v>0</v>
      </c>
      <c r="L191" s="21">
        <v>1.80097</v>
      </c>
      <c r="M191" s="21">
        <f>G191*L191</f>
        <v>290.5865095</v>
      </c>
      <c r="N191" s="35" t="s">
        <v>593</v>
      </c>
      <c r="O191" s="39"/>
      <c r="Z191" s="41">
        <f>IF(AQ191="5",BJ191,0)</f>
        <v>0</v>
      </c>
      <c r="AB191" s="41">
        <f>IF(AQ191="1",BH191,0)</f>
        <v>0</v>
      </c>
      <c r="AC191" s="41">
        <f>IF(AQ191="1",BI191,0)</f>
        <v>0</v>
      </c>
      <c r="AD191" s="41">
        <f>IF(AQ191="7",BH191,0)</f>
        <v>0</v>
      </c>
      <c r="AE191" s="41">
        <f>IF(AQ191="7",BI191,0)</f>
        <v>0</v>
      </c>
      <c r="AF191" s="41">
        <f>IF(AQ191="2",BH191,0)</f>
        <v>0</v>
      </c>
      <c r="AG191" s="41">
        <f>IF(AQ191="2",BI191,0)</f>
        <v>0</v>
      </c>
      <c r="AH191" s="41">
        <f>IF(AQ191="0",BJ191,0)</f>
        <v>0</v>
      </c>
      <c r="AI191" s="31"/>
      <c r="AJ191" s="21">
        <f>IF(AN191=0,K191,0)</f>
        <v>0</v>
      </c>
      <c r="AK191" s="21">
        <f>IF(AN191=15,K191,0)</f>
        <v>0</v>
      </c>
      <c r="AL191" s="21">
        <f>IF(AN191=21,K191,0)</f>
        <v>0</v>
      </c>
      <c r="AN191" s="41">
        <v>21</v>
      </c>
      <c r="AO191" s="41">
        <f>H191*0.00201634472511144</f>
        <v>0</v>
      </c>
      <c r="AP191" s="41">
        <f>H191*(1-0.00201634472511144)</f>
        <v>0</v>
      </c>
      <c r="AQ191" s="42" t="s">
        <v>7</v>
      </c>
      <c r="AV191" s="41">
        <f>AW191+AX191</f>
        <v>0</v>
      </c>
      <c r="AW191" s="41">
        <f>G191*AO191</f>
        <v>0</v>
      </c>
      <c r="AX191" s="41">
        <f>G191*AP191</f>
        <v>0</v>
      </c>
      <c r="AY191" s="44" t="s">
        <v>496</v>
      </c>
      <c r="AZ191" s="44" t="s">
        <v>517</v>
      </c>
      <c r="BA191" s="31" t="s">
        <v>520</v>
      </c>
      <c r="BC191" s="41">
        <f>AW191+AX191</f>
        <v>0</v>
      </c>
      <c r="BD191" s="41">
        <f>H191/(100-BE191)*100</f>
        <v>0</v>
      </c>
      <c r="BE191" s="41">
        <v>0</v>
      </c>
      <c r="BF191" s="41">
        <f>M191</f>
        <v>290.5865095</v>
      </c>
      <c r="BH191" s="21">
        <f>G191*AO191</f>
        <v>0</v>
      </c>
      <c r="BI191" s="21">
        <f>G191*AP191</f>
        <v>0</v>
      </c>
      <c r="BJ191" s="21">
        <f>G191*H191</f>
        <v>0</v>
      </c>
      <c r="BK191" s="21" t="s">
        <v>525</v>
      </c>
      <c r="BL191" s="41">
        <v>98</v>
      </c>
    </row>
    <row r="192" spans="1:64" ht="12.75">
      <c r="A192" s="109"/>
      <c r="B192" s="110"/>
      <c r="C192" s="114"/>
      <c r="D192" s="114"/>
      <c r="E192" s="111" t="s">
        <v>717</v>
      </c>
      <c r="F192" s="110"/>
      <c r="G192" s="112"/>
      <c r="H192" s="112"/>
      <c r="I192" s="112"/>
      <c r="J192" s="112"/>
      <c r="K192" s="112"/>
      <c r="L192" s="112"/>
      <c r="M192" s="112"/>
      <c r="N192" s="113"/>
      <c r="O192" s="39"/>
      <c r="Z192" s="41"/>
      <c r="AB192" s="41"/>
      <c r="AC192" s="41"/>
      <c r="AD192" s="41"/>
      <c r="AE192" s="41"/>
      <c r="AF192" s="41"/>
      <c r="AG192" s="41"/>
      <c r="AH192" s="41"/>
      <c r="AI192" s="31"/>
      <c r="AJ192" s="21"/>
      <c r="AK192" s="21"/>
      <c r="AL192" s="21"/>
      <c r="AN192" s="41"/>
      <c r="AO192" s="41"/>
      <c r="AP192" s="41"/>
      <c r="AQ192" s="42"/>
      <c r="AV192" s="41"/>
      <c r="AW192" s="41"/>
      <c r="AX192" s="41"/>
      <c r="AY192" s="44"/>
      <c r="AZ192" s="44"/>
      <c r="BA192" s="31"/>
      <c r="BC192" s="41"/>
      <c r="BD192" s="41"/>
      <c r="BE192" s="41"/>
      <c r="BF192" s="41"/>
      <c r="BH192" s="21"/>
      <c r="BI192" s="21"/>
      <c r="BJ192" s="21"/>
      <c r="BK192" s="21"/>
      <c r="BL192" s="41"/>
    </row>
    <row r="193" spans="1:64" ht="12.75">
      <c r="A193" s="109"/>
      <c r="B193" s="110"/>
      <c r="C193" s="114"/>
      <c r="D193" s="114"/>
      <c r="E193" s="111" t="s">
        <v>718</v>
      </c>
      <c r="F193" s="110"/>
      <c r="G193" s="112"/>
      <c r="H193" s="112"/>
      <c r="I193" s="112"/>
      <c r="J193" s="112"/>
      <c r="K193" s="112"/>
      <c r="L193" s="112"/>
      <c r="M193" s="112"/>
      <c r="N193" s="113"/>
      <c r="O193" s="39"/>
      <c r="Z193" s="41"/>
      <c r="AB193" s="41"/>
      <c r="AC193" s="41"/>
      <c r="AD193" s="41"/>
      <c r="AE193" s="41"/>
      <c r="AF193" s="41"/>
      <c r="AG193" s="41"/>
      <c r="AH193" s="41"/>
      <c r="AI193" s="31"/>
      <c r="AJ193" s="21"/>
      <c r="AK193" s="21"/>
      <c r="AL193" s="21"/>
      <c r="AN193" s="41"/>
      <c r="AO193" s="41"/>
      <c r="AP193" s="41"/>
      <c r="AQ193" s="42"/>
      <c r="AV193" s="41"/>
      <c r="AW193" s="41"/>
      <c r="AX193" s="41"/>
      <c r="AY193" s="44"/>
      <c r="AZ193" s="44"/>
      <c r="BA193" s="31"/>
      <c r="BC193" s="41"/>
      <c r="BD193" s="41"/>
      <c r="BE193" s="41"/>
      <c r="BF193" s="41"/>
      <c r="BH193" s="21"/>
      <c r="BI193" s="21"/>
      <c r="BJ193" s="21"/>
      <c r="BK193" s="21"/>
      <c r="BL193" s="41"/>
    </row>
    <row r="194" spans="1:64" ht="12.75">
      <c r="A194" s="109"/>
      <c r="B194" s="110"/>
      <c r="C194" s="114"/>
      <c r="D194" s="114"/>
      <c r="E194" s="111" t="s">
        <v>719</v>
      </c>
      <c r="F194" s="110"/>
      <c r="G194" s="112"/>
      <c r="H194" s="112"/>
      <c r="I194" s="112"/>
      <c r="J194" s="112"/>
      <c r="K194" s="112"/>
      <c r="L194" s="112"/>
      <c r="M194" s="112"/>
      <c r="N194" s="113"/>
      <c r="O194" s="39"/>
      <c r="Z194" s="41"/>
      <c r="AB194" s="41"/>
      <c r="AC194" s="41"/>
      <c r="AD194" s="41"/>
      <c r="AE194" s="41"/>
      <c r="AF194" s="41"/>
      <c r="AG194" s="41"/>
      <c r="AH194" s="41"/>
      <c r="AI194" s="31"/>
      <c r="AJ194" s="21"/>
      <c r="AK194" s="21"/>
      <c r="AL194" s="21"/>
      <c r="AN194" s="41"/>
      <c r="AO194" s="41"/>
      <c r="AP194" s="41"/>
      <c r="AQ194" s="42"/>
      <c r="AV194" s="41"/>
      <c r="AW194" s="41"/>
      <c r="AX194" s="41"/>
      <c r="AY194" s="44"/>
      <c r="AZ194" s="44"/>
      <c r="BA194" s="31"/>
      <c r="BC194" s="41"/>
      <c r="BD194" s="41"/>
      <c r="BE194" s="41"/>
      <c r="BF194" s="41"/>
      <c r="BH194" s="21"/>
      <c r="BI194" s="21"/>
      <c r="BJ194" s="21"/>
      <c r="BK194" s="21"/>
      <c r="BL194" s="41"/>
    </row>
    <row r="195" spans="1:64" ht="12.75">
      <c r="A195" s="109"/>
      <c r="B195" s="110"/>
      <c r="C195" s="114"/>
      <c r="D195" s="114"/>
      <c r="E195" s="111" t="s">
        <v>720</v>
      </c>
      <c r="F195" s="110"/>
      <c r="G195" s="112"/>
      <c r="H195" s="112"/>
      <c r="I195" s="112"/>
      <c r="J195" s="112"/>
      <c r="K195" s="112"/>
      <c r="L195" s="112"/>
      <c r="M195" s="112"/>
      <c r="N195" s="113"/>
      <c r="O195" s="39"/>
      <c r="Z195" s="41"/>
      <c r="AB195" s="41"/>
      <c r="AC195" s="41"/>
      <c r="AD195" s="41"/>
      <c r="AE195" s="41"/>
      <c r="AF195" s="41"/>
      <c r="AG195" s="41"/>
      <c r="AH195" s="41"/>
      <c r="AI195" s="31"/>
      <c r="AJ195" s="21"/>
      <c r="AK195" s="21"/>
      <c r="AL195" s="21"/>
      <c r="AN195" s="41"/>
      <c r="AO195" s="41"/>
      <c r="AP195" s="41"/>
      <c r="AQ195" s="42"/>
      <c r="AV195" s="41"/>
      <c r="AW195" s="41"/>
      <c r="AX195" s="41"/>
      <c r="AY195" s="44"/>
      <c r="AZ195" s="44"/>
      <c r="BA195" s="31"/>
      <c r="BC195" s="41"/>
      <c r="BD195" s="41"/>
      <c r="BE195" s="41"/>
      <c r="BF195" s="41"/>
      <c r="BH195" s="21"/>
      <c r="BI195" s="21"/>
      <c r="BJ195" s="21"/>
      <c r="BK195" s="21"/>
      <c r="BL195" s="41"/>
    </row>
    <row r="196" spans="1:64" ht="12.75">
      <c r="A196" s="109"/>
      <c r="B196" s="110"/>
      <c r="C196" s="114"/>
      <c r="D196" s="114"/>
      <c r="E196" s="111" t="s">
        <v>721</v>
      </c>
      <c r="F196" s="110"/>
      <c r="G196" s="112"/>
      <c r="H196" s="112"/>
      <c r="I196" s="112"/>
      <c r="J196" s="112"/>
      <c r="K196" s="112"/>
      <c r="L196" s="112"/>
      <c r="M196" s="112"/>
      <c r="N196" s="113"/>
      <c r="O196" s="39"/>
      <c r="Z196" s="41"/>
      <c r="AB196" s="41"/>
      <c r="AC196" s="41"/>
      <c r="AD196" s="41"/>
      <c r="AE196" s="41"/>
      <c r="AF196" s="41"/>
      <c r="AG196" s="41"/>
      <c r="AH196" s="41"/>
      <c r="AI196" s="31"/>
      <c r="AJ196" s="21"/>
      <c r="AK196" s="21"/>
      <c r="AL196" s="21"/>
      <c r="AN196" s="41"/>
      <c r="AO196" s="41"/>
      <c r="AP196" s="41"/>
      <c r="AQ196" s="42"/>
      <c r="AV196" s="41"/>
      <c r="AW196" s="41"/>
      <c r="AX196" s="41"/>
      <c r="AY196" s="44"/>
      <c r="AZ196" s="44"/>
      <c r="BA196" s="31"/>
      <c r="BC196" s="41"/>
      <c r="BD196" s="41"/>
      <c r="BE196" s="41"/>
      <c r="BF196" s="41"/>
      <c r="BH196" s="21"/>
      <c r="BI196" s="21"/>
      <c r="BJ196" s="21"/>
      <c r="BK196" s="21"/>
      <c r="BL196" s="41"/>
    </row>
    <row r="197" spans="1:64" ht="12.75">
      <c r="A197" s="109"/>
      <c r="B197" s="110"/>
      <c r="C197" s="114"/>
      <c r="D197" s="114"/>
      <c r="E197" s="111" t="s">
        <v>722</v>
      </c>
      <c r="F197" s="110"/>
      <c r="G197" s="112"/>
      <c r="H197" s="112"/>
      <c r="I197" s="112"/>
      <c r="J197" s="112"/>
      <c r="K197" s="112"/>
      <c r="L197" s="112"/>
      <c r="M197" s="112"/>
      <c r="N197" s="113"/>
      <c r="O197" s="39"/>
      <c r="Z197" s="41"/>
      <c r="AB197" s="41"/>
      <c r="AC197" s="41"/>
      <c r="AD197" s="41"/>
      <c r="AE197" s="41"/>
      <c r="AF197" s="41"/>
      <c r="AG197" s="41"/>
      <c r="AH197" s="41"/>
      <c r="AI197" s="31"/>
      <c r="AJ197" s="21"/>
      <c r="AK197" s="21"/>
      <c r="AL197" s="21"/>
      <c r="AN197" s="41"/>
      <c r="AO197" s="41"/>
      <c r="AP197" s="41"/>
      <c r="AQ197" s="42"/>
      <c r="AV197" s="41"/>
      <c r="AW197" s="41"/>
      <c r="AX197" s="41"/>
      <c r="AY197" s="44"/>
      <c r="AZ197" s="44"/>
      <c r="BA197" s="31"/>
      <c r="BC197" s="41"/>
      <c r="BD197" s="41"/>
      <c r="BE197" s="41"/>
      <c r="BF197" s="41"/>
      <c r="BH197" s="21"/>
      <c r="BI197" s="21"/>
      <c r="BJ197" s="21"/>
      <c r="BK197" s="21"/>
      <c r="BL197" s="41"/>
    </row>
    <row r="198" spans="1:64" ht="12.75">
      <c r="A198" s="109"/>
      <c r="B198" s="110"/>
      <c r="C198" s="114"/>
      <c r="D198" s="114"/>
      <c r="E198" s="111" t="s">
        <v>723</v>
      </c>
      <c r="F198" s="110"/>
      <c r="G198" s="112"/>
      <c r="H198" s="112"/>
      <c r="I198" s="112"/>
      <c r="J198" s="112"/>
      <c r="K198" s="112"/>
      <c r="L198" s="112"/>
      <c r="M198" s="112"/>
      <c r="N198" s="113"/>
      <c r="O198" s="39"/>
      <c r="Z198" s="41"/>
      <c r="AB198" s="41"/>
      <c r="AC198" s="41"/>
      <c r="AD198" s="41"/>
      <c r="AE198" s="41"/>
      <c r="AF198" s="41"/>
      <c r="AG198" s="41"/>
      <c r="AH198" s="41"/>
      <c r="AI198" s="31"/>
      <c r="AJ198" s="21"/>
      <c r="AK198" s="21"/>
      <c r="AL198" s="21"/>
      <c r="AN198" s="41"/>
      <c r="AO198" s="41"/>
      <c r="AP198" s="41"/>
      <c r="AQ198" s="42"/>
      <c r="AV198" s="41"/>
      <c r="AW198" s="41"/>
      <c r="AX198" s="41"/>
      <c r="AY198" s="44"/>
      <c r="AZ198" s="44"/>
      <c r="BA198" s="31"/>
      <c r="BC198" s="41"/>
      <c r="BD198" s="41"/>
      <c r="BE198" s="41"/>
      <c r="BF198" s="41"/>
      <c r="BH198" s="21"/>
      <c r="BI198" s="21"/>
      <c r="BJ198" s="21"/>
      <c r="BK198" s="21"/>
      <c r="BL198" s="41"/>
    </row>
    <row r="199" spans="1:64" ht="12.75">
      <c r="A199" s="109"/>
      <c r="B199" s="110"/>
      <c r="C199" s="114"/>
      <c r="D199" s="114"/>
      <c r="E199" s="111" t="s">
        <v>724</v>
      </c>
      <c r="F199" s="110"/>
      <c r="G199" s="112"/>
      <c r="H199" s="112"/>
      <c r="I199" s="112"/>
      <c r="J199" s="112"/>
      <c r="K199" s="112"/>
      <c r="L199" s="112"/>
      <c r="M199" s="112"/>
      <c r="N199" s="113"/>
      <c r="O199" s="39"/>
      <c r="Z199" s="41"/>
      <c r="AB199" s="41"/>
      <c r="AC199" s="41"/>
      <c r="AD199" s="41"/>
      <c r="AE199" s="41"/>
      <c r="AF199" s="41"/>
      <c r="AG199" s="41"/>
      <c r="AH199" s="41"/>
      <c r="AI199" s="31"/>
      <c r="AJ199" s="21"/>
      <c r="AK199" s="21"/>
      <c r="AL199" s="21"/>
      <c r="AN199" s="41"/>
      <c r="AO199" s="41"/>
      <c r="AP199" s="41"/>
      <c r="AQ199" s="42"/>
      <c r="AV199" s="41"/>
      <c r="AW199" s="41"/>
      <c r="AX199" s="41"/>
      <c r="AY199" s="44"/>
      <c r="AZ199" s="44"/>
      <c r="BA199" s="31"/>
      <c r="BC199" s="41"/>
      <c r="BD199" s="41"/>
      <c r="BE199" s="41"/>
      <c r="BF199" s="41"/>
      <c r="BH199" s="21"/>
      <c r="BI199" s="21"/>
      <c r="BJ199" s="21"/>
      <c r="BK199" s="21"/>
      <c r="BL199" s="41"/>
    </row>
    <row r="200" spans="1:64" ht="12.75">
      <c r="A200" s="109"/>
      <c r="B200" s="110"/>
      <c r="C200" s="114"/>
      <c r="D200" s="114"/>
      <c r="E200" s="111" t="s">
        <v>725</v>
      </c>
      <c r="F200" s="110"/>
      <c r="G200" s="112"/>
      <c r="H200" s="112"/>
      <c r="I200" s="112"/>
      <c r="J200" s="112"/>
      <c r="K200" s="112"/>
      <c r="L200" s="112"/>
      <c r="M200" s="112"/>
      <c r="N200" s="113"/>
      <c r="O200" s="39"/>
      <c r="Z200" s="41"/>
      <c r="AB200" s="41"/>
      <c r="AC200" s="41"/>
      <c r="AD200" s="41"/>
      <c r="AE200" s="41"/>
      <c r="AF200" s="41"/>
      <c r="AG200" s="41"/>
      <c r="AH200" s="41"/>
      <c r="AI200" s="31"/>
      <c r="AJ200" s="21"/>
      <c r="AK200" s="21"/>
      <c r="AL200" s="21"/>
      <c r="AN200" s="41"/>
      <c r="AO200" s="41"/>
      <c r="AP200" s="41"/>
      <c r="AQ200" s="42"/>
      <c r="AV200" s="41"/>
      <c r="AW200" s="41"/>
      <c r="AX200" s="41"/>
      <c r="AY200" s="44"/>
      <c r="AZ200" s="44"/>
      <c r="BA200" s="31"/>
      <c r="BC200" s="41"/>
      <c r="BD200" s="41"/>
      <c r="BE200" s="41"/>
      <c r="BF200" s="41"/>
      <c r="BH200" s="21"/>
      <c r="BI200" s="21"/>
      <c r="BJ200" s="21"/>
      <c r="BK200" s="21"/>
      <c r="BL200" s="41"/>
    </row>
    <row r="201" spans="1:64" ht="12.75">
      <c r="A201" s="4" t="s">
        <v>86</v>
      </c>
      <c r="B201" s="13"/>
      <c r="C201" s="13" t="s">
        <v>639</v>
      </c>
      <c r="D201" s="125" t="s">
        <v>377</v>
      </c>
      <c r="E201" s="126"/>
      <c r="F201" s="13" t="s">
        <v>425</v>
      </c>
      <c r="G201" s="21">
        <v>20.38</v>
      </c>
      <c r="H201" s="21">
        <v>0</v>
      </c>
      <c r="I201" s="21">
        <f>G201*AO201</f>
        <v>0</v>
      </c>
      <c r="J201" s="21">
        <f>G201*AP201</f>
        <v>0</v>
      </c>
      <c r="K201" s="21">
        <f>G201*H201</f>
        <v>0</v>
      </c>
      <c r="L201" s="21">
        <v>2.38147</v>
      </c>
      <c r="M201" s="21">
        <f>G201*L201</f>
        <v>48.534358600000004</v>
      </c>
      <c r="N201" s="35" t="s">
        <v>593</v>
      </c>
      <c r="O201" s="39"/>
      <c r="Z201" s="41">
        <f>IF(AQ201="5",BJ201,0)</f>
        <v>0</v>
      </c>
      <c r="AB201" s="41">
        <f>IF(AQ201="1",BH201,0)</f>
        <v>0</v>
      </c>
      <c r="AC201" s="41">
        <f>IF(AQ201="1",BI201,0)</f>
        <v>0</v>
      </c>
      <c r="AD201" s="41">
        <f>IF(AQ201="7",BH201,0)</f>
        <v>0</v>
      </c>
      <c r="AE201" s="41">
        <f>IF(AQ201="7",BI201,0)</f>
        <v>0</v>
      </c>
      <c r="AF201" s="41">
        <f>IF(AQ201="2",BH201,0)</f>
        <v>0</v>
      </c>
      <c r="AG201" s="41">
        <f>IF(AQ201="2",BI201,0)</f>
        <v>0</v>
      </c>
      <c r="AH201" s="41">
        <f>IF(AQ201="0",BJ201,0)</f>
        <v>0</v>
      </c>
      <c r="AI201" s="31"/>
      <c r="AJ201" s="21">
        <f>IF(AN201=0,K201,0)</f>
        <v>0</v>
      </c>
      <c r="AK201" s="21">
        <f>IF(AN201=15,K201,0)</f>
        <v>0</v>
      </c>
      <c r="AL201" s="21">
        <f>IF(AN201=21,K201,0)</f>
        <v>0</v>
      </c>
      <c r="AN201" s="41">
        <v>21</v>
      </c>
      <c r="AO201" s="41">
        <f>H201*0.00342766631467793</f>
        <v>0</v>
      </c>
      <c r="AP201" s="41">
        <f>H201*(1-0.00342766631467793)</f>
        <v>0</v>
      </c>
      <c r="AQ201" s="42" t="s">
        <v>7</v>
      </c>
      <c r="AV201" s="41">
        <f>AW201+AX201</f>
        <v>0</v>
      </c>
      <c r="AW201" s="41">
        <f>G201*AO201</f>
        <v>0</v>
      </c>
      <c r="AX201" s="41">
        <f>G201*AP201</f>
        <v>0</v>
      </c>
      <c r="AY201" s="44" t="s">
        <v>496</v>
      </c>
      <c r="AZ201" s="44" t="s">
        <v>517</v>
      </c>
      <c r="BA201" s="31" t="s">
        <v>520</v>
      </c>
      <c r="BC201" s="41">
        <f>AW201+AX201</f>
        <v>0</v>
      </c>
      <c r="BD201" s="41">
        <f>H201/(100-BE201)*100</f>
        <v>0</v>
      </c>
      <c r="BE201" s="41">
        <v>0</v>
      </c>
      <c r="BF201" s="41">
        <f>M201</f>
        <v>48.534358600000004</v>
      </c>
      <c r="BH201" s="21">
        <f>G201*AO201</f>
        <v>0</v>
      </c>
      <c r="BI201" s="21">
        <f>G201*AP201</f>
        <v>0</v>
      </c>
      <c r="BJ201" s="21">
        <f>G201*H201</f>
        <v>0</v>
      </c>
      <c r="BK201" s="21" t="s">
        <v>525</v>
      </c>
      <c r="BL201" s="41">
        <v>98</v>
      </c>
    </row>
    <row r="202" spans="1:64" ht="12.75">
      <c r="A202" s="109"/>
      <c r="B202" s="110"/>
      <c r="C202" s="110"/>
      <c r="D202" s="110"/>
      <c r="E202" s="111" t="s">
        <v>726</v>
      </c>
      <c r="F202" s="110"/>
      <c r="G202" s="112"/>
      <c r="H202" s="112"/>
      <c r="I202" s="112"/>
      <c r="J202" s="112"/>
      <c r="K202" s="112"/>
      <c r="L202" s="112"/>
      <c r="M202" s="112"/>
      <c r="N202" s="113"/>
      <c r="O202" s="39"/>
      <c r="Z202" s="41"/>
      <c r="AB202" s="41"/>
      <c r="AC202" s="41"/>
      <c r="AD202" s="41"/>
      <c r="AE202" s="41"/>
      <c r="AF202" s="41"/>
      <c r="AG202" s="41"/>
      <c r="AH202" s="41"/>
      <c r="AI202" s="31"/>
      <c r="AJ202" s="21"/>
      <c r="AK202" s="21"/>
      <c r="AL202" s="21"/>
      <c r="AN202" s="41"/>
      <c r="AO202" s="41"/>
      <c r="AP202" s="41"/>
      <c r="AQ202" s="42"/>
      <c r="AV202" s="41"/>
      <c r="AW202" s="41"/>
      <c r="AX202" s="41"/>
      <c r="AY202" s="44"/>
      <c r="AZ202" s="44"/>
      <c r="BA202" s="31"/>
      <c r="BC202" s="41"/>
      <c r="BD202" s="41"/>
      <c r="BE202" s="41"/>
      <c r="BF202" s="41"/>
      <c r="BH202" s="21"/>
      <c r="BI202" s="21"/>
      <c r="BJ202" s="21"/>
      <c r="BK202" s="21"/>
      <c r="BL202" s="41"/>
    </row>
    <row r="203" spans="1:47" ht="12.75">
      <c r="A203" s="5"/>
      <c r="B203" s="14"/>
      <c r="C203" s="14" t="s">
        <v>215</v>
      </c>
      <c r="D203" s="127" t="s">
        <v>378</v>
      </c>
      <c r="E203" s="128"/>
      <c r="F203" s="19" t="s">
        <v>6</v>
      </c>
      <c r="G203" s="19" t="s">
        <v>6</v>
      </c>
      <c r="H203" s="19" t="s">
        <v>6</v>
      </c>
      <c r="I203" s="47">
        <f>SUM(I204:I204)</f>
        <v>0</v>
      </c>
      <c r="J203" s="47">
        <f>SUM(J204:J204)</f>
        <v>0</v>
      </c>
      <c r="K203" s="47">
        <f>SUM(K204:K204)</f>
        <v>0</v>
      </c>
      <c r="L203" s="31"/>
      <c r="M203" s="47">
        <f>SUM(M204:M204)</f>
        <v>0</v>
      </c>
      <c r="N203" s="36"/>
      <c r="O203" s="39"/>
      <c r="AI203" s="31"/>
      <c r="AS203" s="47">
        <f>SUM(AJ204:AJ204)</f>
        <v>0</v>
      </c>
      <c r="AT203" s="47">
        <f>SUM(AK204:AK204)</f>
        <v>0</v>
      </c>
      <c r="AU203" s="47">
        <f>SUM(AL204:AL204)</f>
        <v>0</v>
      </c>
    </row>
    <row r="204" spans="1:64" ht="12.75">
      <c r="A204" s="4" t="s">
        <v>87</v>
      </c>
      <c r="B204" s="13"/>
      <c r="C204" s="13" t="s">
        <v>216</v>
      </c>
      <c r="D204" s="125" t="s">
        <v>379</v>
      </c>
      <c r="E204" s="126"/>
      <c r="F204" s="13" t="s">
        <v>427</v>
      </c>
      <c r="G204" s="21">
        <v>284.87</v>
      </c>
      <c r="H204" s="21">
        <v>0</v>
      </c>
      <c r="I204" s="21">
        <f>G204*AO204</f>
        <v>0</v>
      </c>
      <c r="J204" s="21">
        <f>G204*AP204</f>
        <v>0</v>
      </c>
      <c r="K204" s="21">
        <f>G204*H204</f>
        <v>0</v>
      </c>
      <c r="L204" s="21">
        <v>0</v>
      </c>
      <c r="M204" s="21">
        <f>G204*L204</f>
        <v>0</v>
      </c>
      <c r="N204" s="35" t="s">
        <v>452</v>
      </c>
      <c r="O204" s="39"/>
      <c r="Z204" s="41">
        <f>IF(AQ204="5",BJ204,0)</f>
        <v>0</v>
      </c>
      <c r="AB204" s="41">
        <f>IF(AQ204="1",BH204,0)</f>
        <v>0</v>
      </c>
      <c r="AC204" s="41">
        <f>IF(AQ204="1",BI204,0)</f>
        <v>0</v>
      </c>
      <c r="AD204" s="41">
        <f>IF(AQ204="7",BH204,0)</f>
        <v>0</v>
      </c>
      <c r="AE204" s="41">
        <f>IF(AQ204="7",BI204,0)</f>
        <v>0</v>
      </c>
      <c r="AF204" s="41">
        <f>IF(AQ204="2",BH204,0)</f>
        <v>0</v>
      </c>
      <c r="AG204" s="41">
        <f>IF(AQ204="2",BI204,0)</f>
        <v>0</v>
      </c>
      <c r="AH204" s="41">
        <f>IF(AQ204="0",BJ204,0)</f>
        <v>0</v>
      </c>
      <c r="AI204" s="31"/>
      <c r="AJ204" s="21">
        <f>IF(AN204=0,K204,0)</f>
        <v>0</v>
      </c>
      <c r="AK204" s="21">
        <f>IF(AN204=15,K204,0)</f>
        <v>0</v>
      </c>
      <c r="AL204" s="21">
        <f>IF(AN204=21,K204,0)</f>
        <v>0</v>
      </c>
      <c r="AN204" s="41">
        <v>21</v>
      </c>
      <c r="AO204" s="41">
        <f>H204*0</f>
        <v>0</v>
      </c>
      <c r="AP204" s="41">
        <f>H204*(1-0)</f>
        <v>0</v>
      </c>
      <c r="AQ204" s="42" t="s">
        <v>11</v>
      </c>
      <c r="AV204" s="41">
        <f>AW204+AX204</f>
        <v>0</v>
      </c>
      <c r="AW204" s="41">
        <f>G204*AO204</f>
        <v>0</v>
      </c>
      <c r="AX204" s="41">
        <f>G204*AP204</f>
        <v>0</v>
      </c>
      <c r="AY204" s="44" t="s">
        <v>497</v>
      </c>
      <c r="AZ204" s="44" t="s">
        <v>517</v>
      </c>
      <c r="BA204" s="31" t="s">
        <v>520</v>
      </c>
      <c r="BC204" s="41">
        <f>AW204+AX204</f>
        <v>0</v>
      </c>
      <c r="BD204" s="41">
        <f>H204/(100-BE204)*100</f>
        <v>0</v>
      </c>
      <c r="BE204" s="41">
        <v>0</v>
      </c>
      <c r="BF204" s="41">
        <f>M204</f>
        <v>0</v>
      </c>
      <c r="BH204" s="21">
        <f>G204*AO204</f>
        <v>0</v>
      </c>
      <c r="BI204" s="21">
        <f>G204*AP204</f>
        <v>0</v>
      </c>
      <c r="BJ204" s="21">
        <f>G204*H204</f>
        <v>0</v>
      </c>
      <c r="BK204" s="21" t="s">
        <v>525</v>
      </c>
      <c r="BL204" s="41" t="s">
        <v>215</v>
      </c>
    </row>
    <row r="205" spans="1:47" ht="12.75">
      <c r="A205" s="5"/>
      <c r="B205" s="14"/>
      <c r="C205" s="14" t="s">
        <v>217</v>
      </c>
      <c r="D205" s="127" t="s">
        <v>320</v>
      </c>
      <c r="E205" s="128"/>
      <c r="F205" s="19" t="s">
        <v>6</v>
      </c>
      <c r="G205" s="19" t="s">
        <v>6</v>
      </c>
      <c r="H205" s="19" t="s">
        <v>6</v>
      </c>
      <c r="I205" s="47">
        <f>SUM(I206:I206)</f>
        <v>0</v>
      </c>
      <c r="J205" s="47">
        <f>SUM(J206:J206)</f>
        <v>0</v>
      </c>
      <c r="K205" s="47">
        <f>SUM(K206:K206)</f>
        <v>0</v>
      </c>
      <c r="L205" s="31"/>
      <c r="M205" s="47">
        <f>SUM(M206:M206)</f>
        <v>0</v>
      </c>
      <c r="N205" s="36"/>
      <c r="O205" s="39"/>
      <c r="AI205" s="31"/>
      <c r="AS205" s="47">
        <f>SUM(AJ206:AJ206)</f>
        <v>0</v>
      </c>
      <c r="AT205" s="47">
        <f>SUM(AK206:AK206)</f>
        <v>0</v>
      </c>
      <c r="AU205" s="47">
        <f>SUM(AL206:AL206)</f>
        <v>0</v>
      </c>
    </row>
    <row r="206" spans="1:64" ht="12.75">
      <c r="A206" s="4" t="s">
        <v>88</v>
      </c>
      <c r="B206" s="13"/>
      <c r="C206" s="13" t="s">
        <v>218</v>
      </c>
      <c r="D206" s="125" t="s">
        <v>380</v>
      </c>
      <c r="E206" s="126"/>
      <c r="F206" s="13" t="s">
        <v>432</v>
      </c>
      <c r="G206" s="21">
        <v>5294</v>
      </c>
      <c r="H206" s="21">
        <v>0</v>
      </c>
      <c r="I206" s="21">
        <f>G206*AO206</f>
        <v>0</v>
      </c>
      <c r="J206" s="21">
        <f>G206*AP206</f>
        <v>0</v>
      </c>
      <c r="K206" s="21">
        <f>G206*H206</f>
        <v>0</v>
      </c>
      <c r="L206" s="21">
        <v>0</v>
      </c>
      <c r="M206" s="21">
        <f>G206*L206</f>
        <v>0</v>
      </c>
      <c r="N206" s="35" t="s">
        <v>452</v>
      </c>
      <c r="O206" s="39"/>
      <c r="Z206" s="41">
        <f>IF(AQ206="5",BJ206,0)</f>
        <v>0</v>
      </c>
      <c r="AB206" s="41">
        <f>IF(AQ206="1",BH206,0)</f>
        <v>0</v>
      </c>
      <c r="AC206" s="41">
        <f>IF(AQ206="1",BI206,0)</f>
        <v>0</v>
      </c>
      <c r="AD206" s="41">
        <f>IF(AQ206="7",BH206,0)</f>
        <v>0</v>
      </c>
      <c r="AE206" s="41">
        <f>IF(AQ206="7",BI206,0)</f>
        <v>0</v>
      </c>
      <c r="AF206" s="41">
        <f>IF(AQ206="2",BH206,0)</f>
        <v>0</v>
      </c>
      <c r="AG206" s="41">
        <f>IF(AQ206="2",BI206,0)</f>
        <v>0</v>
      </c>
      <c r="AH206" s="41">
        <f>IF(AQ206="0",BJ206,0)</f>
        <v>0</v>
      </c>
      <c r="AI206" s="31"/>
      <c r="AJ206" s="21">
        <f>IF(AN206=0,K206,0)</f>
        <v>0</v>
      </c>
      <c r="AK206" s="21">
        <f>IF(AN206=15,K206,0)</f>
        <v>0</v>
      </c>
      <c r="AL206" s="21">
        <f>IF(AN206=21,K206,0)</f>
        <v>0</v>
      </c>
      <c r="AN206" s="41">
        <v>21</v>
      </c>
      <c r="AO206" s="41">
        <f>H206*0</f>
        <v>0</v>
      </c>
      <c r="AP206" s="41">
        <f>H206*(1-0)</f>
        <v>0</v>
      </c>
      <c r="AQ206" s="42" t="s">
        <v>11</v>
      </c>
      <c r="AV206" s="41">
        <f>AW206+AX206</f>
        <v>0</v>
      </c>
      <c r="AW206" s="41">
        <f>G206*AO206</f>
        <v>0</v>
      </c>
      <c r="AX206" s="41">
        <f>G206*AP206</f>
        <v>0</v>
      </c>
      <c r="AY206" s="44" t="s">
        <v>498</v>
      </c>
      <c r="AZ206" s="44" t="s">
        <v>517</v>
      </c>
      <c r="BA206" s="31" t="s">
        <v>520</v>
      </c>
      <c r="BC206" s="41">
        <f>AW206+AX206</f>
        <v>0</v>
      </c>
      <c r="BD206" s="41">
        <f>H206/(100-BE206)*100</f>
        <v>0</v>
      </c>
      <c r="BE206" s="41">
        <v>0</v>
      </c>
      <c r="BF206" s="41">
        <f>M206</f>
        <v>0</v>
      </c>
      <c r="BH206" s="21">
        <f>G206*AO206</f>
        <v>0</v>
      </c>
      <c r="BI206" s="21">
        <f>G206*AP206</f>
        <v>0</v>
      </c>
      <c r="BJ206" s="21">
        <f>G206*H206</f>
        <v>0</v>
      </c>
      <c r="BK206" s="21" t="s">
        <v>525</v>
      </c>
      <c r="BL206" s="41" t="s">
        <v>217</v>
      </c>
    </row>
    <row r="207" spans="1:47" ht="12.75">
      <c r="A207" s="5"/>
      <c r="B207" s="14"/>
      <c r="C207" s="14" t="s">
        <v>219</v>
      </c>
      <c r="D207" s="127" t="s">
        <v>328</v>
      </c>
      <c r="E207" s="128"/>
      <c r="F207" s="19" t="s">
        <v>6</v>
      </c>
      <c r="G207" s="19" t="s">
        <v>6</v>
      </c>
      <c r="H207" s="19" t="s">
        <v>6</v>
      </c>
      <c r="I207" s="47">
        <f>SUM(I208:I208)</f>
        <v>0</v>
      </c>
      <c r="J207" s="47">
        <f>SUM(J208:J208)</f>
        <v>0</v>
      </c>
      <c r="K207" s="47">
        <f>SUM(K208:K208)</f>
        <v>0</v>
      </c>
      <c r="L207" s="31"/>
      <c r="M207" s="47">
        <f>SUM(M208:M208)</f>
        <v>0</v>
      </c>
      <c r="N207" s="36"/>
      <c r="O207" s="39"/>
      <c r="AI207" s="31"/>
      <c r="AS207" s="47">
        <f>SUM(AJ208:AJ208)</f>
        <v>0</v>
      </c>
      <c r="AT207" s="47">
        <f>SUM(AK208:AK208)</f>
        <v>0</v>
      </c>
      <c r="AU207" s="47">
        <f>SUM(AL208:AL208)</f>
        <v>0</v>
      </c>
    </row>
    <row r="208" spans="1:64" ht="12.75">
      <c r="A208" s="4" t="s">
        <v>89</v>
      </c>
      <c r="B208" s="13"/>
      <c r="C208" s="13" t="s">
        <v>220</v>
      </c>
      <c r="D208" s="125" t="s">
        <v>381</v>
      </c>
      <c r="E208" s="126"/>
      <c r="F208" s="13" t="s">
        <v>427</v>
      </c>
      <c r="G208" s="21">
        <v>3.54</v>
      </c>
      <c r="H208" s="21">
        <v>0</v>
      </c>
      <c r="I208" s="21">
        <f>G208*AO208</f>
        <v>0</v>
      </c>
      <c r="J208" s="21">
        <f>G208*AP208</f>
        <v>0</v>
      </c>
      <c r="K208" s="21">
        <f>G208*H208</f>
        <v>0</v>
      </c>
      <c r="L208" s="21">
        <v>0</v>
      </c>
      <c r="M208" s="21">
        <f>G208*L208</f>
        <v>0</v>
      </c>
      <c r="N208" s="35" t="s">
        <v>452</v>
      </c>
      <c r="O208" s="39"/>
      <c r="Z208" s="41">
        <f>IF(AQ208="5",BJ208,0)</f>
        <v>0</v>
      </c>
      <c r="AB208" s="41">
        <f>IF(AQ208="1",BH208,0)</f>
        <v>0</v>
      </c>
      <c r="AC208" s="41">
        <f>IF(AQ208="1",BI208,0)</f>
        <v>0</v>
      </c>
      <c r="AD208" s="41">
        <f>IF(AQ208="7",BH208,0)</f>
        <v>0</v>
      </c>
      <c r="AE208" s="41">
        <f>IF(AQ208="7",BI208,0)</f>
        <v>0</v>
      </c>
      <c r="AF208" s="41">
        <f>IF(AQ208="2",BH208,0)</f>
        <v>0</v>
      </c>
      <c r="AG208" s="41">
        <f>IF(AQ208="2",BI208,0)</f>
        <v>0</v>
      </c>
      <c r="AH208" s="41">
        <f>IF(AQ208="0",BJ208,0)</f>
        <v>0</v>
      </c>
      <c r="AI208" s="31"/>
      <c r="AJ208" s="21">
        <f>IF(AN208=0,K208,0)</f>
        <v>0</v>
      </c>
      <c r="AK208" s="21">
        <f>IF(AN208=15,K208,0)</f>
        <v>0</v>
      </c>
      <c r="AL208" s="21">
        <f>IF(AN208=21,K208,0)</f>
        <v>0</v>
      </c>
      <c r="AN208" s="41">
        <v>21</v>
      </c>
      <c r="AO208" s="41">
        <f>H208*0</f>
        <v>0</v>
      </c>
      <c r="AP208" s="41">
        <f>H208*(1-0)</f>
        <v>0</v>
      </c>
      <c r="AQ208" s="42" t="s">
        <v>11</v>
      </c>
      <c r="AV208" s="41">
        <f>AW208+AX208</f>
        <v>0</v>
      </c>
      <c r="AW208" s="41">
        <f>G208*AO208</f>
        <v>0</v>
      </c>
      <c r="AX208" s="41">
        <f>G208*AP208</f>
        <v>0</v>
      </c>
      <c r="AY208" s="44" t="s">
        <v>499</v>
      </c>
      <c r="AZ208" s="44" t="s">
        <v>517</v>
      </c>
      <c r="BA208" s="31" t="s">
        <v>520</v>
      </c>
      <c r="BC208" s="41">
        <f>AW208+AX208</f>
        <v>0</v>
      </c>
      <c r="BD208" s="41">
        <f>H208/(100-BE208)*100</f>
        <v>0</v>
      </c>
      <c r="BE208" s="41">
        <v>0</v>
      </c>
      <c r="BF208" s="41">
        <f>M208</f>
        <v>0</v>
      </c>
      <c r="BH208" s="21">
        <f>G208*AO208</f>
        <v>0</v>
      </c>
      <c r="BI208" s="21">
        <f>G208*AP208</f>
        <v>0</v>
      </c>
      <c r="BJ208" s="21">
        <f>G208*H208</f>
        <v>0</v>
      </c>
      <c r="BK208" s="21" t="s">
        <v>525</v>
      </c>
      <c r="BL208" s="41" t="s">
        <v>219</v>
      </c>
    </row>
    <row r="209" spans="1:47" ht="12.75">
      <c r="A209" s="5"/>
      <c r="B209" s="14"/>
      <c r="C209" s="14" t="s">
        <v>221</v>
      </c>
      <c r="D209" s="127" t="s">
        <v>338</v>
      </c>
      <c r="E209" s="128"/>
      <c r="F209" s="19" t="s">
        <v>6</v>
      </c>
      <c r="G209" s="19" t="s">
        <v>6</v>
      </c>
      <c r="H209" s="19" t="s">
        <v>6</v>
      </c>
      <c r="I209" s="47">
        <f>SUM(I210:I210)</f>
        <v>0</v>
      </c>
      <c r="J209" s="47">
        <f>SUM(J210:J210)</f>
        <v>0</v>
      </c>
      <c r="K209" s="47">
        <f>SUM(K210:K210)</f>
        <v>0</v>
      </c>
      <c r="L209" s="31"/>
      <c r="M209" s="47">
        <f>SUM(M210:M210)</f>
        <v>0</v>
      </c>
      <c r="N209" s="36"/>
      <c r="O209" s="39"/>
      <c r="AI209" s="31"/>
      <c r="AS209" s="47">
        <f>SUM(AJ210:AJ210)</f>
        <v>0</v>
      </c>
      <c r="AT209" s="47">
        <f>SUM(AK210:AK210)</f>
        <v>0</v>
      </c>
      <c r="AU209" s="47">
        <f>SUM(AL210:AL210)</f>
        <v>0</v>
      </c>
    </row>
    <row r="210" spans="1:64" ht="12.75">
      <c r="A210" s="4" t="s">
        <v>90</v>
      </c>
      <c r="B210" s="13"/>
      <c r="C210" s="13" t="s">
        <v>222</v>
      </c>
      <c r="D210" s="125" t="s">
        <v>382</v>
      </c>
      <c r="E210" s="126"/>
      <c r="F210" s="13" t="s">
        <v>432</v>
      </c>
      <c r="G210" s="21">
        <v>3524</v>
      </c>
      <c r="H210" s="21">
        <v>0</v>
      </c>
      <c r="I210" s="21">
        <f>G210*AO210</f>
        <v>0</v>
      </c>
      <c r="J210" s="21">
        <f>G210*AP210</f>
        <v>0</v>
      </c>
      <c r="K210" s="21">
        <f>G210*H210</f>
        <v>0</v>
      </c>
      <c r="L210" s="21">
        <v>0</v>
      </c>
      <c r="M210" s="21">
        <f>G210*L210</f>
        <v>0</v>
      </c>
      <c r="N210" s="35" t="s">
        <v>452</v>
      </c>
      <c r="O210" s="39"/>
      <c r="Z210" s="41">
        <f>IF(AQ210="5",BJ210,0)</f>
        <v>0</v>
      </c>
      <c r="AB210" s="41">
        <f>IF(AQ210="1",BH210,0)</f>
        <v>0</v>
      </c>
      <c r="AC210" s="41">
        <f>IF(AQ210="1",BI210,0)</f>
        <v>0</v>
      </c>
      <c r="AD210" s="41">
        <f>IF(AQ210="7",BH210,0)</f>
        <v>0</v>
      </c>
      <c r="AE210" s="41">
        <f>IF(AQ210="7",BI210,0)</f>
        <v>0</v>
      </c>
      <c r="AF210" s="41">
        <f>IF(AQ210="2",BH210,0)</f>
        <v>0</v>
      </c>
      <c r="AG210" s="41">
        <f>IF(AQ210="2",BI210,0)</f>
        <v>0</v>
      </c>
      <c r="AH210" s="41">
        <f>IF(AQ210="0",BJ210,0)</f>
        <v>0</v>
      </c>
      <c r="AI210" s="31"/>
      <c r="AJ210" s="21">
        <f>IF(AN210=0,K210,0)</f>
        <v>0</v>
      </c>
      <c r="AK210" s="21">
        <f>IF(AN210=15,K210,0)</f>
        <v>0</v>
      </c>
      <c r="AL210" s="21">
        <f>IF(AN210=21,K210,0)</f>
        <v>0</v>
      </c>
      <c r="AN210" s="41">
        <v>21</v>
      </c>
      <c r="AO210" s="41">
        <f>H210*0</f>
        <v>0</v>
      </c>
      <c r="AP210" s="41">
        <f>H210*(1-0)</f>
        <v>0</v>
      </c>
      <c r="AQ210" s="42" t="s">
        <v>11</v>
      </c>
      <c r="AV210" s="41">
        <f>AW210+AX210</f>
        <v>0</v>
      </c>
      <c r="AW210" s="41">
        <f>G210*AO210</f>
        <v>0</v>
      </c>
      <c r="AX210" s="41">
        <f>G210*AP210</f>
        <v>0</v>
      </c>
      <c r="AY210" s="44" t="s">
        <v>500</v>
      </c>
      <c r="AZ210" s="44" t="s">
        <v>517</v>
      </c>
      <c r="BA210" s="31" t="s">
        <v>520</v>
      </c>
      <c r="BC210" s="41">
        <f>AW210+AX210</f>
        <v>0</v>
      </c>
      <c r="BD210" s="41">
        <f>H210/(100-BE210)*100</f>
        <v>0</v>
      </c>
      <c r="BE210" s="41">
        <v>0</v>
      </c>
      <c r="BF210" s="41">
        <f>M210</f>
        <v>0</v>
      </c>
      <c r="BH210" s="21">
        <f>G210*AO210</f>
        <v>0</v>
      </c>
      <c r="BI210" s="21">
        <f>G210*AP210</f>
        <v>0</v>
      </c>
      <c r="BJ210" s="21">
        <f>G210*H210</f>
        <v>0</v>
      </c>
      <c r="BK210" s="21" t="s">
        <v>525</v>
      </c>
      <c r="BL210" s="41" t="s">
        <v>221</v>
      </c>
    </row>
    <row r="211" spans="1:47" ht="12.75">
      <c r="A211" s="5"/>
      <c r="B211" s="14"/>
      <c r="C211" s="14" t="s">
        <v>223</v>
      </c>
      <c r="D211" s="127" t="s">
        <v>383</v>
      </c>
      <c r="E211" s="128"/>
      <c r="F211" s="19" t="s">
        <v>6</v>
      </c>
      <c r="G211" s="19" t="s">
        <v>6</v>
      </c>
      <c r="H211" s="19" t="s">
        <v>6</v>
      </c>
      <c r="I211" s="47">
        <f>SUM(I212:I218)</f>
        <v>0</v>
      </c>
      <c r="J211" s="47">
        <f>SUM(J212:J218)</f>
        <v>0</v>
      </c>
      <c r="K211" s="47">
        <f>SUM(K212:K218)</f>
        <v>0</v>
      </c>
      <c r="L211" s="31"/>
      <c r="M211" s="47">
        <f>SUM(M212:M218)</f>
        <v>0</v>
      </c>
      <c r="N211" s="36"/>
      <c r="O211" s="39"/>
      <c r="AI211" s="31"/>
      <c r="AS211" s="47">
        <f>SUM(AJ212:AJ218)</f>
        <v>0</v>
      </c>
      <c r="AT211" s="47">
        <f>SUM(AK212:AK218)</f>
        <v>0</v>
      </c>
      <c r="AU211" s="47">
        <f>SUM(AL212:AL218)</f>
        <v>0</v>
      </c>
    </row>
    <row r="212" spans="1:64" ht="12.75">
      <c r="A212" s="4" t="s">
        <v>91</v>
      </c>
      <c r="B212" s="13"/>
      <c r="C212" s="13" t="s">
        <v>224</v>
      </c>
      <c r="D212" s="125" t="s">
        <v>641</v>
      </c>
      <c r="E212" s="126"/>
      <c r="F212" s="13" t="s">
        <v>425</v>
      </c>
      <c r="G212" s="21">
        <v>155.73</v>
      </c>
      <c r="H212" s="21">
        <v>0</v>
      </c>
      <c r="I212" s="21">
        <f>G212*AO212</f>
        <v>0</v>
      </c>
      <c r="J212" s="21">
        <f>G212*AP212</f>
        <v>0</v>
      </c>
      <c r="K212" s="21">
        <f>G212*H212</f>
        <v>0</v>
      </c>
      <c r="L212" s="21">
        <v>0</v>
      </c>
      <c r="M212" s="21">
        <f>G212*L212</f>
        <v>0</v>
      </c>
      <c r="N212" s="35" t="s">
        <v>452</v>
      </c>
      <c r="O212" s="39"/>
      <c r="Z212" s="41">
        <f>IF(AQ212="5",BJ212,0)</f>
        <v>0</v>
      </c>
      <c r="AB212" s="41">
        <f>IF(AQ212="1",BH212,0)</f>
        <v>0</v>
      </c>
      <c r="AC212" s="41">
        <f>IF(AQ212="1",BI212,0)</f>
        <v>0</v>
      </c>
      <c r="AD212" s="41">
        <f>IF(AQ212="7",BH212,0)</f>
        <v>0</v>
      </c>
      <c r="AE212" s="41">
        <f>IF(AQ212="7",BI212,0)</f>
        <v>0</v>
      </c>
      <c r="AF212" s="41">
        <f>IF(AQ212="2",BH212,0)</f>
        <v>0</v>
      </c>
      <c r="AG212" s="41">
        <f>IF(AQ212="2",BI212,0)</f>
        <v>0</v>
      </c>
      <c r="AH212" s="41">
        <f>IF(AQ212="0",BJ212,0)</f>
        <v>0</v>
      </c>
      <c r="AI212" s="31"/>
      <c r="AJ212" s="21">
        <f>IF(AN212=0,K212,0)</f>
        <v>0</v>
      </c>
      <c r="AK212" s="21">
        <f>IF(AN212=15,K212,0)</f>
        <v>0</v>
      </c>
      <c r="AL212" s="21">
        <f>IF(AN212=21,K212,0)</f>
        <v>0</v>
      </c>
      <c r="AN212" s="41">
        <v>21</v>
      </c>
      <c r="AO212" s="41">
        <f>H212*0</f>
        <v>0</v>
      </c>
      <c r="AP212" s="41">
        <f>H212*(1-0)</f>
        <v>0</v>
      </c>
      <c r="AQ212" s="42" t="s">
        <v>8</v>
      </c>
      <c r="AV212" s="41">
        <f>AW212+AX212</f>
        <v>0</v>
      </c>
      <c r="AW212" s="41">
        <f>G212*AO212</f>
        <v>0</v>
      </c>
      <c r="AX212" s="41">
        <f>G212*AP212</f>
        <v>0</v>
      </c>
      <c r="AY212" s="44" t="s">
        <v>501</v>
      </c>
      <c r="AZ212" s="44" t="s">
        <v>517</v>
      </c>
      <c r="BA212" s="31" t="s">
        <v>520</v>
      </c>
      <c r="BC212" s="41">
        <f>AW212+AX212</f>
        <v>0</v>
      </c>
      <c r="BD212" s="41">
        <f>H212/(100-BE212)*100</f>
        <v>0</v>
      </c>
      <c r="BE212" s="41">
        <v>0</v>
      </c>
      <c r="BF212" s="41">
        <f>M212</f>
        <v>0</v>
      </c>
      <c r="BH212" s="21">
        <f>G212*AO212</f>
        <v>0</v>
      </c>
      <c r="BI212" s="21">
        <f>G212*AP212</f>
        <v>0</v>
      </c>
      <c r="BJ212" s="21">
        <f>G212*H212</f>
        <v>0</v>
      </c>
      <c r="BK212" s="21" t="s">
        <v>525</v>
      </c>
      <c r="BL212" s="41" t="s">
        <v>223</v>
      </c>
    </row>
    <row r="213" spans="1:64" ht="12.75">
      <c r="A213" s="109"/>
      <c r="B213" s="110"/>
      <c r="C213" s="110"/>
      <c r="D213" s="114"/>
      <c r="E213" s="111" t="s">
        <v>667</v>
      </c>
      <c r="F213" s="110"/>
      <c r="G213" s="112"/>
      <c r="H213" s="112"/>
      <c r="I213" s="112"/>
      <c r="J213" s="112"/>
      <c r="K213" s="112"/>
      <c r="L213" s="112"/>
      <c r="M213" s="112"/>
      <c r="N213" s="113"/>
      <c r="O213" s="39"/>
      <c r="Z213" s="41"/>
      <c r="AB213" s="41"/>
      <c r="AC213" s="41"/>
      <c r="AD213" s="41"/>
      <c r="AE213" s="41"/>
      <c r="AF213" s="41"/>
      <c r="AG213" s="41"/>
      <c r="AH213" s="41"/>
      <c r="AI213" s="31"/>
      <c r="AJ213" s="21"/>
      <c r="AK213" s="21"/>
      <c r="AL213" s="21"/>
      <c r="AN213" s="41"/>
      <c r="AO213" s="41"/>
      <c r="AP213" s="41"/>
      <c r="AQ213" s="42"/>
      <c r="AV213" s="41"/>
      <c r="AW213" s="41"/>
      <c r="AX213" s="41"/>
      <c r="AY213" s="44"/>
      <c r="AZ213" s="44"/>
      <c r="BA213" s="31"/>
      <c r="BC213" s="41"/>
      <c r="BD213" s="41"/>
      <c r="BE213" s="41"/>
      <c r="BF213" s="41"/>
      <c r="BH213" s="21"/>
      <c r="BI213" s="21"/>
      <c r="BJ213" s="21"/>
      <c r="BK213" s="21"/>
      <c r="BL213" s="41"/>
    </row>
    <row r="214" spans="1:64" ht="12.75">
      <c r="A214" s="109"/>
      <c r="B214" s="110"/>
      <c r="C214" s="110"/>
      <c r="D214" s="114"/>
      <c r="E214" s="111" t="s">
        <v>668</v>
      </c>
      <c r="F214" s="110"/>
      <c r="G214" s="112"/>
      <c r="H214" s="112"/>
      <c r="I214" s="112"/>
      <c r="J214" s="112"/>
      <c r="K214" s="112"/>
      <c r="L214" s="112"/>
      <c r="M214" s="112"/>
      <c r="N214" s="113"/>
      <c r="O214" s="39"/>
      <c r="Z214" s="41"/>
      <c r="AB214" s="41"/>
      <c r="AC214" s="41"/>
      <c r="AD214" s="41"/>
      <c r="AE214" s="41"/>
      <c r="AF214" s="41"/>
      <c r="AG214" s="41"/>
      <c r="AH214" s="41"/>
      <c r="AI214" s="31"/>
      <c r="AJ214" s="21"/>
      <c r="AK214" s="21"/>
      <c r="AL214" s="21"/>
      <c r="AN214" s="41"/>
      <c r="AO214" s="41"/>
      <c r="AP214" s="41"/>
      <c r="AQ214" s="42"/>
      <c r="AV214" s="41"/>
      <c r="AW214" s="41"/>
      <c r="AX214" s="41"/>
      <c r="AY214" s="44"/>
      <c r="AZ214" s="44"/>
      <c r="BA214" s="31"/>
      <c r="BC214" s="41"/>
      <c r="BD214" s="41"/>
      <c r="BE214" s="41"/>
      <c r="BF214" s="41"/>
      <c r="BH214" s="21"/>
      <c r="BI214" s="21"/>
      <c r="BJ214" s="21"/>
      <c r="BK214" s="21"/>
      <c r="BL214" s="41"/>
    </row>
    <row r="215" spans="1:64" ht="12.75">
      <c r="A215" s="109"/>
      <c r="B215" s="110"/>
      <c r="C215" s="110"/>
      <c r="D215" s="114"/>
      <c r="E215" s="111" t="s">
        <v>669</v>
      </c>
      <c r="F215" s="110"/>
      <c r="G215" s="112"/>
      <c r="H215" s="112"/>
      <c r="I215" s="112"/>
      <c r="J215" s="112"/>
      <c r="K215" s="112"/>
      <c r="L215" s="112"/>
      <c r="M215" s="112"/>
      <c r="N215" s="113"/>
      <c r="O215" s="39"/>
      <c r="Z215" s="41"/>
      <c r="AB215" s="41"/>
      <c r="AC215" s="41"/>
      <c r="AD215" s="41"/>
      <c r="AE215" s="41"/>
      <c r="AF215" s="41"/>
      <c r="AG215" s="41"/>
      <c r="AH215" s="41"/>
      <c r="AI215" s="31"/>
      <c r="AJ215" s="21"/>
      <c r="AK215" s="21"/>
      <c r="AL215" s="21"/>
      <c r="AN215" s="41"/>
      <c r="AO215" s="41"/>
      <c r="AP215" s="41"/>
      <c r="AQ215" s="42"/>
      <c r="AV215" s="41"/>
      <c r="AW215" s="41"/>
      <c r="AX215" s="41"/>
      <c r="AY215" s="44"/>
      <c r="AZ215" s="44"/>
      <c r="BA215" s="31"/>
      <c r="BC215" s="41"/>
      <c r="BD215" s="41"/>
      <c r="BE215" s="41"/>
      <c r="BF215" s="41"/>
      <c r="BH215" s="21"/>
      <c r="BI215" s="21"/>
      <c r="BJ215" s="21"/>
      <c r="BK215" s="21"/>
      <c r="BL215" s="41"/>
    </row>
    <row r="216" spans="1:64" ht="12.75">
      <c r="A216" s="109"/>
      <c r="B216" s="110"/>
      <c r="C216" s="110"/>
      <c r="D216" s="114"/>
      <c r="E216" s="111" t="s">
        <v>670</v>
      </c>
      <c r="F216" s="110"/>
      <c r="G216" s="112"/>
      <c r="H216" s="112"/>
      <c r="I216" s="112"/>
      <c r="J216" s="112"/>
      <c r="K216" s="112"/>
      <c r="L216" s="112"/>
      <c r="M216" s="112"/>
      <c r="N216" s="113"/>
      <c r="O216" s="39"/>
      <c r="Z216" s="41"/>
      <c r="AB216" s="41"/>
      <c r="AC216" s="41"/>
      <c r="AD216" s="41"/>
      <c r="AE216" s="41"/>
      <c r="AF216" s="41"/>
      <c r="AG216" s="41"/>
      <c r="AH216" s="41"/>
      <c r="AI216" s="31"/>
      <c r="AJ216" s="21"/>
      <c r="AK216" s="21"/>
      <c r="AL216" s="21"/>
      <c r="AN216" s="41"/>
      <c r="AO216" s="41"/>
      <c r="AP216" s="41"/>
      <c r="AQ216" s="42"/>
      <c r="AV216" s="41"/>
      <c r="AW216" s="41"/>
      <c r="AX216" s="41"/>
      <c r="AY216" s="44"/>
      <c r="AZ216" s="44"/>
      <c r="BA216" s="31"/>
      <c r="BC216" s="41"/>
      <c r="BD216" s="41"/>
      <c r="BE216" s="41"/>
      <c r="BF216" s="41"/>
      <c r="BH216" s="21"/>
      <c r="BI216" s="21"/>
      <c r="BJ216" s="21"/>
      <c r="BK216" s="21"/>
      <c r="BL216" s="41"/>
    </row>
    <row r="217" spans="1:64" ht="12.75">
      <c r="A217" s="4" t="s">
        <v>92</v>
      </c>
      <c r="B217" s="13"/>
      <c r="C217" s="13" t="s">
        <v>225</v>
      </c>
      <c r="D217" s="125" t="s">
        <v>385</v>
      </c>
      <c r="E217" s="126"/>
      <c r="F217" s="13" t="s">
        <v>426</v>
      </c>
      <c r="G217" s="21">
        <v>552</v>
      </c>
      <c r="H217" s="21">
        <v>0</v>
      </c>
      <c r="I217" s="21">
        <f>G217*AO217</f>
        <v>0</v>
      </c>
      <c r="J217" s="21">
        <f>G217*AP217</f>
        <v>0</v>
      </c>
      <c r="K217" s="21">
        <f>G217*H217</f>
        <v>0</v>
      </c>
      <c r="L217" s="21">
        <v>0</v>
      </c>
      <c r="M217" s="21">
        <f>G217*L217</f>
        <v>0</v>
      </c>
      <c r="N217" s="35" t="s">
        <v>452</v>
      </c>
      <c r="O217" s="39"/>
      <c r="Z217" s="41">
        <f>IF(AQ217="5",BJ217,0)</f>
        <v>0</v>
      </c>
      <c r="AB217" s="41">
        <f>IF(AQ217="1",BH217,0)</f>
        <v>0</v>
      </c>
      <c r="AC217" s="41">
        <f>IF(AQ217="1",BI217,0)</f>
        <v>0</v>
      </c>
      <c r="AD217" s="41">
        <f>IF(AQ217="7",BH217,0)</f>
        <v>0</v>
      </c>
      <c r="AE217" s="41">
        <f>IF(AQ217="7",BI217,0)</f>
        <v>0</v>
      </c>
      <c r="AF217" s="41">
        <f>IF(AQ217="2",BH217,0)</f>
        <v>0</v>
      </c>
      <c r="AG217" s="41">
        <f>IF(AQ217="2",BI217,0)</f>
        <v>0</v>
      </c>
      <c r="AH217" s="41">
        <f>IF(AQ217="0",BJ217,0)</f>
        <v>0</v>
      </c>
      <c r="AI217" s="31"/>
      <c r="AJ217" s="21">
        <f>IF(AN217=0,K217,0)</f>
        <v>0</v>
      </c>
      <c r="AK217" s="21">
        <f>IF(AN217=15,K217,0)</f>
        <v>0</v>
      </c>
      <c r="AL217" s="21">
        <f>IF(AN217=21,K217,0)</f>
        <v>0</v>
      </c>
      <c r="AN217" s="41">
        <v>21</v>
      </c>
      <c r="AO217" s="41">
        <f>H217*0</f>
        <v>0</v>
      </c>
      <c r="AP217" s="41">
        <f>H217*(1-0)</f>
        <v>0</v>
      </c>
      <c r="AQ217" s="42" t="s">
        <v>8</v>
      </c>
      <c r="AV217" s="41">
        <f>AW217+AX217</f>
        <v>0</v>
      </c>
      <c r="AW217" s="41">
        <f>G217*AO217</f>
        <v>0</v>
      </c>
      <c r="AX217" s="41">
        <f>G217*AP217</f>
        <v>0</v>
      </c>
      <c r="AY217" s="44" t="s">
        <v>501</v>
      </c>
      <c r="AZ217" s="44" t="s">
        <v>517</v>
      </c>
      <c r="BA217" s="31" t="s">
        <v>520</v>
      </c>
      <c r="BC217" s="41">
        <f>AW217+AX217</f>
        <v>0</v>
      </c>
      <c r="BD217" s="41">
        <f>H217/(100-BE217)*100</f>
        <v>0</v>
      </c>
      <c r="BE217" s="41">
        <v>0</v>
      </c>
      <c r="BF217" s="41">
        <f>M217</f>
        <v>0</v>
      </c>
      <c r="BH217" s="21">
        <f>G217*AO217</f>
        <v>0</v>
      </c>
      <c r="BI217" s="21">
        <f>G217*AP217</f>
        <v>0</v>
      </c>
      <c r="BJ217" s="21">
        <f>G217*H217</f>
        <v>0</v>
      </c>
      <c r="BK217" s="21" t="s">
        <v>525</v>
      </c>
      <c r="BL217" s="41" t="s">
        <v>223</v>
      </c>
    </row>
    <row r="218" spans="1:64" ht="12.75">
      <c r="A218" s="4" t="s">
        <v>93</v>
      </c>
      <c r="B218" s="13"/>
      <c r="C218" s="13" t="s">
        <v>642</v>
      </c>
      <c r="D218" s="125" t="s">
        <v>386</v>
      </c>
      <c r="E218" s="126"/>
      <c r="F218" s="13" t="s">
        <v>425</v>
      </c>
      <c r="G218" s="21">
        <v>55.2</v>
      </c>
      <c r="H218" s="21">
        <v>0</v>
      </c>
      <c r="I218" s="21">
        <f>G218*AO218</f>
        <v>0</v>
      </c>
      <c r="J218" s="21">
        <f>G218*AP218</f>
        <v>0</v>
      </c>
      <c r="K218" s="21">
        <f>G218*H218</f>
        <v>0</v>
      </c>
      <c r="L218" s="21">
        <v>0</v>
      </c>
      <c r="M218" s="21">
        <f>G218*L218</f>
        <v>0</v>
      </c>
      <c r="N218" s="35" t="s">
        <v>593</v>
      </c>
      <c r="O218" s="39"/>
      <c r="Z218" s="41">
        <f>IF(AQ218="5",BJ218,0)</f>
        <v>0</v>
      </c>
      <c r="AB218" s="41">
        <f>IF(AQ218="1",BH218,0)</f>
        <v>0</v>
      </c>
      <c r="AC218" s="41">
        <f>IF(AQ218="1",BI218,0)</f>
        <v>0</v>
      </c>
      <c r="AD218" s="41">
        <f>IF(AQ218="7",BH218,0)</f>
        <v>0</v>
      </c>
      <c r="AE218" s="41">
        <f>IF(AQ218="7",BI218,0)</f>
        <v>0</v>
      </c>
      <c r="AF218" s="41">
        <f>IF(AQ218="2",BH218,0)</f>
        <v>0</v>
      </c>
      <c r="AG218" s="41">
        <f>IF(AQ218="2",BI218,0)</f>
        <v>0</v>
      </c>
      <c r="AH218" s="41">
        <f>IF(AQ218="0",BJ218,0)</f>
        <v>0</v>
      </c>
      <c r="AI218" s="31"/>
      <c r="AJ218" s="21">
        <f>IF(AN218=0,K218,0)</f>
        <v>0</v>
      </c>
      <c r="AK218" s="21">
        <f>IF(AN218=15,K218,0)</f>
        <v>0</v>
      </c>
      <c r="AL218" s="21">
        <f>IF(AN218=21,K218,0)</f>
        <v>0</v>
      </c>
      <c r="AN218" s="41">
        <v>21</v>
      </c>
      <c r="AO218" s="41">
        <f>H218*0</f>
        <v>0</v>
      </c>
      <c r="AP218" s="41">
        <f>H218*(1-0)</f>
        <v>0</v>
      </c>
      <c r="AQ218" s="42" t="s">
        <v>8</v>
      </c>
      <c r="AV218" s="41">
        <f>AW218+AX218</f>
        <v>0</v>
      </c>
      <c r="AW218" s="41">
        <f>G218*AO218</f>
        <v>0</v>
      </c>
      <c r="AX218" s="41">
        <f>G218*AP218</f>
        <v>0</v>
      </c>
      <c r="AY218" s="44" t="s">
        <v>501</v>
      </c>
      <c r="AZ218" s="44" t="s">
        <v>517</v>
      </c>
      <c r="BA218" s="31" t="s">
        <v>520</v>
      </c>
      <c r="BC218" s="41">
        <f>AW218+AX218</f>
        <v>0</v>
      </c>
      <c r="BD218" s="41">
        <f>H218/(100-BE218)*100</f>
        <v>0</v>
      </c>
      <c r="BE218" s="41">
        <v>0</v>
      </c>
      <c r="BF218" s="41">
        <f>M218</f>
        <v>0</v>
      </c>
      <c r="BH218" s="21">
        <f>G218*AO218</f>
        <v>0</v>
      </c>
      <c r="BI218" s="21">
        <f>G218*AP218</f>
        <v>0</v>
      </c>
      <c r="BJ218" s="21">
        <f>G218*H218</f>
        <v>0</v>
      </c>
      <c r="BK218" s="21" t="s">
        <v>525</v>
      </c>
      <c r="BL218" s="41" t="s">
        <v>223</v>
      </c>
    </row>
    <row r="219" spans="1:64" ht="12.75">
      <c r="A219" s="109"/>
      <c r="B219" s="110"/>
      <c r="C219" s="110"/>
      <c r="D219" s="110"/>
      <c r="E219" s="111" t="s">
        <v>727</v>
      </c>
      <c r="F219" s="110"/>
      <c r="G219" s="112"/>
      <c r="H219" s="112"/>
      <c r="I219" s="112"/>
      <c r="J219" s="112"/>
      <c r="K219" s="112"/>
      <c r="L219" s="112"/>
      <c r="M219" s="112"/>
      <c r="N219" s="113"/>
      <c r="O219" s="39"/>
      <c r="Z219" s="41"/>
      <c r="AB219" s="41"/>
      <c r="AC219" s="41"/>
      <c r="AD219" s="41"/>
      <c r="AE219" s="41"/>
      <c r="AF219" s="41"/>
      <c r="AG219" s="41"/>
      <c r="AH219" s="41"/>
      <c r="AI219" s="31"/>
      <c r="AJ219" s="21"/>
      <c r="AK219" s="21"/>
      <c r="AL219" s="21"/>
      <c r="AN219" s="41"/>
      <c r="AO219" s="41"/>
      <c r="AP219" s="41"/>
      <c r="AQ219" s="42"/>
      <c r="AV219" s="41"/>
      <c r="AW219" s="41"/>
      <c r="AX219" s="41"/>
      <c r="AY219" s="44"/>
      <c r="AZ219" s="44"/>
      <c r="BA219" s="31"/>
      <c r="BC219" s="41"/>
      <c r="BD219" s="41"/>
      <c r="BE219" s="41"/>
      <c r="BF219" s="41"/>
      <c r="BH219" s="21"/>
      <c r="BI219" s="21"/>
      <c r="BJ219" s="21"/>
      <c r="BK219" s="21"/>
      <c r="BL219" s="41"/>
    </row>
    <row r="220" spans="1:47" ht="12.75">
      <c r="A220" s="5"/>
      <c r="B220" s="14"/>
      <c r="C220" s="14" t="s">
        <v>227</v>
      </c>
      <c r="D220" s="127" t="s">
        <v>387</v>
      </c>
      <c r="E220" s="128"/>
      <c r="F220" s="19" t="s">
        <v>6</v>
      </c>
      <c r="G220" s="19" t="s">
        <v>6</v>
      </c>
      <c r="H220" s="19" t="s">
        <v>6</v>
      </c>
      <c r="I220" s="47">
        <f>SUM(I221:I236)</f>
        <v>0</v>
      </c>
      <c r="J220" s="47">
        <f>SUM(J221:J236)</f>
        <v>0</v>
      </c>
      <c r="K220" s="47">
        <f>SUM(K221:K236)</f>
        <v>0</v>
      </c>
      <c r="L220" s="31"/>
      <c r="M220" s="47">
        <f>SUM(M221:M236)</f>
        <v>0</v>
      </c>
      <c r="N220" s="36"/>
      <c r="O220" s="39"/>
      <c r="AI220" s="31"/>
      <c r="AS220" s="47">
        <f>SUM(AJ221:AJ236)</f>
        <v>0</v>
      </c>
      <c r="AT220" s="47">
        <f>SUM(AK221:AK236)</f>
        <v>0</v>
      </c>
      <c r="AU220" s="47">
        <f>SUM(AL221:AL236)</f>
        <v>0</v>
      </c>
    </row>
    <row r="221" spans="1:64" ht="12.75">
      <c r="A221" s="4" t="s">
        <v>94</v>
      </c>
      <c r="B221" s="13"/>
      <c r="C221" s="13" t="s">
        <v>228</v>
      </c>
      <c r="D221" s="125" t="s">
        <v>388</v>
      </c>
      <c r="E221" s="126"/>
      <c r="F221" s="13" t="s">
        <v>427</v>
      </c>
      <c r="G221" s="21">
        <v>21.55</v>
      </c>
      <c r="H221" s="21">
        <v>0</v>
      </c>
      <c r="I221" s="21">
        <f aca="true" t="shared" si="0" ref="I221:I236">G221*AO221</f>
        <v>0</v>
      </c>
      <c r="J221" s="21">
        <f aca="true" t="shared" si="1" ref="J221:J236">G221*AP221</f>
        <v>0</v>
      </c>
      <c r="K221" s="21">
        <f aca="true" t="shared" si="2" ref="K221:K236">G221*H221</f>
        <v>0</v>
      </c>
      <c r="L221" s="21">
        <v>0</v>
      </c>
      <c r="M221" s="21">
        <f aca="true" t="shared" si="3" ref="M221:M236">G221*L221</f>
        <v>0</v>
      </c>
      <c r="N221" s="35" t="s">
        <v>452</v>
      </c>
      <c r="O221" s="39"/>
      <c r="Z221" s="41">
        <f aca="true" t="shared" si="4" ref="Z221:Z236">IF(AQ221="5",BJ221,0)</f>
        <v>0</v>
      </c>
      <c r="AB221" s="41">
        <f aca="true" t="shared" si="5" ref="AB221:AB236">IF(AQ221="1",BH221,0)</f>
        <v>0</v>
      </c>
      <c r="AC221" s="41">
        <f aca="true" t="shared" si="6" ref="AC221:AC236">IF(AQ221="1",BI221,0)</f>
        <v>0</v>
      </c>
      <c r="AD221" s="41">
        <f aca="true" t="shared" si="7" ref="AD221:AD236">IF(AQ221="7",BH221,0)</f>
        <v>0</v>
      </c>
      <c r="AE221" s="41">
        <f aca="true" t="shared" si="8" ref="AE221:AE236">IF(AQ221="7",BI221,0)</f>
        <v>0</v>
      </c>
      <c r="AF221" s="41">
        <f aca="true" t="shared" si="9" ref="AF221:AF236">IF(AQ221="2",BH221,0)</f>
        <v>0</v>
      </c>
      <c r="AG221" s="41">
        <f aca="true" t="shared" si="10" ref="AG221:AG236">IF(AQ221="2",BI221,0)</f>
        <v>0</v>
      </c>
      <c r="AH221" s="41">
        <f aca="true" t="shared" si="11" ref="AH221:AH236">IF(AQ221="0",BJ221,0)</f>
        <v>0</v>
      </c>
      <c r="AI221" s="31"/>
      <c r="AJ221" s="21">
        <f aca="true" t="shared" si="12" ref="AJ221:AJ236">IF(AN221=0,K221,0)</f>
        <v>0</v>
      </c>
      <c r="AK221" s="21">
        <f aca="true" t="shared" si="13" ref="AK221:AK236">IF(AN221=15,K221,0)</f>
        <v>0</v>
      </c>
      <c r="AL221" s="21">
        <f aca="true" t="shared" si="14" ref="AL221:AL236">IF(AN221=21,K221,0)</f>
        <v>0</v>
      </c>
      <c r="AN221" s="41">
        <v>21</v>
      </c>
      <c r="AO221" s="41">
        <f aca="true" t="shared" si="15" ref="AO221:AO236">H221*0</f>
        <v>0</v>
      </c>
      <c r="AP221" s="41">
        <f aca="true" t="shared" si="16" ref="AP221:AP236">H221*(1-0)</f>
        <v>0</v>
      </c>
      <c r="AQ221" s="42" t="s">
        <v>11</v>
      </c>
      <c r="AV221" s="41">
        <f aca="true" t="shared" si="17" ref="AV221:AV236">AW221+AX221</f>
        <v>0</v>
      </c>
      <c r="AW221" s="41">
        <f aca="true" t="shared" si="18" ref="AW221:AW236">G221*AO221</f>
        <v>0</v>
      </c>
      <c r="AX221" s="41">
        <f aca="true" t="shared" si="19" ref="AX221:AX236">G221*AP221</f>
        <v>0</v>
      </c>
      <c r="AY221" s="44" t="s">
        <v>502</v>
      </c>
      <c r="AZ221" s="44" t="s">
        <v>517</v>
      </c>
      <c r="BA221" s="31" t="s">
        <v>520</v>
      </c>
      <c r="BC221" s="41">
        <f aca="true" t="shared" si="20" ref="BC221:BC236">AW221+AX221</f>
        <v>0</v>
      </c>
      <c r="BD221" s="41">
        <f aca="true" t="shared" si="21" ref="BD221:BD236">H221/(100-BE221)*100</f>
        <v>0</v>
      </c>
      <c r="BE221" s="41">
        <v>0</v>
      </c>
      <c r="BF221" s="41">
        <f aca="true" t="shared" si="22" ref="BF221:BF236">M221</f>
        <v>0</v>
      </c>
      <c r="BH221" s="21">
        <f aca="true" t="shared" si="23" ref="BH221:BH236">G221*AO221</f>
        <v>0</v>
      </c>
      <c r="BI221" s="21">
        <f aca="true" t="shared" si="24" ref="BI221:BI236">G221*AP221</f>
        <v>0</v>
      </c>
      <c r="BJ221" s="21">
        <f aca="true" t="shared" si="25" ref="BJ221:BJ236">G221*H221</f>
        <v>0</v>
      </c>
      <c r="BK221" s="21" t="s">
        <v>525</v>
      </c>
      <c r="BL221" s="41" t="s">
        <v>227</v>
      </c>
    </row>
    <row r="222" spans="1:64" ht="12.75">
      <c r="A222" s="109"/>
      <c r="B222" s="110"/>
      <c r="C222" s="110"/>
      <c r="D222" s="110"/>
      <c r="E222" s="111" t="s">
        <v>728</v>
      </c>
      <c r="F222" s="110"/>
      <c r="G222" s="112"/>
      <c r="H222" s="112"/>
      <c r="I222" s="112"/>
      <c r="J222" s="112"/>
      <c r="K222" s="112"/>
      <c r="L222" s="112"/>
      <c r="M222" s="112"/>
      <c r="N222" s="113"/>
      <c r="O222" s="39"/>
      <c r="Z222" s="41"/>
      <c r="AB222" s="41"/>
      <c r="AC222" s="41"/>
      <c r="AD222" s="41"/>
      <c r="AE222" s="41"/>
      <c r="AF222" s="41"/>
      <c r="AG222" s="41"/>
      <c r="AH222" s="41"/>
      <c r="AI222" s="31"/>
      <c r="AJ222" s="21"/>
      <c r="AK222" s="21"/>
      <c r="AL222" s="21"/>
      <c r="AN222" s="41"/>
      <c r="AO222" s="41"/>
      <c r="AP222" s="41"/>
      <c r="AQ222" s="42"/>
      <c r="AV222" s="41"/>
      <c r="AW222" s="41"/>
      <c r="AX222" s="41"/>
      <c r="AY222" s="44"/>
      <c r="AZ222" s="44"/>
      <c r="BA222" s="31"/>
      <c r="BC222" s="41"/>
      <c r="BD222" s="41"/>
      <c r="BE222" s="41"/>
      <c r="BF222" s="41"/>
      <c r="BH222" s="21"/>
      <c r="BI222" s="21"/>
      <c r="BJ222" s="21"/>
      <c r="BK222" s="21"/>
      <c r="BL222" s="41"/>
    </row>
    <row r="223" spans="1:64" ht="12.75">
      <c r="A223" s="4" t="s">
        <v>95</v>
      </c>
      <c r="B223" s="13"/>
      <c r="C223" s="13" t="s">
        <v>229</v>
      </c>
      <c r="D223" s="125" t="s">
        <v>389</v>
      </c>
      <c r="E223" s="126"/>
      <c r="F223" s="13" t="s">
        <v>427</v>
      </c>
      <c r="G223" s="21">
        <v>497.26</v>
      </c>
      <c r="H223" s="21">
        <v>0</v>
      </c>
      <c r="I223" s="21">
        <f t="shared" si="0"/>
        <v>0</v>
      </c>
      <c r="J223" s="21">
        <f t="shared" si="1"/>
        <v>0</v>
      </c>
      <c r="K223" s="21">
        <f t="shared" si="2"/>
        <v>0</v>
      </c>
      <c r="L223" s="21">
        <v>0</v>
      </c>
      <c r="M223" s="21">
        <f t="shared" si="3"/>
        <v>0</v>
      </c>
      <c r="N223" s="35" t="s">
        <v>452</v>
      </c>
      <c r="O223" s="39"/>
      <c r="Z223" s="41">
        <f t="shared" si="4"/>
        <v>0</v>
      </c>
      <c r="AB223" s="41">
        <f t="shared" si="5"/>
        <v>0</v>
      </c>
      <c r="AC223" s="41">
        <f t="shared" si="6"/>
        <v>0</v>
      </c>
      <c r="AD223" s="41">
        <f t="shared" si="7"/>
        <v>0</v>
      </c>
      <c r="AE223" s="41">
        <f t="shared" si="8"/>
        <v>0</v>
      </c>
      <c r="AF223" s="41">
        <f t="shared" si="9"/>
        <v>0</v>
      </c>
      <c r="AG223" s="41">
        <f t="shared" si="10"/>
        <v>0</v>
      </c>
      <c r="AH223" s="41">
        <f t="shared" si="11"/>
        <v>0</v>
      </c>
      <c r="AI223" s="31"/>
      <c r="AJ223" s="21">
        <f t="shared" si="12"/>
        <v>0</v>
      </c>
      <c r="AK223" s="21">
        <f t="shared" si="13"/>
        <v>0</v>
      </c>
      <c r="AL223" s="21">
        <f t="shared" si="14"/>
        <v>0</v>
      </c>
      <c r="AN223" s="41">
        <v>21</v>
      </c>
      <c r="AO223" s="41">
        <f t="shared" si="15"/>
        <v>0</v>
      </c>
      <c r="AP223" s="41">
        <f t="shared" si="16"/>
        <v>0</v>
      </c>
      <c r="AQ223" s="42" t="s">
        <v>11</v>
      </c>
      <c r="AV223" s="41">
        <f t="shared" si="17"/>
        <v>0</v>
      </c>
      <c r="AW223" s="41">
        <f t="shared" si="18"/>
        <v>0</v>
      </c>
      <c r="AX223" s="41">
        <f t="shared" si="19"/>
        <v>0</v>
      </c>
      <c r="AY223" s="44" t="s">
        <v>502</v>
      </c>
      <c r="AZ223" s="44" t="s">
        <v>517</v>
      </c>
      <c r="BA223" s="31" t="s">
        <v>520</v>
      </c>
      <c r="BC223" s="41">
        <f t="shared" si="20"/>
        <v>0</v>
      </c>
      <c r="BD223" s="41">
        <f t="shared" si="21"/>
        <v>0</v>
      </c>
      <c r="BE223" s="41">
        <v>0</v>
      </c>
      <c r="BF223" s="41">
        <f t="shared" si="22"/>
        <v>0</v>
      </c>
      <c r="BH223" s="21">
        <f t="shared" si="23"/>
        <v>0</v>
      </c>
      <c r="BI223" s="21">
        <f t="shared" si="24"/>
        <v>0</v>
      </c>
      <c r="BJ223" s="21">
        <f t="shared" si="25"/>
        <v>0</v>
      </c>
      <c r="BK223" s="21" t="s">
        <v>525</v>
      </c>
      <c r="BL223" s="41" t="s">
        <v>227</v>
      </c>
    </row>
    <row r="224" spans="1:64" ht="12.75">
      <c r="A224" s="109"/>
      <c r="B224" s="110"/>
      <c r="C224" s="110"/>
      <c r="D224" s="110"/>
      <c r="E224" s="111" t="s">
        <v>729</v>
      </c>
      <c r="F224" s="110"/>
      <c r="G224" s="112"/>
      <c r="H224" s="112"/>
      <c r="I224" s="112"/>
      <c r="J224" s="112"/>
      <c r="K224" s="112"/>
      <c r="L224" s="112"/>
      <c r="M224" s="112"/>
      <c r="N224" s="113"/>
      <c r="O224" s="39"/>
      <c r="Z224" s="41"/>
      <c r="AB224" s="41"/>
      <c r="AC224" s="41"/>
      <c r="AD224" s="41"/>
      <c r="AE224" s="41"/>
      <c r="AF224" s="41"/>
      <c r="AG224" s="41"/>
      <c r="AH224" s="41"/>
      <c r="AI224" s="31"/>
      <c r="AJ224" s="21"/>
      <c r="AK224" s="21"/>
      <c r="AL224" s="21"/>
      <c r="AN224" s="41"/>
      <c r="AO224" s="41"/>
      <c r="AP224" s="41"/>
      <c r="AQ224" s="42"/>
      <c r="AV224" s="41"/>
      <c r="AW224" s="41"/>
      <c r="AX224" s="41"/>
      <c r="AY224" s="44"/>
      <c r="AZ224" s="44"/>
      <c r="BA224" s="31"/>
      <c r="BC224" s="41"/>
      <c r="BD224" s="41"/>
      <c r="BE224" s="41"/>
      <c r="BF224" s="41"/>
      <c r="BH224" s="21"/>
      <c r="BI224" s="21"/>
      <c r="BJ224" s="21"/>
      <c r="BK224" s="21"/>
      <c r="BL224" s="41"/>
    </row>
    <row r="225" spans="1:64" ht="12.75">
      <c r="A225" s="4" t="s">
        <v>96</v>
      </c>
      <c r="B225" s="13"/>
      <c r="C225" s="13" t="s">
        <v>230</v>
      </c>
      <c r="D225" s="125" t="s">
        <v>390</v>
      </c>
      <c r="E225" s="126"/>
      <c r="F225" s="13" t="s">
        <v>427</v>
      </c>
      <c r="G225" s="21">
        <v>9945.2</v>
      </c>
      <c r="H225" s="21">
        <v>0</v>
      </c>
      <c r="I225" s="21">
        <f t="shared" si="0"/>
        <v>0</v>
      </c>
      <c r="J225" s="21">
        <f t="shared" si="1"/>
        <v>0</v>
      </c>
      <c r="K225" s="21">
        <f t="shared" si="2"/>
        <v>0</v>
      </c>
      <c r="L225" s="21">
        <v>0</v>
      </c>
      <c r="M225" s="21">
        <f t="shared" si="3"/>
        <v>0</v>
      </c>
      <c r="N225" s="35" t="s">
        <v>452</v>
      </c>
      <c r="O225" s="39"/>
      <c r="Z225" s="41">
        <f t="shared" si="4"/>
        <v>0</v>
      </c>
      <c r="AB225" s="41">
        <f t="shared" si="5"/>
        <v>0</v>
      </c>
      <c r="AC225" s="41">
        <f t="shared" si="6"/>
        <v>0</v>
      </c>
      <c r="AD225" s="41">
        <f t="shared" si="7"/>
        <v>0</v>
      </c>
      <c r="AE225" s="41">
        <f t="shared" si="8"/>
        <v>0</v>
      </c>
      <c r="AF225" s="41">
        <f t="shared" si="9"/>
        <v>0</v>
      </c>
      <c r="AG225" s="41">
        <f t="shared" si="10"/>
        <v>0</v>
      </c>
      <c r="AH225" s="41">
        <f t="shared" si="11"/>
        <v>0</v>
      </c>
      <c r="AI225" s="31"/>
      <c r="AJ225" s="21">
        <f t="shared" si="12"/>
        <v>0</v>
      </c>
      <c r="AK225" s="21">
        <f t="shared" si="13"/>
        <v>0</v>
      </c>
      <c r="AL225" s="21">
        <f t="shared" si="14"/>
        <v>0</v>
      </c>
      <c r="AN225" s="41">
        <v>21</v>
      </c>
      <c r="AO225" s="41">
        <f t="shared" si="15"/>
        <v>0</v>
      </c>
      <c r="AP225" s="41">
        <f t="shared" si="16"/>
        <v>0</v>
      </c>
      <c r="AQ225" s="42" t="s">
        <v>11</v>
      </c>
      <c r="AV225" s="41">
        <f t="shared" si="17"/>
        <v>0</v>
      </c>
      <c r="AW225" s="41">
        <f t="shared" si="18"/>
        <v>0</v>
      </c>
      <c r="AX225" s="41">
        <f t="shared" si="19"/>
        <v>0</v>
      </c>
      <c r="AY225" s="44" t="s">
        <v>502</v>
      </c>
      <c r="AZ225" s="44" t="s">
        <v>517</v>
      </c>
      <c r="BA225" s="31" t="s">
        <v>520</v>
      </c>
      <c r="BC225" s="41">
        <f t="shared" si="20"/>
        <v>0</v>
      </c>
      <c r="BD225" s="41">
        <f t="shared" si="21"/>
        <v>0</v>
      </c>
      <c r="BE225" s="41">
        <v>0</v>
      </c>
      <c r="BF225" s="41">
        <f t="shared" si="22"/>
        <v>0</v>
      </c>
      <c r="BH225" s="21">
        <f t="shared" si="23"/>
        <v>0</v>
      </c>
      <c r="BI225" s="21">
        <f t="shared" si="24"/>
        <v>0</v>
      </c>
      <c r="BJ225" s="21">
        <f t="shared" si="25"/>
        <v>0</v>
      </c>
      <c r="BK225" s="21" t="s">
        <v>525</v>
      </c>
      <c r="BL225" s="41" t="s">
        <v>227</v>
      </c>
    </row>
    <row r="226" spans="1:64" ht="12.75">
      <c r="A226" s="109"/>
      <c r="B226" s="110"/>
      <c r="C226" s="110"/>
      <c r="D226" s="110"/>
      <c r="E226" s="111" t="s">
        <v>730</v>
      </c>
      <c r="F226" s="110"/>
      <c r="G226" s="112"/>
      <c r="H226" s="112"/>
      <c r="I226" s="112"/>
      <c r="J226" s="112"/>
      <c r="K226" s="112"/>
      <c r="L226" s="112"/>
      <c r="M226" s="112"/>
      <c r="N226" s="113"/>
      <c r="O226" s="39"/>
      <c r="Z226" s="41"/>
      <c r="AB226" s="41"/>
      <c r="AC226" s="41"/>
      <c r="AD226" s="41"/>
      <c r="AE226" s="41"/>
      <c r="AF226" s="41"/>
      <c r="AG226" s="41"/>
      <c r="AH226" s="41"/>
      <c r="AI226" s="31"/>
      <c r="AJ226" s="21"/>
      <c r="AK226" s="21"/>
      <c r="AL226" s="21"/>
      <c r="AN226" s="41"/>
      <c r="AO226" s="41"/>
      <c r="AP226" s="41"/>
      <c r="AQ226" s="42"/>
      <c r="AV226" s="41"/>
      <c r="AW226" s="41"/>
      <c r="AX226" s="41"/>
      <c r="AY226" s="44"/>
      <c r="AZ226" s="44"/>
      <c r="BA226" s="31"/>
      <c r="BC226" s="41"/>
      <c r="BD226" s="41"/>
      <c r="BE226" s="41"/>
      <c r="BF226" s="41"/>
      <c r="BH226" s="21"/>
      <c r="BI226" s="21"/>
      <c r="BJ226" s="21"/>
      <c r="BK226" s="21"/>
      <c r="BL226" s="41"/>
    </row>
    <row r="227" spans="1:64" ht="12.75">
      <c r="A227" s="4" t="s">
        <v>97</v>
      </c>
      <c r="B227" s="13"/>
      <c r="C227" s="13" t="s">
        <v>231</v>
      </c>
      <c r="D227" s="125" t="s">
        <v>391</v>
      </c>
      <c r="E227" s="126"/>
      <c r="F227" s="13" t="s">
        <v>427</v>
      </c>
      <c r="G227" s="21">
        <v>497.26</v>
      </c>
      <c r="H227" s="21">
        <v>0</v>
      </c>
      <c r="I227" s="21">
        <f t="shared" si="0"/>
        <v>0</v>
      </c>
      <c r="J227" s="21">
        <f t="shared" si="1"/>
        <v>0</v>
      </c>
      <c r="K227" s="21">
        <f t="shared" si="2"/>
        <v>0</v>
      </c>
      <c r="L227" s="21">
        <v>0</v>
      </c>
      <c r="M227" s="21">
        <f t="shared" si="3"/>
        <v>0</v>
      </c>
      <c r="N227" s="35" t="s">
        <v>452</v>
      </c>
      <c r="O227" s="39"/>
      <c r="Z227" s="41">
        <f t="shared" si="4"/>
        <v>0</v>
      </c>
      <c r="AB227" s="41">
        <f t="shared" si="5"/>
        <v>0</v>
      </c>
      <c r="AC227" s="41">
        <f t="shared" si="6"/>
        <v>0</v>
      </c>
      <c r="AD227" s="41">
        <f t="shared" si="7"/>
        <v>0</v>
      </c>
      <c r="AE227" s="41">
        <f t="shared" si="8"/>
        <v>0</v>
      </c>
      <c r="AF227" s="41">
        <f t="shared" si="9"/>
        <v>0</v>
      </c>
      <c r="AG227" s="41">
        <f t="shared" si="10"/>
        <v>0</v>
      </c>
      <c r="AH227" s="41">
        <f t="shared" si="11"/>
        <v>0</v>
      </c>
      <c r="AI227" s="31"/>
      <c r="AJ227" s="21">
        <f t="shared" si="12"/>
        <v>0</v>
      </c>
      <c r="AK227" s="21">
        <f t="shared" si="13"/>
        <v>0</v>
      </c>
      <c r="AL227" s="21">
        <f t="shared" si="14"/>
        <v>0</v>
      </c>
      <c r="AN227" s="41">
        <v>21</v>
      </c>
      <c r="AO227" s="41">
        <f t="shared" si="15"/>
        <v>0</v>
      </c>
      <c r="AP227" s="41">
        <f t="shared" si="16"/>
        <v>0</v>
      </c>
      <c r="AQ227" s="42" t="s">
        <v>11</v>
      </c>
      <c r="AV227" s="41">
        <f t="shared" si="17"/>
        <v>0</v>
      </c>
      <c r="AW227" s="41">
        <f t="shared" si="18"/>
        <v>0</v>
      </c>
      <c r="AX227" s="41">
        <f t="shared" si="19"/>
        <v>0</v>
      </c>
      <c r="AY227" s="44" t="s">
        <v>502</v>
      </c>
      <c r="AZ227" s="44" t="s">
        <v>517</v>
      </c>
      <c r="BA227" s="31" t="s">
        <v>520</v>
      </c>
      <c r="BC227" s="41">
        <f t="shared" si="20"/>
        <v>0</v>
      </c>
      <c r="BD227" s="41">
        <f t="shared" si="21"/>
        <v>0</v>
      </c>
      <c r="BE227" s="41">
        <v>0</v>
      </c>
      <c r="BF227" s="41">
        <f t="shared" si="22"/>
        <v>0</v>
      </c>
      <c r="BH227" s="21">
        <f t="shared" si="23"/>
        <v>0</v>
      </c>
      <c r="BI227" s="21">
        <f t="shared" si="24"/>
        <v>0</v>
      </c>
      <c r="BJ227" s="21">
        <f t="shared" si="25"/>
        <v>0</v>
      </c>
      <c r="BK227" s="21" t="s">
        <v>525</v>
      </c>
      <c r="BL227" s="41" t="s">
        <v>227</v>
      </c>
    </row>
    <row r="228" spans="1:64" ht="12.75">
      <c r="A228" s="4" t="s">
        <v>98</v>
      </c>
      <c r="B228" s="13"/>
      <c r="C228" s="13" t="s">
        <v>232</v>
      </c>
      <c r="D228" s="125" t="s">
        <v>392</v>
      </c>
      <c r="E228" s="126"/>
      <c r="F228" s="13" t="s">
        <v>427</v>
      </c>
      <c r="G228" s="21">
        <v>497.26</v>
      </c>
      <c r="H228" s="21">
        <v>0</v>
      </c>
      <c r="I228" s="21">
        <f t="shared" si="0"/>
        <v>0</v>
      </c>
      <c r="J228" s="21">
        <f t="shared" si="1"/>
        <v>0</v>
      </c>
      <c r="K228" s="21">
        <f t="shared" si="2"/>
        <v>0</v>
      </c>
      <c r="L228" s="21">
        <v>0</v>
      </c>
      <c r="M228" s="21">
        <f t="shared" si="3"/>
        <v>0</v>
      </c>
      <c r="N228" s="35" t="s">
        <v>452</v>
      </c>
      <c r="O228" s="39"/>
      <c r="Z228" s="41">
        <f t="shared" si="4"/>
        <v>0</v>
      </c>
      <c r="AB228" s="41">
        <f t="shared" si="5"/>
        <v>0</v>
      </c>
      <c r="AC228" s="41">
        <f t="shared" si="6"/>
        <v>0</v>
      </c>
      <c r="AD228" s="41">
        <f t="shared" si="7"/>
        <v>0</v>
      </c>
      <c r="AE228" s="41">
        <f t="shared" si="8"/>
        <v>0</v>
      </c>
      <c r="AF228" s="41">
        <f t="shared" si="9"/>
        <v>0</v>
      </c>
      <c r="AG228" s="41">
        <f t="shared" si="10"/>
        <v>0</v>
      </c>
      <c r="AH228" s="41">
        <f t="shared" si="11"/>
        <v>0</v>
      </c>
      <c r="AI228" s="31"/>
      <c r="AJ228" s="21">
        <f t="shared" si="12"/>
        <v>0</v>
      </c>
      <c r="AK228" s="21">
        <f t="shared" si="13"/>
        <v>0</v>
      </c>
      <c r="AL228" s="21">
        <f t="shared" si="14"/>
        <v>0</v>
      </c>
      <c r="AN228" s="41">
        <v>21</v>
      </c>
      <c r="AO228" s="41">
        <f t="shared" si="15"/>
        <v>0</v>
      </c>
      <c r="AP228" s="41">
        <f t="shared" si="16"/>
        <v>0</v>
      </c>
      <c r="AQ228" s="42" t="s">
        <v>11</v>
      </c>
      <c r="AV228" s="41">
        <f t="shared" si="17"/>
        <v>0</v>
      </c>
      <c r="AW228" s="41">
        <f t="shared" si="18"/>
        <v>0</v>
      </c>
      <c r="AX228" s="41">
        <f t="shared" si="19"/>
        <v>0</v>
      </c>
      <c r="AY228" s="44" t="s">
        <v>502</v>
      </c>
      <c r="AZ228" s="44" t="s">
        <v>517</v>
      </c>
      <c r="BA228" s="31" t="s">
        <v>520</v>
      </c>
      <c r="BC228" s="41">
        <f t="shared" si="20"/>
        <v>0</v>
      </c>
      <c r="BD228" s="41">
        <f t="shared" si="21"/>
        <v>0</v>
      </c>
      <c r="BE228" s="41">
        <v>0</v>
      </c>
      <c r="BF228" s="41">
        <f t="shared" si="22"/>
        <v>0</v>
      </c>
      <c r="BH228" s="21">
        <f t="shared" si="23"/>
        <v>0</v>
      </c>
      <c r="BI228" s="21">
        <f t="shared" si="24"/>
        <v>0</v>
      </c>
      <c r="BJ228" s="21">
        <f t="shared" si="25"/>
        <v>0</v>
      </c>
      <c r="BK228" s="21" t="s">
        <v>525</v>
      </c>
      <c r="BL228" s="41" t="s">
        <v>227</v>
      </c>
    </row>
    <row r="229" spans="1:64" ht="12.75">
      <c r="A229" s="4" t="s">
        <v>99</v>
      </c>
      <c r="B229" s="13"/>
      <c r="C229" s="13" t="s">
        <v>643</v>
      </c>
      <c r="D229" s="125" t="s">
        <v>393</v>
      </c>
      <c r="E229" s="126"/>
      <c r="F229" s="13" t="s">
        <v>427</v>
      </c>
      <c r="G229" s="21">
        <v>24.55</v>
      </c>
      <c r="H229" s="21">
        <v>0</v>
      </c>
      <c r="I229" s="21">
        <f t="shared" si="0"/>
        <v>0</v>
      </c>
      <c r="J229" s="21">
        <f t="shared" si="1"/>
        <v>0</v>
      </c>
      <c r="K229" s="21">
        <f t="shared" si="2"/>
        <v>0</v>
      </c>
      <c r="L229" s="21">
        <v>0</v>
      </c>
      <c r="M229" s="21">
        <f t="shared" si="3"/>
        <v>0</v>
      </c>
      <c r="N229" s="35" t="s">
        <v>593</v>
      </c>
      <c r="O229" s="39"/>
      <c r="Z229" s="41">
        <f t="shared" si="4"/>
        <v>0</v>
      </c>
      <c r="AB229" s="41">
        <f t="shared" si="5"/>
        <v>0</v>
      </c>
      <c r="AC229" s="41">
        <f t="shared" si="6"/>
        <v>0</v>
      </c>
      <c r="AD229" s="41">
        <f t="shared" si="7"/>
        <v>0</v>
      </c>
      <c r="AE229" s="41">
        <f t="shared" si="8"/>
        <v>0</v>
      </c>
      <c r="AF229" s="41">
        <f t="shared" si="9"/>
        <v>0</v>
      </c>
      <c r="AG229" s="41">
        <f t="shared" si="10"/>
        <v>0</v>
      </c>
      <c r="AH229" s="41">
        <f t="shared" si="11"/>
        <v>0</v>
      </c>
      <c r="AI229" s="31"/>
      <c r="AJ229" s="21">
        <f t="shared" si="12"/>
        <v>0</v>
      </c>
      <c r="AK229" s="21">
        <f t="shared" si="13"/>
        <v>0</v>
      </c>
      <c r="AL229" s="21">
        <f t="shared" si="14"/>
        <v>0</v>
      </c>
      <c r="AN229" s="41">
        <v>21</v>
      </c>
      <c r="AO229" s="41">
        <f t="shared" si="15"/>
        <v>0</v>
      </c>
      <c r="AP229" s="41">
        <f t="shared" si="16"/>
        <v>0</v>
      </c>
      <c r="AQ229" s="42" t="s">
        <v>11</v>
      </c>
      <c r="AV229" s="41">
        <f t="shared" si="17"/>
        <v>0</v>
      </c>
      <c r="AW229" s="41">
        <f t="shared" si="18"/>
        <v>0</v>
      </c>
      <c r="AX229" s="41">
        <f t="shared" si="19"/>
        <v>0</v>
      </c>
      <c r="AY229" s="44" t="s">
        <v>502</v>
      </c>
      <c r="AZ229" s="44" t="s">
        <v>517</v>
      </c>
      <c r="BA229" s="31" t="s">
        <v>520</v>
      </c>
      <c r="BC229" s="41">
        <f t="shared" si="20"/>
        <v>0</v>
      </c>
      <c r="BD229" s="41">
        <f t="shared" si="21"/>
        <v>0</v>
      </c>
      <c r="BE229" s="41">
        <v>0</v>
      </c>
      <c r="BF229" s="41">
        <f t="shared" si="22"/>
        <v>0</v>
      </c>
      <c r="BH229" s="21">
        <f t="shared" si="23"/>
        <v>0</v>
      </c>
      <c r="BI229" s="21">
        <f t="shared" si="24"/>
        <v>0</v>
      </c>
      <c r="BJ229" s="21">
        <f t="shared" si="25"/>
        <v>0</v>
      </c>
      <c r="BK229" s="21" t="s">
        <v>525</v>
      </c>
      <c r="BL229" s="41" t="s">
        <v>227</v>
      </c>
    </row>
    <row r="230" spans="1:64" ht="12.75">
      <c r="A230" s="109"/>
      <c r="B230" s="110"/>
      <c r="C230" s="110"/>
      <c r="D230" s="110"/>
      <c r="E230" s="111" t="s">
        <v>731</v>
      </c>
      <c r="F230" s="110"/>
      <c r="G230" s="112"/>
      <c r="H230" s="112"/>
      <c r="I230" s="112"/>
      <c r="J230" s="112"/>
      <c r="K230" s="112"/>
      <c r="L230" s="112"/>
      <c r="M230" s="112"/>
      <c r="N230" s="113"/>
      <c r="O230" s="39"/>
      <c r="Z230" s="41"/>
      <c r="AB230" s="41"/>
      <c r="AC230" s="41"/>
      <c r="AD230" s="41"/>
      <c r="AE230" s="41"/>
      <c r="AF230" s="41"/>
      <c r="AG230" s="41"/>
      <c r="AH230" s="41"/>
      <c r="AI230" s="31"/>
      <c r="AJ230" s="21"/>
      <c r="AK230" s="21"/>
      <c r="AL230" s="21"/>
      <c r="AN230" s="41"/>
      <c r="AO230" s="41"/>
      <c r="AP230" s="41"/>
      <c r="AQ230" s="42"/>
      <c r="AV230" s="41"/>
      <c r="AW230" s="41"/>
      <c r="AX230" s="41"/>
      <c r="AY230" s="44"/>
      <c r="AZ230" s="44"/>
      <c r="BA230" s="31"/>
      <c r="BC230" s="41"/>
      <c r="BD230" s="41"/>
      <c r="BE230" s="41"/>
      <c r="BF230" s="41"/>
      <c r="BH230" s="21"/>
      <c r="BI230" s="21"/>
      <c r="BJ230" s="21"/>
      <c r="BK230" s="21"/>
      <c r="BL230" s="41"/>
    </row>
    <row r="231" spans="1:64" ht="12.75">
      <c r="A231" s="4" t="s">
        <v>100</v>
      </c>
      <c r="B231" s="13"/>
      <c r="C231" s="13" t="s">
        <v>643</v>
      </c>
      <c r="D231" s="125" t="s">
        <v>394</v>
      </c>
      <c r="E231" s="126"/>
      <c r="F231" s="13" t="s">
        <v>427</v>
      </c>
      <c r="G231" s="21">
        <v>336.01</v>
      </c>
      <c r="H231" s="21">
        <v>0</v>
      </c>
      <c r="I231" s="21">
        <f t="shared" si="0"/>
        <v>0</v>
      </c>
      <c r="J231" s="21">
        <f t="shared" si="1"/>
        <v>0</v>
      </c>
      <c r="K231" s="21">
        <f t="shared" si="2"/>
        <v>0</v>
      </c>
      <c r="L231" s="21">
        <v>0</v>
      </c>
      <c r="M231" s="21">
        <f t="shared" si="3"/>
        <v>0</v>
      </c>
      <c r="N231" s="35" t="s">
        <v>593</v>
      </c>
      <c r="O231" s="39"/>
      <c r="Z231" s="41">
        <f t="shared" si="4"/>
        <v>0</v>
      </c>
      <c r="AB231" s="41">
        <f t="shared" si="5"/>
        <v>0</v>
      </c>
      <c r="AC231" s="41">
        <f t="shared" si="6"/>
        <v>0</v>
      </c>
      <c r="AD231" s="41">
        <f t="shared" si="7"/>
        <v>0</v>
      </c>
      <c r="AE231" s="41">
        <f t="shared" si="8"/>
        <v>0</v>
      </c>
      <c r="AF231" s="41">
        <f t="shared" si="9"/>
        <v>0</v>
      </c>
      <c r="AG231" s="41">
        <f t="shared" si="10"/>
        <v>0</v>
      </c>
      <c r="AH231" s="41">
        <f t="shared" si="11"/>
        <v>0</v>
      </c>
      <c r="AI231" s="31"/>
      <c r="AJ231" s="21">
        <f t="shared" si="12"/>
        <v>0</v>
      </c>
      <c r="AK231" s="21">
        <f t="shared" si="13"/>
        <v>0</v>
      </c>
      <c r="AL231" s="21">
        <f t="shared" si="14"/>
        <v>0</v>
      </c>
      <c r="AN231" s="41">
        <v>21</v>
      </c>
      <c r="AO231" s="41">
        <f t="shared" si="15"/>
        <v>0</v>
      </c>
      <c r="AP231" s="41">
        <f t="shared" si="16"/>
        <v>0</v>
      </c>
      <c r="AQ231" s="42" t="s">
        <v>11</v>
      </c>
      <c r="AV231" s="41">
        <f t="shared" si="17"/>
        <v>0</v>
      </c>
      <c r="AW231" s="41">
        <f t="shared" si="18"/>
        <v>0</v>
      </c>
      <c r="AX231" s="41">
        <f t="shared" si="19"/>
        <v>0</v>
      </c>
      <c r="AY231" s="44" t="s">
        <v>502</v>
      </c>
      <c r="AZ231" s="44" t="s">
        <v>517</v>
      </c>
      <c r="BA231" s="31" t="s">
        <v>520</v>
      </c>
      <c r="BC231" s="41">
        <f t="shared" si="20"/>
        <v>0</v>
      </c>
      <c r="BD231" s="41">
        <f t="shared" si="21"/>
        <v>0</v>
      </c>
      <c r="BE231" s="41">
        <v>0</v>
      </c>
      <c r="BF231" s="41">
        <f t="shared" si="22"/>
        <v>0</v>
      </c>
      <c r="BH231" s="21">
        <f t="shared" si="23"/>
        <v>0</v>
      </c>
      <c r="BI231" s="21">
        <f t="shared" si="24"/>
        <v>0</v>
      </c>
      <c r="BJ231" s="21">
        <f t="shared" si="25"/>
        <v>0</v>
      </c>
      <c r="BK231" s="21" t="s">
        <v>525</v>
      </c>
      <c r="BL231" s="41" t="s">
        <v>227</v>
      </c>
    </row>
    <row r="232" spans="1:64" ht="12.75">
      <c r="A232" s="109"/>
      <c r="B232" s="110"/>
      <c r="C232" s="110"/>
      <c r="D232" s="110"/>
      <c r="E232" s="111" t="s">
        <v>732</v>
      </c>
      <c r="F232" s="110"/>
      <c r="G232" s="112"/>
      <c r="H232" s="112"/>
      <c r="I232" s="112"/>
      <c r="J232" s="112"/>
      <c r="K232" s="112"/>
      <c r="L232" s="112"/>
      <c r="M232" s="112"/>
      <c r="N232" s="113"/>
      <c r="O232" s="39"/>
      <c r="Z232" s="41"/>
      <c r="AB232" s="41"/>
      <c r="AC232" s="41"/>
      <c r="AD232" s="41"/>
      <c r="AE232" s="41"/>
      <c r="AF232" s="41"/>
      <c r="AG232" s="41"/>
      <c r="AH232" s="41"/>
      <c r="AI232" s="31"/>
      <c r="AJ232" s="21"/>
      <c r="AK232" s="21"/>
      <c r="AL232" s="21"/>
      <c r="AN232" s="41"/>
      <c r="AO232" s="41"/>
      <c r="AP232" s="41"/>
      <c r="AQ232" s="42"/>
      <c r="AV232" s="41"/>
      <c r="AW232" s="41"/>
      <c r="AX232" s="41"/>
      <c r="AY232" s="44"/>
      <c r="AZ232" s="44"/>
      <c r="BA232" s="31"/>
      <c r="BC232" s="41"/>
      <c r="BD232" s="41"/>
      <c r="BE232" s="41"/>
      <c r="BF232" s="41"/>
      <c r="BH232" s="21"/>
      <c r="BI232" s="21"/>
      <c r="BJ232" s="21"/>
      <c r="BK232" s="21"/>
      <c r="BL232" s="41"/>
    </row>
    <row r="233" spans="1:64" ht="12.75">
      <c r="A233" s="4" t="s">
        <v>101</v>
      </c>
      <c r="B233" s="13"/>
      <c r="C233" s="13" t="s">
        <v>643</v>
      </c>
      <c r="D233" s="125" t="s">
        <v>395</v>
      </c>
      <c r="E233" s="126"/>
      <c r="F233" s="13" t="s">
        <v>427</v>
      </c>
      <c r="G233" s="21">
        <v>115.15</v>
      </c>
      <c r="H233" s="21">
        <v>0</v>
      </c>
      <c r="I233" s="21">
        <f t="shared" si="0"/>
        <v>0</v>
      </c>
      <c r="J233" s="21">
        <f t="shared" si="1"/>
        <v>0</v>
      </c>
      <c r="K233" s="21">
        <f t="shared" si="2"/>
        <v>0</v>
      </c>
      <c r="L233" s="21">
        <v>0</v>
      </c>
      <c r="M233" s="21">
        <f t="shared" si="3"/>
        <v>0</v>
      </c>
      <c r="N233" s="35" t="s">
        <v>593</v>
      </c>
      <c r="O233" s="39"/>
      <c r="Z233" s="41">
        <f t="shared" si="4"/>
        <v>0</v>
      </c>
      <c r="AB233" s="41">
        <f t="shared" si="5"/>
        <v>0</v>
      </c>
      <c r="AC233" s="41">
        <f t="shared" si="6"/>
        <v>0</v>
      </c>
      <c r="AD233" s="41">
        <f t="shared" si="7"/>
        <v>0</v>
      </c>
      <c r="AE233" s="41">
        <f t="shared" si="8"/>
        <v>0</v>
      </c>
      <c r="AF233" s="41">
        <f t="shared" si="9"/>
        <v>0</v>
      </c>
      <c r="AG233" s="41">
        <f t="shared" si="10"/>
        <v>0</v>
      </c>
      <c r="AH233" s="41">
        <f t="shared" si="11"/>
        <v>0</v>
      </c>
      <c r="AI233" s="31"/>
      <c r="AJ233" s="21">
        <f t="shared" si="12"/>
        <v>0</v>
      </c>
      <c r="AK233" s="21">
        <f t="shared" si="13"/>
        <v>0</v>
      </c>
      <c r="AL233" s="21">
        <f t="shared" si="14"/>
        <v>0</v>
      </c>
      <c r="AN233" s="41">
        <v>21</v>
      </c>
      <c r="AO233" s="41">
        <f t="shared" si="15"/>
        <v>0</v>
      </c>
      <c r="AP233" s="41">
        <f t="shared" si="16"/>
        <v>0</v>
      </c>
      <c r="AQ233" s="42" t="s">
        <v>11</v>
      </c>
      <c r="AV233" s="41">
        <f t="shared" si="17"/>
        <v>0</v>
      </c>
      <c r="AW233" s="41">
        <f t="shared" si="18"/>
        <v>0</v>
      </c>
      <c r="AX233" s="41">
        <f t="shared" si="19"/>
        <v>0</v>
      </c>
      <c r="AY233" s="44" t="s">
        <v>502</v>
      </c>
      <c r="AZ233" s="44" t="s">
        <v>517</v>
      </c>
      <c r="BA233" s="31" t="s">
        <v>520</v>
      </c>
      <c r="BC233" s="41">
        <f t="shared" si="20"/>
        <v>0</v>
      </c>
      <c r="BD233" s="41">
        <f t="shared" si="21"/>
        <v>0</v>
      </c>
      <c r="BE233" s="41">
        <v>0</v>
      </c>
      <c r="BF233" s="41">
        <f t="shared" si="22"/>
        <v>0</v>
      </c>
      <c r="BH233" s="21">
        <f t="shared" si="23"/>
        <v>0</v>
      </c>
      <c r="BI233" s="21">
        <f t="shared" si="24"/>
        <v>0</v>
      </c>
      <c r="BJ233" s="21">
        <f t="shared" si="25"/>
        <v>0</v>
      </c>
      <c r="BK233" s="21" t="s">
        <v>525</v>
      </c>
      <c r="BL233" s="41" t="s">
        <v>227</v>
      </c>
    </row>
    <row r="234" spans="1:64" ht="12.75">
      <c r="A234" s="109"/>
      <c r="B234" s="110"/>
      <c r="C234" s="110"/>
      <c r="D234" s="110"/>
      <c r="E234" s="111" t="s">
        <v>733</v>
      </c>
      <c r="F234" s="110"/>
      <c r="G234" s="112"/>
      <c r="H234" s="112"/>
      <c r="I234" s="112"/>
      <c r="J234" s="112"/>
      <c r="K234" s="112"/>
      <c r="L234" s="112"/>
      <c r="M234" s="112"/>
      <c r="N234" s="113"/>
      <c r="O234" s="39"/>
      <c r="Z234" s="41"/>
      <c r="AB234" s="41"/>
      <c r="AC234" s="41"/>
      <c r="AD234" s="41"/>
      <c r="AE234" s="41"/>
      <c r="AF234" s="41"/>
      <c r="AG234" s="41"/>
      <c r="AH234" s="41"/>
      <c r="AI234" s="31"/>
      <c r="AJ234" s="21"/>
      <c r="AK234" s="21"/>
      <c r="AL234" s="21"/>
      <c r="AN234" s="41"/>
      <c r="AO234" s="41"/>
      <c r="AP234" s="41"/>
      <c r="AQ234" s="42"/>
      <c r="AV234" s="41"/>
      <c r="AW234" s="41"/>
      <c r="AX234" s="41"/>
      <c r="AY234" s="44"/>
      <c r="AZ234" s="44"/>
      <c r="BA234" s="31"/>
      <c r="BC234" s="41"/>
      <c r="BD234" s="41"/>
      <c r="BE234" s="41"/>
      <c r="BF234" s="41"/>
      <c r="BH234" s="21"/>
      <c r="BI234" s="21"/>
      <c r="BJ234" s="21"/>
      <c r="BK234" s="21"/>
      <c r="BL234" s="41"/>
    </row>
    <row r="235" spans="1:64" ht="12.75">
      <c r="A235" s="4" t="s">
        <v>102</v>
      </c>
      <c r="B235" s="13"/>
      <c r="C235" s="13" t="s">
        <v>644</v>
      </c>
      <c r="D235" s="125" t="s">
        <v>396</v>
      </c>
      <c r="E235" s="126"/>
      <c r="F235" s="13" t="s">
        <v>427</v>
      </c>
      <c r="G235" s="21">
        <v>497.26</v>
      </c>
      <c r="H235" s="21">
        <v>0</v>
      </c>
      <c r="I235" s="21">
        <f t="shared" si="0"/>
        <v>0</v>
      </c>
      <c r="J235" s="21">
        <f t="shared" si="1"/>
        <v>0</v>
      </c>
      <c r="K235" s="21">
        <f t="shared" si="2"/>
        <v>0</v>
      </c>
      <c r="L235" s="21">
        <v>0</v>
      </c>
      <c r="M235" s="21">
        <f t="shared" si="3"/>
        <v>0</v>
      </c>
      <c r="N235" s="35" t="s">
        <v>593</v>
      </c>
      <c r="O235" s="39"/>
      <c r="Z235" s="41">
        <f t="shared" si="4"/>
        <v>0</v>
      </c>
      <c r="AB235" s="41">
        <f t="shared" si="5"/>
        <v>0</v>
      </c>
      <c r="AC235" s="41">
        <f t="shared" si="6"/>
        <v>0</v>
      </c>
      <c r="AD235" s="41">
        <f t="shared" si="7"/>
        <v>0</v>
      </c>
      <c r="AE235" s="41">
        <f t="shared" si="8"/>
        <v>0</v>
      </c>
      <c r="AF235" s="41">
        <f t="shared" si="9"/>
        <v>0</v>
      </c>
      <c r="AG235" s="41">
        <f t="shared" si="10"/>
        <v>0</v>
      </c>
      <c r="AH235" s="41">
        <f t="shared" si="11"/>
        <v>0</v>
      </c>
      <c r="AI235" s="31"/>
      <c r="AJ235" s="21">
        <f t="shared" si="12"/>
        <v>0</v>
      </c>
      <c r="AK235" s="21">
        <f t="shared" si="13"/>
        <v>0</v>
      </c>
      <c r="AL235" s="21">
        <f t="shared" si="14"/>
        <v>0</v>
      </c>
      <c r="AN235" s="41">
        <v>21</v>
      </c>
      <c r="AO235" s="41">
        <f t="shared" si="15"/>
        <v>0</v>
      </c>
      <c r="AP235" s="41">
        <f t="shared" si="16"/>
        <v>0</v>
      </c>
      <c r="AQ235" s="42" t="s">
        <v>11</v>
      </c>
      <c r="AV235" s="41">
        <f t="shared" si="17"/>
        <v>0</v>
      </c>
      <c r="AW235" s="41">
        <f t="shared" si="18"/>
        <v>0</v>
      </c>
      <c r="AX235" s="41">
        <f t="shared" si="19"/>
        <v>0</v>
      </c>
      <c r="AY235" s="44" t="s">
        <v>502</v>
      </c>
      <c r="AZ235" s="44" t="s">
        <v>517</v>
      </c>
      <c r="BA235" s="31" t="s">
        <v>520</v>
      </c>
      <c r="BC235" s="41">
        <f t="shared" si="20"/>
        <v>0</v>
      </c>
      <c r="BD235" s="41">
        <f t="shared" si="21"/>
        <v>0</v>
      </c>
      <c r="BE235" s="41">
        <v>0</v>
      </c>
      <c r="BF235" s="41">
        <f t="shared" si="22"/>
        <v>0</v>
      </c>
      <c r="BH235" s="21">
        <f t="shared" si="23"/>
        <v>0</v>
      </c>
      <c r="BI235" s="21">
        <f t="shared" si="24"/>
        <v>0</v>
      </c>
      <c r="BJ235" s="21">
        <f t="shared" si="25"/>
        <v>0</v>
      </c>
      <c r="BK235" s="21" t="s">
        <v>525</v>
      </c>
      <c r="BL235" s="41" t="s">
        <v>227</v>
      </c>
    </row>
    <row r="236" spans="1:64" ht="12.75">
      <c r="A236" s="4" t="s">
        <v>103</v>
      </c>
      <c r="B236" s="13"/>
      <c r="C236" s="13" t="s">
        <v>645</v>
      </c>
      <c r="D236" s="125" t="s">
        <v>397</v>
      </c>
      <c r="E236" s="126"/>
      <c r="F236" s="13" t="s">
        <v>427</v>
      </c>
      <c r="G236" s="21">
        <v>497.26</v>
      </c>
      <c r="H236" s="21">
        <v>0</v>
      </c>
      <c r="I236" s="21">
        <f t="shared" si="0"/>
        <v>0</v>
      </c>
      <c r="J236" s="21">
        <f t="shared" si="1"/>
        <v>0</v>
      </c>
      <c r="K236" s="21">
        <f t="shared" si="2"/>
        <v>0</v>
      </c>
      <c r="L236" s="21">
        <v>0</v>
      </c>
      <c r="M236" s="21">
        <f t="shared" si="3"/>
        <v>0</v>
      </c>
      <c r="N236" s="35" t="s">
        <v>593</v>
      </c>
      <c r="O236" s="39"/>
      <c r="Z236" s="41">
        <f t="shared" si="4"/>
        <v>0</v>
      </c>
      <c r="AB236" s="41">
        <f t="shared" si="5"/>
        <v>0</v>
      </c>
      <c r="AC236" s="41">
        <f t="shared" si="6"/>
        <v>0</v>
      </c>
      <c r="AD236" s="41">
        <f t="shared" si="7"/>
        <v>0</v>
      </c>
      <c r="AE236" s="41">
        <f t="shared" si="8"/>
        <v>0</v>
      </c>
      <c r="AF236" s="41">
        <f t="shared" si="9"/>
        <v>0</v>
      </c>
      <c r="AG236" s="41">
        <f t="shared" si="10"/>
        <v>0</v>
      </c>
      <c r="AH236" s="41">
        <f t="shared" si="11"/>
        <v>0</v>
      </c>
      <c r="AI236" s="31"/>
      <c r="AJ236" s="21">
        <f t="shared" si="12"/>
        <v>0</v>
      </c>
      <c r="AK236" s="21">
        <f t="shared" si="13"/>
        <v>0</v>
      </c>
      <c r="AL236" s="21">
        <f t="shared" si="14"/>
        <v>0</v>
      </c>
      <c r="AN236" s="41">
        <v>21</v>
      </c>
      <c r="AO236" s="41">
        <f t="shared" si="15"/>
        <v>0</v>
      </c>
      <c r="AP236" s="41">
        <f t="shared" si="16"/>
        <v>0</v>
      </c>
      <c r="AQ236" s="42" t="s">
        <v>11</v>
      </c>
      <c r="AV236" s="41">
        <f t="shared" si="17"/>
        <v>0</v>
      </c>
      <c r="AW236" s="41">
        <f t="shared" si="18"/>
        <v>0</v>
      </c>
      <c r="AX236" s="41">
        <f t="shared" si="19"/>
        <v>0</v>
      </c>
      <c r="AY236" s="44" t="s">
        <v>502</v>
      </c>
      <c r="AZ236" s="44" t="s">
        <v>517</v>
      </c>
      <c r="BA236" s="31" t="s">
        <v>520</v>
      </c>
      <c r="BC236" s="41">
        <f t="shared" si="20"/>
        <v>0</v>
      </c>
      <c r="BD236" s="41">
        <f t="shared" si="21"/>
        <v>0</v>
      </c>
      <c r="BE236" s="41">
        <v>0</v>
      </c>
      <c r="BF236" s="41">
        <f t="shared" si="22"/>
        <v>0</v>
      </c>
      <c r="BH236" s="21">
        <f t="shared" si="23"/>
        <v>0</v>
      </c>
      <c r="BI236" s="21">
        <f t="shared" si="24"/>
        <v>0</v>
      </c>
      <c r="BJ236" s="21">
        <f t="shared" si="25"/>
        <v>0</v>
      </c>
      <c r="BK236" s="21" t="s">
        <v>525</v>
      </c>
      <c r="BL236" s="41" t="s">
        <v>227</v>
      </c>
    </row>
    <row r="237" spans="1:47" ht="12.75">
      <c r="A237" s="5"/>
      <c r="B237" s="14"/>
      <c r="C237" s="14"/>
      <c r="D237" s="127" t="s">
        <v>398</v>
      </c>
      <c r="E237" s="128"/>
      <c r="F237" s="19" t="s">
        <v>6</v>
      </c>
      <c r="G237" s="19" t="s">
        <v>6</v>
      </c>
      <c r="H237" s="19" t="s">
        <v>6</v>
      </c>
      <c r="I237" s="47">
        <f>SUM(I238:I262)</f>
        <v>0</v>
      </c>
      <c r="J237" s="47">
        <f>SUM(J238:J262)</f>
        <v>0</v>
      </c>
      <c r="K237" s="47">
        <f>SUM(K238:K262)</f>
        <v>0</v>
      </c>
      <c r="L237" s="31"/>
      <c r="M237" s="47">
        <f>SUM(M238:M262)</f>
        <v>103.97206999999999</v>
      </c>
      <c r="N237" s="36"/>
      <c r="O237" s="39"/>
      <c r="AI237" s="31"/>
      <c r="AS237" s="47">
        <f>SUM(AJ238:AJ262)</f>
        <v>0</v>
      </c>
      <c r="AT237" s="47">
        <f>SUM(AK238:AK262)</f>
        <v>0</v>
      </c>
      <c r="AU237" s="47">
        <f>SUM(AL238:AL262)</f>
        <v>0</v>
      </c>
    </row>
    <row r="238" spans="1:64" ht="12.75">
      <c r="A238" s="6" t="s">
        <v>104</v>
      </c>
      <c r="B238" s="15"/>
      <c r="C238" s="15" t="s">
        <v>238</v>
      </c>
      <c r="D238" s="135" t="s">
        <v>399</v>
      </c>
      <c r="E238" s="136"/>
      <c r="F238" s="15" t="s">
        <v>428</v>
      </c>
      <c r="G238" s="22">
        <v>49.2</v>
      </c>
      <c r="H238" s="22">
        <v>0</v>
      </c>
      <c r="I238" s="22">
        <f aca="true" t="shared" si="26" ref="I238:I262">G238*AO238</f>
        <v>0</v>
      </c>
      <c r="J238" s="22">
        <f aca="true" t="shared" si="27" ref="J238:J262">G238*AP238</f>
        <v>0</v>
      </c>
      <c r="K238" s="22">
        <f aca="true" t="shared" si="28" ref="K238:K262">G238*H238</f>
        <v>0</v>
      </c>
      <c r="L238" s="22">
        <v>0.0006</v>
      </c>
      <c r="M238" s="22">
        <f aca="true" t="shared" si="29" ref="M238:M262">G238*L238</f>
        <v>0.029519999999999998</v>
      </c>
      <c r="N238" s="37" t="s">
        <v>452</v>
      </c>
      <c r="O238" s="39"/>
      <c r="Z238" s="41">
        <f aca="true" t="shared" si="30" ref="Z238:Z262">IF(AQ238="5",BJ238,0)</f>
        <v>0</v>
      </c>
      <c r="AB238" s="41">
        <f aca="true" t="shared" si="31" ref="AB238:AB262">IF(AQ238="1",BH238,0)</f>
        <v>0</v>
      </c>
      <c r="AC238" s="41">
        <f aca="true" t="shared" si="32" ref="AC238:AC262">IF(AQ238="1",BI238,0)</f>
        <v>0</v>
      </c>
      <c r="AD238" s="41">
        <f aca="true" t="shared" si="33" ref="AD238:AD262">IF(AQ238="7",BH238,0)</f>
        <v>0</v>
      </c>
      <c r="AE238" s="41">
        <f aca="true" t="shared" si="34" ref="AE238:AE262">IF(AQ238="7",BI238,0)</f>
        <v>0</v>
      </c>
      <c r="AF238" s="41">
        <f aca="true" t="shared" si="35" ref="AF238:AF262">IF(AQ238="2",BH238,0)</f>
        <v>0</v>
      </c>
      <c r="AG238" s="41">
        <f aca="true" t="shared" si="36" ref="AG238:AG262">IF(AQ238="2",BI238,0)</f>
        <v>0</v>
      </c>
      <c r="AH238" s="41">
        <f aca="true" t="shared" si="37" ref="AH238:AH262">IF(AQ238="0",BJ238,0)</f>
        <v>0</v>
      </c>
      <c r="AI238" s="31"/>
      <c r="AJ238" s="22">
        <f aca="true" t="shared" si="38" ref="AJ238:AJ262">IF(AN238=0,K238,0)</f>
        <v>0</v>
      </c>
      <c r="AK238" s="22">
        <f aca="true" t="shared" si="39" ref="AK238:AK262">IF(AN238=15,K238,0)</f>
        <v>0</v>
      </c>
      <c r="AL238" s="22">
        <f aca="true" t="shared" si="40" ref="AL238:AL262">IF(AN238=21,K238,0)</f>
        <v>0</v>
      </c>
      <c r="AN238" s="41">
        <v>21</v>
      </c>
      <c r="AO238" s="41">
        <f aca="true" t="shared" si="41" ref="AO238:AO262">H238*1</f>
        <v>0</v>
      </c>
      <c r="AP238" s="41">
        <f aca="true" t="shared" si="42" ref="AP238:AP262">H238*(1-1)</f>
        <v>0</v>
      </c>
      <c r="AQ238" s="43" t="s">
        <v>125</v>
      </c>
      <c r="AV238" s="41">
        <f aca="true" t="shared" si="43" ref="AV238:AV262">AW238+AX238</f>
        <v>0</v>
      </c>
      <c r="AW238" s="41">
        <f aca="true" t="shared" si="44" ref="AW238:AW262">G238*AO238</f>
        <v>0</v>
      </c>
      <c r="AX238" s="41">
        <f aca="true" t="shared" si="45" ref="AX238:AX262">G238*AP238</f>
        <v>0</v>
      </c>
      <c r="AY238" s="44" t="s">
        <v>503</v>
      </c>
      <c r="AZ238" s="44" t="s">
        <v>518</v>
      </c>
      <c r="BA238" s="31" t="s">
        <v>520</v>
      </c>
      <c r="BC238" s="41">
        <f aca="true" t="shared" si="46" ref="BC238:BC262">AW238+AX238</f>
        <v>0</v>
      </c>
      <c r="BD238" s="41">
        <f aca="true" t="shared" si="47" ref="BD238:BD262">H238/(100-BE238)*100</f>
        <v>0</v>
      </c>
      <c r="BE238" s="41">
        <v>0</v>
      </c>
      <c r="BF238" s="41">
        <f aca="true" t="shared" si="48" ref="BF238:BF262">M238</f>
        <v>0.029519999999999998</v>
      </c>
      <c r="BH238" s="22">
        <f aca="true" t="shared" si="49" ref="BH238:BH262">G238*AO238</f>
        <v>0</v>
      </c>
      <c r="BI238" s="22">
        <f aca="true" t="shared" si="50" ref="BI238:BI262">G238*AP238</f>
        <v>0</v>
      </c>
      <c r="BJ238" s="22">
        <f aca="true" t="shared" si="51" ref="BJ238:BJ262">G238*H238</f>
        <v>0</v>
      </c>
      <c r="BK238" s="22" t="s">
        <v>526</v>
      </c>
      <c r="BL238" s="41"/>
    </row>
    <row r="239" spans="1:64" ht="12.75">
      <c r="A239" s="6" t="s">
        <v>105</v>
      </c>
      <c r="B239" s="15"/>
      <c r="C239" s="15" t="s">
        <v>239</v>
      </c>
      <c r="D239" s="135" t="s">
        <v>400</v>
      </c>
      <c r="E239" s="136"/>
      <c r="F239" s="15" t="s">
        <v>429</v>
      </c>
      <c r="G239" s="22">
        <v>2</v>
      </c>
      <c r="H239" s="22">
        <v>0</v>
      </c>
      <c r="I239" s="22">
        <f t="shared" si="26"/>
        <v>0</v>
      </c>
      <c r="J239" s="22">
        <f t="shared" si="27"/>
        <v>0</v>
      </c>
      <c r="K239" s="22">
        <f t="shared" si="28"/>
        <v>0</v>
      </c>
      <c r="L239" s="22">
        <v>0</v>
      </c>
      <c r="M239" s="22">
        <f t="shared" si="29"/>
        <v>0</v>
      </c>
      <c r="N239" s="37" t="s">
        <v>452</v>
      </c>
      <c r="O239" s="39"/>
      <c r="Z239" s="41">
        <f t="shared" si="30"/>
        <v>0</v>
      </c>
      <c r="AB239" s="41">
        <f t="shared" si="31"/>
        <v>0</v>
      </c>
      <c r="AC239" s="41">
        <f t="shared" si="32"/>
        <v>0</v>
      </c>
      <c r="AD239" s="41">
        <f t="shared" si="33"/>
        <v>0</v>
      </c>
      <c r="AE239" s="41">
        <f t="shared" si="34"/>
        <v>0</v>
      </c>
      <c r="AF239" s="41">
        <f t="shared" si="35"/>
        <v>0</v>
      </c>
      <c r="AG239" s="41">
        <f t="shared" si="36"/>
        <v>0</v>
      </c>
      <c r="AH239" s="41">
        <f t="shared" si="37"/>
        <v>0</v>
      </c>
      <c r="AI239" s="31"/>
      <c r="AJ239" s="22">
        <f t="shared" si="38"/>
        <v>0</v>
      </c>
      <c r="AK239" s="22">
        <f t="shared" si="39"/>
        <v>0</v>
      </c>
      <c r="AL239" s="22">
        <f t="shared" si="40"/>
        <v>0</v>
      </c>
      <c r="AN239" s="41">
        <v>21</v>
      </c>
      <c r="AO239" s="41">
        <f t="shared" si="41"/>
        <v>0</v>
      </c>
      <c r="AP239" s="41">
        <f t="shared" si="42"/>
        <v>0</v>
      </c>
      <c r="AQ239" s="43" t="s">
        <v>125</v>
      </c>
      <c r="AV239" s="41">
        <f t="shared" si="43"/>
        <v>0</v>
      </c>
      <c r="AW239" s="41">
        <f t="shared" si="44"/>
        <v>0</v>
      </c>
      <c r="AX239" s="41">
        <f t="shared" si="45"/>
        <v>0</v>
      </c>
      <c r="AY239" s="44" t="s">
        <v>503</v>
      </c>
      <c r="AZ239" s="44" t="s">
        <v>518</v>
      </c>
      <c r="BA239" s="31" t="s">
        <v>520</v>
      </c>
      <c r="BC239" s="41">
        <f t="shared" si="46"/>
        <v>0</v>
      </c>
      <c r="BD239" s="41">
        <f t="shared" si="47"/>
        <v>0</v>
      </c>
      <c r="BE239" s="41">
        <v>0</v>
      </c>
      <c r="BF239" s="41">
        <f t="shared" si="48"/>
        <v>0</v>
      </c>
      <c r="BH239" s="22">
        <f t="shared" si="49"/>
        <v>0</v>
      </c>
      <c r="BI239" s="22">
        <f t="shared" si="50"/>
        <v>0</v>
      </c>
      <c r="BJ239" s="22">
        <f t="shared" si="51"/>
        <v>0</v>
      </c>
      <c r="BK239" s="22" t="s">
        <v>526</v>
      </c>
      <c r="BL239" s="41"/>
    </row>
    <row r="240" spans="1:64" ht="12.75">
      <c r="A240" s="6" t="s">
        <v>106</v>
      </c>
      <c r="B240" s="15"/>
      <c r="C240" s="15" t="s">
        <v>647</v>
      </c>
      <c r="D240" s="135" t="s">
        <v>744</v>
      </c>
      <c r="E240" s="136"/>
      <c r="F240" s="15" t="s">
        <v>429</v>
      </c>
      <c r="G240" s="22">
        <v>2</v>
      </c>
      <c r="H240" s="22">
        <v>0</v>
      </c>
      <c r="I240" s="22">
        <f t="shared" si="26"/>
        <v>0</v>
      </c>
      <c r="J240" s="22">
        <f t="shared" si="27"/>
        <v>0</v>
      </c>
      <c r="K240" s="22">
        <f t="shared" si="28"/>
        <v>0</v>
      </c>
      <c r="L240" s="22">
        <v>0.06375</v>
      </c>
      <c r="M240" s="22">
        <f t="shared" si="29"/>
        <v>0.1275</v>
      </c>
      <c r="N240" s="37" t="s">
        <v>593</v>
      </c>
      <c r="O240" s="39"/>
      <c r="Z240" s="41">
        <f t="shared" si="30"/>
        <v>0</v>
      </c>
      <c r="AB240" s="41">
        <f t="shared" si="31"/>
        <v>0</v>
      </c>
      <c r="AC240" s="41">
        <f t="shared" si="32"/>
        <v>0</v>
      </c>
      <c r="AD240" s="41">
        <f t="shared" si="33"/>
        <v>0</v>
      </c>
      <c r="AE240" s="41">
        <f t="shared" si="34"/>
        <v>0</v>
      </c>
      <c r="AF240" s="41">
        <f t="shared" si="35"/>
        <v>0</v>
      </c>
      <c r="AG240" s="41">
        <f t="shared" si="36"/>
        <v>0</v>
      </c>
      <c r="AH240" s="41">
        <f t="shared" si="37"/>
        <v>0</v>
      </c>
      <c r="AI240" s="31"/>
      <c r="AJ240" s="22">
        <f t="shared" si="38"/>
        <v>0</v>
      </c>
      <c r="AK240" s="22">
        <f t="shared" si="39"/>
        <v>0</v>
      </c>
      <c r="AL240" s="22">
        <f t="shared" si="40"/>
        <v>0</v>
      </c>
      <c r="AN240" s="41">
        <v>21</v>
      </c>
      <c r="AO240" s="41">
        <f t="shared" si="41"/>
        <v>0</v>
      </c>
      <c r="AP240" s="41">
        <f t="shared" si="42"/>
        <v>0</v>
      </c>
      <c r="AQ240" s="43" t="s">
        <v>125</v>
      </c>
      <c r="AV240" s="41">
        <f t="shared" si="43"/>
        <v>0</v>
      </c>
      <c r="AW240" s="41">
        <f t="shared" si="44"/>
        <v>0</v>
      </c>
      <c r="AX240" s="41">
        <f t="shared" si="45"/>
        <v>0</v>
      </c>
      <c r="AY240" s="44" t="s">
        <v>503</v>
      </c>
      <c r="AZ240" s="44" t="s">
        <v>518</v>
      </c>
      <c r="BA240" s="31" t="s">
        <v>520</v>
      </c>
      <c r="BC240" s="41">
        <f t="shared" si="46"/>
        <v>0</v>
      </c>
      <c r="BD240" s="41">
        <f t="shared" si="47"/>
        <v>0</v>
      </c>
      <c r="BE240" s="41">
        <v>0</v>
      </c>
      <c r="BF240" s="41">
        <f t="shared" si="48"/>
        <v>0.1275</v>
      </c>
      <c r="BH240" s="22">
        <f t="shared" si="49"/>
        <v>0</v>
      </c>
      <c r="BI240" s="22">
        <f t="shared" si="50"/>
        <v>0</v>
      </c>
      <c r="BJ240" s="22">
        <f t="shared" si="51"/>
        <v>0</v>
      </c>
      <c r="BK240" s="22" t="s">
        <v>526</v>
      </c>
      <c r="BL240" s="41"/>
    </row>
    <row r="241" spans="1:64" ht="12.75">
      <c r="A241" s="120"/>
      <c r="B241" s="121"/>
      <c r="C241" s="122"/>
      <c r="D241" s="122"/>
      <c r="E241" s="111" t="s">
        <v>743</v>
      </c>
      <c r="F241" s="121"/>
      <c r="G241" s="123"/>
      <c r="H241" s="123"/>
      <c r="I241" s="123"/>
      <c r="J241" s="123"/>
      <c r="K241" s="123"/>
      <c r="L241" s="123"/>
      <c r="M241" s="123"/>
      <c r="N241" s="124"/>
      <c r="O241" s="39"/>
      <c r="Z241" s="41"/>
      <c r="AB241" s="41"/>
      <c r="AC241" s="41"/>
      <c r="AD241" s="41"/>
      <c r="AE241" s="41"/>
      <c r="AF241" s="41"/>
      <c r="AG241" s="41"/>
      <c r="AH241" s="41"/>
      <c r="AI241" s="31"/>
      <c r="AJ241" s="22"/>
      <c r="AK241" s="22"/>
      <c r="AL241" s="22"/>
      <c r="AN241" s="41"/>
      <c r="AO241" s="41"/>
      <c r="AP241" s="41"/>
      <c r="AQ241" s="43"/>
      <c r="AV241" s="41"/>
      <c r="AW241" s="41"/>
      <c r="AX241" s="41"/>
      <c r="AY241" s="44"/>
      <c r="AZ241" s="44"/>
      <c r="BA241" s="31"/>
      <c r="BC241" s="41"/>
      <c r="BD241" s="41"/>
      <c r="BE241" s="41"/>
      <c r="BF241" s="41"/>
      <c r="BH241" s="22"/>
      <c r="BI241" s="22"/>
      <c r="BJ241" s="22"/>
      <c r="BK241" s="22"/>
      <c r="BL241" s="41"/>
    </row>
    <row r="242" spans="1:64" ht="12.75">
      <c r="A242" s="120"/>
      <c r="B242" s="121"/>
      <c r="C242" s="121"/>
      <c r="D242" s="121"/>
      <c r="E242" s="111" t="s">
        <v>734</v>
      </c>
      <c r="F242" s="121"/>
      <c r="G242" s="123"/>
      <c r="H242" s="123"/>
      <c r="I242" s="123"/>
      <c r="J242" s="123"/>
      <c r="K242" s="123"/>
      <c r="L242" s="123"/>
      <c r="M242" s="123"/>
      <c r="N242" s="124"/>
      <c r="O242" s="39"/>
      <c r="Z242" s="41"/>
      <c r="AB242" s="41"/>
      <c r="AC242" s="41"/>
      <c r="AD242" s="41"/>
      <c r="AE242" s="41"/>
      <c r="AF242" s="41"/>
      <c r="AG242" s="41"/>
      <c r="AH242" s="41"/>
      <c r="AI242" s="31"/>
      <c r="AJ242" s="22"/>
      <c r="AK242" s="22"/>
      <c r="AL242" s="22"/>
      <c r="AN242" s="41"/>
      <c r="AO242" s="41"/>
      <c r="AP242" s="41"/>
      <c r="AQ242" s="43"/>
      <c r="AV242" s="41"/>
      <c r="AW242" s="41"/>
      <c r="AX242" s="41"/>
      <c r="AY242" s="44"/>
      <c r="AZ242" s="44"/>
      <c r="BA242" s="31"/>
      <c r="BC242" s="41"/>
      <c r="BD242" s="41"/>
      <c r="BE242" s="41"/>
      <c r="BF242" s="41"/>
      <c r="BH242" s="22"/>
      <c r="BI242" s="22"/>
      <c r="BJ242" s="22"/>
      <c r="BK242" s="22"/>
      <c r="BL242" s="41"/>
    </row>
    <row r="243" spans="1:64" ht="12.75">
      <c r="A243" s="120"/>
      <c r="B243" s="121"/>
      <c r="C243" s="121"/>
      <c r="D243" s="121"/>
      <c r="E243" s="111" t="s">
        <v>734</v>
      </c>
      <c r="F243" s="121"/>
      <c r="G243" s="123"/>
      <c r="H243" s="123"/>
      <c r="I243" s="123"/>
      <c r="J243" s="123"/>
      <c r="K243" s="123"/>
      <c r="L243" s="123"/>
      <c r="M243" s="123"/>
      <c r="N243" s="124"/>
      <c r="O243" s="39"/>
      <c r="Z243" s="41"/>
      <c r="AB243" s="41"/>
      <c r="AC243" s="41"/>
      <c r="AD243" s="41"/>
      <c r="AE243" s="41"/>
      <c r="AF243" s="41"/>
      <c r="AG243" s="41"/>
      <c r="AH243" s="41"/>
      <c r="AI243" s="31"/>
      <c r="AJ243" s="22"/>
      <c r="AK243" s="22"/>
      <c r="AL243" s="22"/>
      <c r="AN243" s="41"/>
      <c r="AO243" s="41"/>
      <c r="AP243" s="41"/>
      <c r="AQ243" s="43"/>
      <c r="AV243" s="41"/>
      <c r="AW243" s="41"/>
      <c r="AX243" s="41"/>
      <c r="AY243" s="44"/>
      <c r="AZ243" s="44"/>
      <c r="BA243" s="31"/>
      <c r="BC243" s="41"/>
      <c r="BD243" s="41"/>
      <c r="BE243" s="41"/>
      <c r="BF243" s="41"/>
      <c r="BH243" s="22"/>
      <c r="BI243" s="22"/>
      <c r="BJ243" s="22"/>
      <c r="BK243" s="22"/>
      <c r="BL243" s="41"/>
    </row>
    <row r="244" spans="1:64" ht="12.75">
      <c r="A244" s="6" t="s">
        <v>107</v>
      </c>
      <c r="B244" s="15"/>
      <c r="C244" s="15" t="s">
        <v>742</v>
      </c>
      <c r="D244" s="135" t="s">
        <v>646</v>
      </c>
      <c r="E244" s="136"/>
      <c r="F244" s="15" t="s">
        <v>429</v>
      </c>
      <c r="G244" s="22">
        <v>2</v>
      </c>
      <c r="H244" s="22">
        <v>0</v>
      </c>
      <c r="I244" s="22">
        <f>G244*AO244</f>
        <v>0</v>
      </c>
      <c r="J244" s="22">
        <f>G244*AP244</f>
        <v>0</v>
      </c>
      <c r="K244" s="22">
        <f>G244*H244</f>
        <v>0</v>
      </c>
      <c r="L244" s="22">
        <v>0.06375</v>
      </c>
      <c r="M244" s="22">
        <f>G244*L244</f>
        <v>0.1275</v>
      </c>
      <c r="N244" s="37" t="s">
        <v>593</v>
      </c>
      <c r="O244" s="39"/>
      <c r="Z244" s="41"/>
      <c r="AB244" s="41"/>
      <c r="AC244" s="41"/>
      <c r="AD244" s="41"/>
      <c r="AE244" s="41"/>
      <c r="AF244" s="41"/>
      <c r="AG244" s="41"/>
      <c r="AH244" s="41"/>
      <c r="AI244" s="31"/>
      <c r="AJ244" s="22"/>
      <c r="AK244" s="22"/>
      <c r="AL244" s="22"/>
      <c r="AN244" s="41"/>
      <c r="AO244" s="41"/>
      <c r="AP244" s="41"/>
      <c r="AQ244" s="43"/>
      <c r="AV244" s="41"/>
      <c r="AW244" s="41"/>
      <c r="AX244" s="41"/>
      <c r="AY244" s="44"/>
      <c r="AZ244" s="44"/>
      <c r="BA244" s="31"/>
      <c r="BC244" s="41"/>
      <c r="BD244" s="41"/>
      <c r="BE244" s="41"/>
      <c r="BF244" s="41"/>
      <c r="BH244" s="22"/>
      <c r="BI244" s="22"/>
      <c r="BJ244" s="22"/>
      <c r="BK244" s="22"/>
      <c r="BL244" s="41"/>
    </row>
    <row r="245" spans="1:64" ht="12.75">
      <c r="A245" s="120"/>
      <c r="B245" s="121"/>
      <c r="C245" s="121"/>
      <c r="D245" s="121"/>
      <c r="E245" s="111" t="s">
        <v>743</v>
      </c>
      <c r="F245" s="121"/>
      <c r="G245" s="123"/>
      <c r="H245" s="123"/>
      <c r="I245" s="123"/>
      <c r="J245" s="123"/>
      <c r="K245" s="123"/>
      <c r="L245" s="123"/>
      <c r="M245" s="123"/>
      <c r="N245" s="124"/>
      <c r="O245" s="39"/>
      <c r="Z245" s="41"/>
      <c r="AB245" s="41"/>
      <c r="AC245" s="41"/>
      <c r="AD245" s="41"/>
      <c r="AE245" s="41"/>
      <c r="AF245" s="41"/>
      <c r="AG245" s="41"/>
      <c r="AH245" s="41"/>
      <c r="AI245" s="31"/>
      <c r="AJ245" s="22"/>
      <c r="AK245" s="22"/>
      <c r="AL245" s="22"/>
      <c r="AN245" s="41"/>
      <c r="AO245" s="41"/>
      <c r="AP245" s="41"/>
      <c r="AQ245" s="43"/>
      <c r="AV245" s="41"/>
      <c r="AW245" s="41"/>
      <c r="AX245" s="41"/>
      <c r="AY245" s="44"/>
      <c r="AZ245" s="44"/>
      <c r="BA245" s="31"/>
      <c r="BC245" s="41"/>
      <c r="BD245" s="41"/>
      <c r="BE245" s="41"/>
      <c r="BF245" s="41"/>
      <c r="BH245" s="22"/>
      <c r="BI245" s="22"/>
      <c r="BJ245" s="22"/>
      <c r="BK245" s="22"/>
      <c r="BL245" s="41"/>
    </row>
    <row r="246" spans="1:64" ht="12.75">
      <c r="A246" s="120"/>
      <c r="B246" s="121"/>
      <c r="C246" s="121"/>
      <c r="D246" s="121"/>
      <c r="E246" s="111" t="s">
        <v>735</v>
      </c>
      <c r="F246" s="121"/>
      <c r="G246" s="123"/>
      <c r="H246" s="123"/>
      <c r="I246" s="123"/>
      <c r="J246" s="123"/>
      <c r="K246" s="123"/>
      <c r="L246" s="123"/>
      <c r="M246" s="123"/>
      <c r="N246" s="124"/>
      <c r="O246" s="39"/>
      <c r="Z246" s="41"/>
      <c r="AB246" s="41"/>
      <c r="AC246" s="41"/>
      <c r="AD246" s="41"/>
      <c r="AE246" s="41"/>
      <c r="AF246" s="41"/>
      <c r="AG246" s="41"/>
      <c r="AH246" s="41"/>
      <c r="AI246" s="31"/>
      <c r="AJ246" s="22"/>
      <c r="AK246" s="22"/>
      <c r="AL246" s="22"/>
      <c r="AN246" s="41"/>
      <c r="AO246" s="41"/>
      <c r="AP246" s="41"/>
      <c r="AQ246" s="43"/>
      <c r="AV246" s="41"/>
      <c r="AW246" s="41"/>
      <c r="AX246" s="41"/>
      <c r="AY246" s="44"/>
      <c r="AZ246" s="44"/>
      <c r="BA246" s="31"/>
      <c r="BC246" s="41"/>
      <c r="BD246" s="41"/>
      <c r="BE246" s="41"/>
      <c r="BF246" s="41"/>
      <c r="BH246" s="22"/>
      <c r="BI246" s="22"/>
      <c r="BJ246" s="22"/>
      <c r="BK246" s="22"/>
      <c r="BL246" s="41"/>
    </row>
    <row r="247" spans="1:64" ht="12.75">
      <c r="A247" s="120"/>
      <c r="B247" s="121"/>
      <c r="C247" s="121"/>
      <c r="D247" s="121"/>
      <c r="E247" s="111" t="s">
        <v>735</v>
      </c>
      <c r="F247" s="121"/>
      <c r="G247" s="123"/>
      <c r="H247" s="123"/>
      <c r="I247" s="123"/>
      <c r="J247" s="123"/>
      <c r="K247" s="123"/>
      <c r="L247" s="123"/>
      <c r="M247" s="123"/>
      <c r="N247" s="124"/>
      <c r="O247" s="39"/>
      <c r="Z247" s="41"/>
      <c r="AB247" s="41"/>
      <c r="AC247" s="41"/>
      <c r="AD247" s="41"/>
      <c r="AE247" s="41"/>
      <c r="AF247" s="41"/>
      <c r="AG247" s="41"/>
      <c r="AH247" s="41"/>
      <c r="AI247" s="31"/>
      <c r="AJ247" s="22"/>
      <c r="AK247" s="22"/>
      <c r="AL247" s="22"/>
      <c r="AN247" s="41"/>
      <c r="AO247" s="41"/>
      <c r="AP247" s="41"/>
      <c r="AQ247" s="43"/>
      <c r="AV247" s="41"/>
      <c r="AW247" s="41"/>
      <c r="AX247" s="41"/>
      <c r="AY247" s="44"/>
      <c r="AZ247" s="44"/>
      <c r="BA247" s="31"/>
      <c r="BC247" s="41"/>
      <c r="BD247" s="41"/>
      <c r="BE247" s="41"/>
      <c r="BF247" s="41"/>
      <c r="BH247" s="22"/>
      <c r="BI247" s="22"/>
      <c r="BJ247" s="22"/>
      <c r="BK247" s="22"/>
      <c r="BL247" s="41"/>
    </row>
    <row r="248" spans="1:64" ht="12.75">
      <c r="A248" s="6" t="s">
        <v>108</v>
      </c>
      <c r="B248" s="15"/>
      <c r="C248" s="15" t="s">
        <v>745</v>
      </c>
      <c r="D248" s="135" t="s">
        <v>748</v>
      </c>
      <c r="E248" s="136"/>
      <c r="F248" s="15" t="s">
        <v>429</v>
      </c>
      <c r="G248" s="22">
        <v>1</v>
      </c>
      <c r="H248" s="22">
        <v>0</v>
      </c>
      <c r="I248" s="22">
        <f>G248*AO248</f>
        <v>0</v>
      </c>
      <c r="J248" s="22">
        <f>G248*AP248</f>
        <v>0</v>
      </c>
      <c r="K248" s="22">
        <f>G248*H248</f>
        <v>0</v>
      </c>
      <c r="L248" s="22">
        <v>0.06375</v>
      </c>
      <c r="M248" s="22">
        <f>G248*L248</f>
        <v>0.06375</v>
      </c>
      <c r="N248" s="37" t="s">
        <v>593</v>
      </c>
      <c r="O248" s="39"/>
      <c r="Z248" s="41"/>
      <c r="AB248" s="41"/>
      <c r="AC248" s="41"/>
      <c r="AD248" s="41"/>
      <c r="AE248" s="41"/>
      <c r="AF248" s="41"/>
      <c r="AG248" s="41"/>
      <c r="AH248" s="41"/>
      <c r="AI248" s="31"/>
      <c r="AJ248" s="22"/>
      <c r="AK248" s="22"/>
      <c r="AL248" s="22"/>
      <c r="AN248" s="41"/>
      <c r="AO248" s="41"/>
      <c r="AP248" s="41"/>
      <c r="AQ248" s="43"/>
      <c r="AV248" s="41"/>
      <c r="AW248" s="41"/>
      <c r="AX248" s="41"/>
      <c r="AY248" s="44"/>
      <c r="AZ248" s="44"/>
      <c r="BA248" s="31"/>
      <c r="BC248" s="41"/>
      <c r="BD248" s="41"/>
      <c r="BE248" s="41"/>
      <c r="BF248" s="41"/>
      <c r="BH248" s="22"/>
      <c r="BI248" s="22"/>
      <c r="BJ248" s="22"/>
      <c r="BK248" s="22"/>
      <c r="BL248" s="41"/>
    </row>
    <row r="249" spans="1:64" ht="12.75">
      <c r="A249" s="6" t="s">
        <v>109</v>
      </c>
      <c r="B249" s="15"/>
      <c r="C249" s="15" t="s">
        <v>746</v>
      </c>
      <c r="D249" s="135" t="s">
        <v>747</v>
      </c>
      <c r="E249" s="136"/>
      <c r="F249" s="15" t="s">
        <v>429</v>
      </c>
      <c r="G249" s="22">
        <v>4</v>
      </c>
      <c r="H249" s="22">
        <v>0</v>
      </c>
      <c r="I249" s="22">
        <f>G249*AO249</f>
        <v>0</v>
      </c>
      <c r="J249" s="22">
        <f>G249*AP249</f>
        <v>0</v>
      </c>
      <c r="K249" s="22">
        <f>G249*H249</f>
        <v>0</v>
      </c>
      <c r="L249" s="22">
        <v>0.06375</v>
      </c>
      <c r="M249" s="22">
        <f>G249*L249</f>
        <v>0.255</v>
      </c>
      <c r="N249" s="37" t="s">
        <v>593</v>
      </c>
      <c r="O249" s="39"/>
      <c r="Z249" s="41"/>
      <c r="AB249" s="41"/>
      <c r="AC249" s="41"/>
      <c r="AD249" s="41"/>
      <c r="AE249" s="41"/>
      <c r="AF249" s="41"/>
      <c r="AG249" s="41"/>
      <c r="AH249" s="41"/>
      <c r="AI249" s="31"/>
      <c r="AJ249" s="22"/>
      <c r="AK249" s="22"/>
      <c r="AL249" s="22"/>
      <c r="AN249" s="41"/>
      <c r="AO249" s="41"/>
      <c r="AP249" s="41"/>
      <c r="AQ249" s="43"/>
      <c r="AV249" s="41"/>
      <c r="AW249" s="41"/>
      <c r="AX249" s="41"/>
      <c r="AY249" s="44"/>
      <c r="AZ249" s="44"/>
      <c r="BA249" s="31"/>
      <c r="BC249" s="41"/>
      <c r="BD249" s="41"/>
      <c r="BE249" s="41"/>
      <c r="BF249" s="41"/>
      <c r="BH249" s="22"/>
      <c r="BI249" s="22"/>
      <c r="BJ249" s="22"/>
      <c r="BK249" s="22"/>
      <c r="BL249" s="41"/>
    </row>
    <row r="250" spans="1:64" ht="12.75">
      <c r="A250" s="6" t="s">
        <v>110</v>
      </c>
      <c r="B250" s="15"/>
      <c r="C250" s="15" t="s">
        <v>648</v>
      </c>
      <c r="D250" s="135" t="s">
        <v>649</v>
      </c>
      <c r="E250" s="136"/>
      <c r="F250" s="15" t="s">
        <v>429</v>
      </c>
      <c r="G250" s="22">
        <v>4</v>
      </c>
      <c r="H250" s="22">
        <v>0</v>
      </c>
      <c r="I250" s="22">
        <f t="shared" si="26"/>
        <v>0</v>
      </c>
      <c r="J250" s="22">
        <f t="shared" si="27"/>
        <v>0</v>
      </c>
      <c r="K250" s="22">
        <f t="shared" si="28"/>
        <v>0</v>
      </c>
      <c r="L250" s="22">
        <v>0.05</v>
      </c>
      <c r="M250" s="22">
        <f t="shared" si="29"/>
        <v>0.2</v>
      </c>
      <c r="N250" s="37" t="s">
        <v>593</v>
      </c>
      <c r="O250" s="39"/>
      <c r="Z250" s="41">
        <f t="shared" si="30"/>
        <v>0</v>
      </c>
      <c r="AB250" s="41">
        <f t="shared" si="31"/>
        <v>0</v>
      </c>
      <c r="AC250" s="41">
        <f t="shared" si="32"/>
        <v>0</v>
      </c>
      <c r="AD250" s="41">
        <f t="shared" si="33"/>
        <v>0</v>
      </c>
      <c r="AE250" s="41">
        <f t="shared" si="34"/>
        <v>0</v>
      </c>
      <c r="AF250" s="41">
        <f t="shared" si="35"/>
        <v>0</v>
      </c>
      <c r="AG250" s="41">
        <f t="shared" si="36"/>
        <v>0</v>
      </c>
      <c r="AH250" s="41">
        <f t="shared" si="37"/>
        <v>0</v>
      </c>
      <c r="AI250" s="31"/>
      <c r="AJ250" s="22">
        <f t="shared" si="38"/>
        <v>0</v>
      </c>
      <c r="AK250" s="22">
        <f t="shared" si="39"/>
        <v>0</v>
      </c>
      <c r="AL250" s="22">
        <f t="shared" si="40"/>
        <v>0</v>
      </c>
      <c r="AN250" s="41">
        <v>21</v>
      </c>
      <c r="AO250" s="41">
        <f t="shared" si="41"/>
        <v>0</v>
      </c>
      <c r="AP250" s="41">
        <f t="shared" si="42"/>
        <v>0</v>
      </c>
      <c r="AQ250" s="43" t="s">
        <v>125</v>
      </c>
      <c r="AV250" s="41">
        <f t="shared" si="43"/>
        <v>0</v>
      </c>
      <c r="AW250" s="41">
        <f t="shared" si="44"/>
        <v>0</v>
      </c>
      <c r="AX250" s="41">
        <f t="shared" si="45"/>
        <v>0</v>
      </c>
      <c r="AY250" s="44" t="s">
        <v>503</v>
      </c>
      <c r="AZ250" s="44" t="s">
        <v>518</v>
      </c>
      <c r="BA250" s="31" t="s">
        <v>520</v>
      </c>
      <c r="BC250" s="41">
        <f t="shared" si="46"/>
        <v>0</v>
      </c>
      <c r="BD250" s="41">
        <f t="shared" si="47"/>
        <v>0</v>
      </c>
      <c r="BE250" s="41">
        <v>0</v>
      </c>
      <c r="BF250" s="41">
        <f t="shared" si="48"/>
        <v>0.2</v>
      </c>
      <c r="BH250" s="22">
        <f t="shared" si="49"/>
        <v>0</v>
      </c>
      <c r="BI250" s="22">
        <f t="shared" si="50"/>
        <v>0</v>
      </c>
      <c r="BJ250" s="22">
        <f t="shared" si="51"/>
        <v>0</v>
      </c>
      <c r="BK250" s="22" t="s">
        <v>526</v>
      </c>
      <c r="BL250" s="41"/>
    </row>
    <row r="251" spans="1:64" ht="12.75">
      <c r="A251" s="120"/>
      <c r="B251" s="121"/>
      <c r="C251" s="122"/>
      <c r="D251" s="121"/>
      <c r="E251" s="111" t="s">
        <v>736</v>
      </c>
      <c r="F251" s="121"/>
      <c r="G251" s="123"/>
      <c r="H251" s="123"/>
      <c r="I251" s="123"/>
      <c r="J251" s="123"/>
      <c r="K251" s="123"/>
      <c r="L251" s="123"/>
      <c r="M251" s="123"/>
      <c r="N251" s="124"/>
      <c r="O251" s="39"/>
      <c r="Z251" s="41"/>
      <c r="AB251" s="41"/>
      <c r="AC251" s="41"/>
      <c r="AD251" s="41"/>
      <c r="AE251" s="41"/>
      <c r="AF251" s="41"/>
      <c r="AG251" s="41"/>
      <c r="AH251" s="41"/>
      <c r="AI251" s="31"/>
      <c r="AJ251" s="22"/>
      <c r="AK251" s="22"/>
      <c r="AL251" s="22"/>
      <c r="AN251" s="41"/>
      <c r="AO251" s="41"/>
      <c r="AP251" s="41"/>
      <c r="AQ251" s="43"/>
      <c r="AV251" s="41"/>
      <c r="AW251" s="41"/>
      <c r="AX251" s="41"/>
      <c r="AY251" s="44"/>
      <c r="AZ251" s="44"/>
      <c r="BA251" s="31"/>
      <c r="BC251" s="41"/>
      <c r="BD251" s="41"/>
      <c r="BE251" s="41"/>
      <c r="BF251" s="41"/>
      <c r="BH251" s="22"/>
      <c r="BI251" s="22"/>
      <c r="BJ251" s="22"/>
      <c r="BK251" s="22"/>
      <c r="BL251" s="41"/>
    </row>
    <row r="252" spans="1:64" ht="12.75">
      <c r="A252" s="6" t="s">
        <v>111</v>
      </c>
      <c r="B252" s="15"/>
      <c r="C252" s="15" t="s">
        <v>650</v>
      </c>
      <c r="D252" s="135" t="s">
        <v>651</v>
      </c>
      <c r="E252" s="136"/>
      <c r="F252" s="15" t="s">
        <v>594</v>
      </c>
      <c r="G252" s="22">
        <v>1</v>
      </c>
      <c r="H252" s="22">
        <v>0</v>
      </c>
      <c r="I252" s="22">
        <f t="shared" si="26"/>
        <v>0</v>
      </c>
      <c r="J252" s="22">
        <f t="shared" si="27"/>
        <v>0</v>
      </c>
      <c r="K252" s="22">
        <f t="shared" si="28"/>
        <v>0</v>
      </c>
      <c r="L252" s="22">
        <v>0.02</v>
      </c>
      <c r="M252" s="22">
        <f t="shared" si="29"/>
        <v>0.02</v>
      </c>
      <c r="N252" s="37" t="s">
        <v>593</v>
      </c>
      <c r="O252" s="39"/>
      <c r="Z252" s="41">
        <f t="shared" si="30"/>
        <v>0</v>
      </c>
      <c r="AB252" s="41">
        <f t="shared" si="31"/>
        <v>0</v>
      </c>
      <c r="AC252" s="41">
        <f t="shared" si="32"/>
        <v>0</v>
      </c>
      <c r="AD252" s="41">
        <f t="shared" si="33"/>
        <v>0</v>
      </c>
      <c r="AE252" s="41">
        <f t="shared" si="34"/>
        <v>0</v>
      </c>
      <c r="AF252" s="41">
        <f t="shared" si="35"/>
        <v>0</v>
      </c>
      <c r="AG252" s="41">
        <f t="shared" si="36"/>
        <v>0</v>
      </c>
      <c r="AH252" s="41">
        <f t="shared" si="37"/>
        <v>0</v>
      </c>
      <c r="AI252" s="31"/>
      <c r="AJ252" s="22">
        <f t="shared" si="38"/>
        <v>0</v>
      </c>
      <c r="AK252" s="22">
        <f t="shared" si="39"/>
        <v>0</v>
      </c>
      <c r="AL252" s="22">
        <f t="shared" si="40"/>
        <v>0</v>
      </c>
      <c r="AN252" s="41">
        <v>21</v>
      </c>
      <c r="AO252" s="41">
        <f t="shared" si="41"/>
        <v>0</v>
      </c>
      <c r="AP252" s="41">
        <f t="shared" si="42"/>
        <v>0</v>
      </c>
      <c r="AQ252" s="43" t="s">
        <v>125</v>
      </c>
      <c r="AV252" s="41">
        <f t="shared" si="43"/>
        <v>0</v>
      </c>
      <c r="AW252" s="41">
        <f t="shared" si="44"/>
        <v>0</v>
      </c>
      <c r="AX252" s="41">
        <f t="shared" si="45"/>
        <v>0</v>
      </c>
      <c r="AY252" s="44" t="s">
        <v>503</v>
      </c>
      <c r="AZ252" s="44" t="s">
        <v>518</v>
      </c>
      <c r="BA252" s="31" t="s">
        <v>520</v>
      </c>
      <c r="BC252" s="41">
        <f t="shared" si="46"/>
        <v>0</v>
      </c>
      <c r="BD252" s="41">
        <f t="shared" si="47"/>
        <v>0</v>
      </c>
      <c r="BE252" s="41">
        <v>0</v>
      </c>
      <c r="BF252" s="41">
        <f t="shared" si="48"/>
        <v>0.02</v>
      </c>
      <c r="BH252" s="22">
        <f t="shared" si="49"/>
        <v>0</v>
      </c>
      <c r="BI252" s="22">
        <f t="shared" si="50"/>
        <v>0</v>
      </c>
      <c r="BJ252" s="22">
        <f t="shared" si="51"/>
        <v>0</v>
      </c>
      <c r="BK252" s="22" t="s">
        <v>526</v>
      </c>
      <c r="BL252" s="41"/>
    </row>
    <row r="253" spans="1:64" ht="12.75">
      <c r="A253" s="120"/>
      <c r="B253" s="121"/>
      <c r="C253" s="121"/>
      <c r="D253" s="121"/>
      <c r="E253" s="111" t="s">
        <v>737</v>
      </c>
      <c r="F253" s="121"/>
      <c r="G253" s="123"/>
      <c r="H253" s="123"/>
      <c r="I253" s="123"/>
      <c r="J253" s="123"/>
      <c r="K253" s="123"/>
      <c r="L253" s="123"/>
      <c r="M253" s="123"/>
      <c r="N253" s="124"/>
      <c r="O253" s="39"/>
      <c r="Z253" s="41"/>
      <c r="AB253" s="41"/>
      <c r="AC253" s="41"/>
      <c r="AD253" s="41"/>
      <c r="AE253" s="41"/>
      <c r="AF253" s="41"/>
      <c r="AG253" s="41"/>
      <c r="AH253" s="41"/>
      <c r="AI253" s="31"/>
      <c r="AJ253" s="22"/>
      <c r="AK253" s="22"/>
      <c r="AL253" s="22"/>
      <c r="AN253" s="41"/>
      <c r="AO253" s="41"/>
      <c r="AP253" s="41"/>
      <c r="AQ253" s="43"/>
      <c r="AV253" s="41"/>
      <c r="AW253" s="41"/>
      <c r="AX253" s="41"/>
      <c r="AY253" s="44"/>
      <c r="AZ253" s="44"/>
      <c r="BA253" s="31"/>
      <c r="BC253" s="41"/>
      <c r="BD253" s="41"/>
      <c r="BE253" s="41"/>
      <c r="BF253" s="41"/>
      <c r="BH253" s="22"/>
      <c r="BI253" s="22"/>
      <c r="BJ253" s="22"/>
      <c r="BK253" s="22"/>
      <c r="BL253" s="41"/>
    </row>
    <row r="254" spans="1:64" ht="12.75">
      <c r="A254" s="6" t="s">
        <v>112</v>
      </c>
      <c r="B254" s="15"/>
      <c r="C254" s="15" t="s">
        <v>243</v>
      </c>
      <c r="D254" s="135" t="s">
        <v>652</v>
      </c>
      <c r="E254" s="136"/>
      <c r="F254" s="15" t="s">
        <v>430</v>
      </c>
      <c r="G254" s="22">
        <v>28</v>
      </c>
      <c r="H254" s="22">
        <v>0</v>
      </c>
      <c r="I254" s="22">
        <f t="shared" si="26"/>
        <v>0</v>
      </c>
      <c r="J254" s="22">
        <f t="shared" si="27"/>
        <v>0</v>
      </c>
      <c r="K254" s="22">
        <f t="shared" si="28"/>
        <v>0</v>
      </c>
      <c r="L254" s="22">
        <v>0.001</v>
      </c>
      <c r="M254" s="22">
        <f t="shared" si="29"/>
        <v>0.028</v>
      </c>
      <c r="N254" s="37" t="s">
        <v>452</v>
      </c>
      <c r="O254" s="39"/>
      <c r="Z254" s="41">
        <f t="shared" si="30"/>
        <v>0</v>
      </c>
      <c r="AB254" s="41">
        <f t="shared" si="31"/>
        <v>0</v>
      </c>
      <c r="AC254" s="41">
        <f t="shared" si="32"/>
        <v>0</v>
      </c>
      <c r="AD254" s="41">
        <f t="shared" si="33"/>
        <v>0</v>
      </c>
      <c r="AE254" s="41">
        <f t="shared" si="34"/>
        <v>0</v>
      </c>
      <c r="AF254" s="41">
        <f t="shared" si="35"/>
        <v>0</v>
      </c>
      <c r="AG254" s="41">
        <f t="shared" si="36"/>
        <v>0</v>
      </c>
      <c r="AH254" s="41">
        <f t="shared" si="37"/>
        <v>0</v>
      </c>
      <c r="AI254" s="31"/>
      <c r="AJ254" s="22">
        <f t="shared" si="38"/>
        <v>0</v>
      </c>
      <c r="AK254" s="22">
        <f t="shared" si="39"/>
        <v>0</v>
      </c>
      <c r="AL254" s="22">
        <f t="shared" si="40"/>
        <v>0</v>
      </c>
      <c r="AN254" s="41">
        <v>21</v>
      </c>
      <c r="AO254" s="41">
        <f t="shared" si="41"/>
        <v>0</v>
      </c>
      <c r="AP254" s="41">
        <f t="shared" si="42"/>
        <v>0</v>
      </c>
      <c r="AQ254" s="43" t="s">
        <v>125</v>
      </c>
      <c r="AV254" s="41">
        <f t="shared" si="43"/>
        <v>0</v>
      </c>
      <c r="AW254" s="41">
        <f t="shared" si="44"/>
        <v>0</v>
      </c>
      <c r="AX254" s="41">
        <f t="shared" si="45"/>
        <v>0</v>
      </c>
      <c r="AY254" s="44" t="s">
        <v>503</v>
      </c>
      <c r="AZ254" s="44" t="s">
        <v>518</v>
      </c>
      <c r="BA254" s="31" t="s">
        <v>520</v>
      </c>
      <c r="BC254" s="41">
        <f t="shared" si="46"/>
        <v>0</v>
      </c>
      <c r="BD254" s="41">
        <f t="shared" si="47"/>
        <v>0</v>
      </c>
      <c r="BE254" s="41">
        <v>0</v>
      </c>
      <c r="BF254" s="41">
        <f t="shared" si="48"/>
        <v>0.028</v>
      </c>
      <c r="BH254" s="22">
        <f t="shared" si="49"/>
        <v>0</v>
      </c>
      <c r="BI254" s="22">
        <f t="shared" si="50"/>
        <v>0</v>
      </c>
      <c r="BJ254" s="22">
        <f t="shared" si="51"/>
        <v>0</v>
      </c>
      <c r="BK254" s="22" t="s">
        <v>526</v>
      </c>
      <c r="BL254" s="41"/>
    </row>
    <row r="255" spans="1:64" ht="12.75">
      <c r="A255" s="6" t="s">
        <v>113</v>
      </c>
      <c r="B255" s="15"/>
      <c r="C255" s="15" t="s">
        <v>244</v>
      </c>
      <c r="D255" s="135" t="s">
        <v>405</v>
      </c>
      <c r="E255" s="136"/>
      <c r="F255" s="15" t="s">
        <v>427</v>
      </c>
      <c r="G255" s="22">
        <v>98.74</v>
      </c>
      <c r="H255" s="22">
        <v>0</v>
      </c>
      <c r="I255" s="22">
        <f t="shared" si="26"/>
        <v>0</v>
      </c>
      <c r="J255" s="22">
        <f t="shared" si="27"/>
        <v>0</v>
      </c>
      <c r="K255" s="22">
        <f t="shared" si="28"/>
        <v>0</v>
      </c>
      <c r="L255" s="22">
        <v>1</v>
      </c>
      <c r="M255" s="22">
        <f t="shared" si="29"/>
        <v>98.74</v>
      </c>
      <c r="N255" s="37" t="s">
        <v>452</v>
      </c>
      <c r="O255" s="39"/>
      <c r="Z255" s="41">
        <f t="shared" si="30"/>
        <v>0</v>
      </c>
      <c r="AB255" s="41">
        <f t="shared" si="31"/>
        <v>0</v>
      </c>
      <c r="AC255" s="41">
        <f t="shared" si="32"/>
        <v>0</v>
      </c>
      <c r="AD255" s="41">
        <f t="shared" si="33"/>
        <v>0</v>
      </c>
      <c r="AE255" s="41">
        <f t="shared" si="34"/>
        <v>0</v>
      </c>
      <c r="AF255" s="41">
        <f t="shared" si="35"/>
        <v>0</v>
      </c>
      <c r="AG255" s="41">
        <f t="shared" si="36"/>
        <v>0</v>
      </c>
      <c r="AH255" s="41">
        <f t="shared" si="37"/>
        <v>0</v>
      </c>
      <c r="AI255" s="31"/>
      <c r="AJ255" s="22">
        <f t="shared" si="38"/>
        <v>0</v>
      </c>
      <c r="AK255" s="22">
        <f t="shared" si="39"/>
        <v>0</v>
      </c>
      <c r="AL255" s="22">
        <f t="shared" si="40"/>
        <v>0</v>
      </c>
      <c r="AN255" s="41">
        <v>21</v>
      </c>
      <c r="AO255" s="41">
        <f t="shared" si="41"/>
        <v>0</v>
      </c>
      <c r="AP255" s="41">
        <f t="shared" si="42"/>
        <v>0</v>
      </c>
      <c r="AQ255" s="43" t="s">
        <v>125</v>
      </c>
      <c r="AV255" s="41">
        <f t="shared" si="43"/>
        <v>0</v>
      </c>
      <c r="AW255" s="41">
        <f t="shared" si="44"/>
        <v>0</v>
      </c>
      <c r="AX255" s="41">
        <f t="shared" si="45"/>
        <v>0</v>
      </c>
      <c r="AY255" s="44" t="s">
        <v>503</v>
      </c>
      <c r="AZ255" s="44" t="s">
        <v>518</v>
      </c>
      <c r="BA255" s="31" t="s">
        <v>520</v>
      </c>
      <c r="BC255" s="41">
        <f t="shared" si="46"/>
        <v>0</v>
      </c>
      <c r="BD255" s="41">
        <f t="shared" si="47"/>
        <v>0</v>
      </c>
      <c r="BE255" s="41">
        <v>0</v>
      </c>
      <c r="BF255" s="41">
        <f t="shared" si="48"/>
        <v>98.74</v>
      </c>
      <c r="BH255" s="22">
        <f t="shared" si="49"/>
        <v>0</v>
      </c>
      <c r="BI255" s="22">
        <f t="shared" si="50"/>
        <v>0</v>
      </c>
      <c r="BJ255" s="22">
        <f t="shared" si="51"/>
        <v>0</v>
      </c>
      <c r="BK255" s="22" t="s">
        <v>526</v>
      </c>
      <c r="BL255" s="41"/>
    </row>
    <row r="256" spans="1:64" ht="12.75">
      <c r="A256" s="6" t="s">
        <v>114</v>
      </c>
      <c r="B256" s="15"/>
      <c r="C256" s="15" t="s">
        <v>245</v>
      </c>
      <c r="D256" s="135" t="s">
        <v>406</v>
      </c>
      <c r="E256" s="136"/>
      <c r="F256" s="15" t="s">
        <v>429</v>
      </c>
      <c r="G256" s="22">
        <v>8</v>
      </c>
      <c r="H256" s="22">
        <v>0</v>
      </c>
      <c r="I256" s="22">
        <f t="shared" si="26"/>
        <v>0</v>
      </c>
      <c r="J256" s="22">
        <f t="shared" si="27"/>
        <v>0</v>
      </c>
      <c r="K256" s="22">
        <f t="shared" si="28"/>
        <v>0</v>
      </c>
      <c r="L256" s="22">
        <v>0.028</v>
      </c>
      <c r="M256" s="22">
        <f t="shared" si="29"/>
        <v>0.224</v>
      </c>
      <c r="N256" s="37" t="s">
        <v>452</v>
      </c>
      <c r="O256" s="39"/>
      <c r="Z256" s="41">
        <f t="shared" si="30"/>
        <v>0</v>
      </c>
      <c r="AB256" s="41">
        <f t="shared" si="31"/>
        <v>0</v>
      </c>
      <c r="AC256" s="41">
        <f t="shared" si="32"/>
        <v>0</v>
      </c>
      <c r="AD256" s="41">
        <f t="shared" si="33"/>
        <v>0</v>
      </c>
      <c r="AE256" s="41">
        <f t="shared" si="34"/>
        <v>0</v>
      </c>
      <c r="AF256" s="41">
        <f t="shared" si="35"/>
        <v>0</v>
      </c>
      <c r="AG256" s="41">
        <f t="shared" si="36"/>
        <v>0</v>
      </c>
      <c r="AH256" s="41">
        <f t="shared" si="37"/>
        <v>0</v>
      </c>
      <c r="AI256" s="31"/>
      <c r="AJ256" s="22">
        <f t="shared" si="38"/>
        <v>0</v>
      </c>
      <c r="AK256" s="22">
        <f t="shared" si="39"/>
        <v>0</v>
      </c>
      <c r="AL256" s="22">
        <f t="shared" si="40"/>
        <v>0</v>
      </c>
      <c r="AN256" s="41">
        <v>21</v>
      </c>
      <c r="AO256" s="41">
        <f t="shared" si="41"/>
        <v>0</v>
      </c>
      <c r="AP256" s="41">
        <f t="shared" si="42"/>
        <v>0</v>
      </c>
      <c r="AQ256" s="43" t="s">
        <v>125</v>
      </c>
      <c r="AV256" s="41">
        <f t="shared" si="43"/>
        <v>0</v>
      </c>
      <c r="AW256" s="41">
        <f t="shared" si="44"/>
        <v>0</v>
      </c>
      <c r="AX256" s="41">
        <f t="shared" si="45"/>
        <v>0</v>
      </c>
      <c r="AY256" s="44" t="s">
        <v>503</v>
      </c>
      <c r="AZ256" s="44" t="s">
        <v>518</v>
      </c>
      <c r="BA256" s="31" t="s">
        <v>520</v>
      </c>
      <c r="BC256" s="41">
        <f t="shared" si="46"/>
        <v>0</v>
      </c>
      <c r="BD256" s="41">
        <f t="shared" si="47"/>
        <v>0</v>
      </c>
      <c r="BE256" s="41">
        <v>0</v>
      </c>
      <c r="BF256" s="41">
        <f t="shared" si="48"/>
        <v>0.224</v>
      </c>
      <c r="BH256" s="22">
        <f t="shared" si="49"/>
        <v>0</v>
      </c>
      <c r="BI256" s="22">
        <f t="shared" si="50"/>
        <v>0</v>
      </c>
      <c r="BJ256" s="22">
        <f t="shared" si="51"/>
        <v>0</v>
      </c>
      <c r="BK256" s="22" t="s">
        <v>526</v>
      </c>
      <c r="BL256" s="41"/>
    </row>
    <row r="257" spans="1:64" ht="12.75">
      <c r="A257" s="6" t="s">
        <v>115</v>
      </c>
      <c r="B257" s="15"/>
      <c r="C257" s="15" t="s">
        <v>246</v>
      </c>
      <c r="D257" s="135" t="s">
        <v>407</v>
      </c>
      <c r="E257" s="136"/>
      <c r="F257" s="15" t="s">
        <v>428</v>
      </c>
      <c r="G257" s="22">
        <v>118.12</v>
      </c>
      <c r="H257" s="22">
        <v>0</v>
      </c>
      <c r="I257" s="22">
        <f t="shared" si="26"/>
        <v>0</v>
      </c>
      <c r="J257" s="22">
        <f t="shared" si="27"/>
        <v>0</v>
      </c>
      <c r="K257" s="22">
        <f t="shared" si="28"/>
        <v>0</v>
      </c>
      <c r="L257" s="22">
        <v>0.00035</v>
      </c>
      <c r="M257" s="22">
        <f t="shared" si="29"/>
        <v>0.041342000000000004</v>
      </c>
      <c r="N257" s="37" t="s">
        <v>452</v>
      </c>
      <c r="O257" s="39"/>
      <c r="Z257" s="41">
        <f t="shared" si="30"/>
        <v>0</v>
      </c>
      <c r="AB257" s="41">
        <f t="shared" si="31"/>
        <v>0</v>
      </c>
      <c r="AC257" s="41">
        <f t="shared" si="32"/>
        <v>0</v>
      </c>
      <c r="AD257" s="41">
        <f t="shared" si="33"/>
        <v>0</v>
      </c>
      <c r="AE257" s="41">
        <f t="shared" si="34"/>
        <v>0</v>
      </c>
      <c r="AF257" s="41">
        <f t="shared" si="35"/>
        <v>0</v>
      </c>
      <c r="AG257" s="41">
        <f t="shared" si="36"/>
        <v>0</v>
      </c>
      <c r="AH257" s="41">
        <f t="shared" si="37"/>
        <v>0</v>
      </c>
      <c r="AI257" s="31"/>
      <c r="AJ257" s="22">
        <f t="shared" si="38"/>
        <v>0</v>
      </c>
      <c r="AK257" s="22">
        <f t="shared" si="39"/>
        <v>0</v>
      </c>
      <c r="AL257" s="22">
        <f t="shared" si="40"/>
        <v>0</v>
      </c>
      <c r="AN257" s="41">
        <v>21</v>
      </c>
      <c r="AO257" s="41">
        <f t="shared" si="41"/>
        <v>0</v>
      </c>
      <c r="AP257" s="41">
        <f t="shared" si="42"/>
        <v>0</v>
      </c>
      <c r="AQ257" s="43" t="s">
        <v>125</v>
      </c>
      <c r="AV257" s="41">
        <f t="shared" si="43"/>
        <v>0</v>
      </c>
      <c r="AW257" s="41">
        <f t="shared" si="44"/>
        <v>0</v>
      </c>
      <c r="AX257" s="41">
        <f t="shared" si="45"/>
        <v>0</v>
      </c>
      <c r="AY257" s="44" t="s">
        <v>503</v>
      </c>
      <c r="AZ257" s="44" t="s">
        <v>518</v>
      </c>
      <c r="BA257" s="31" t="s">
        <v>520</v>
      </c>
      <c r="BC257" s="41">
        <f t="shared" si="46"/>
        <v>0</v>
      </c>
      <c r="BD257" s="41">
        <f t="shared" si="47"/>
        <v>0</v>
      </c>
      <c r="BE257" s="41">
        <v>0</v>
      </c>
      <c r="BF257" s="41">
        <f t="shared" si="48"/>
        <v>0.041342000000000004</v>
      </c>
      <c r="BH257" s="22">
        <f t="shared" si="49"/>
        <v>0</v>
      </c>
      <c r="BI257" s="22">
        <f t="shared" si="50"/>
        <v>0</v>
      </c>
      <c r="BJ257" s="22">
        <f t="shared" si="51"/>
        <v>0</v>
      </c>
      <c r="BK257" s="22" t="s">
        <v>526</v>
      </c>
      <c r="BL257" s="41"/>
    </row>
    <row r="258" spans="1:64" ht="12.75">
      <c r="A258" s="6" t="s">
        <v>116</v>
      </c>
      <c r="B258" s="15"/>
      <c r="C258" s="15" t="s">
        <v>247</v>
      </c>
      <c r="D258" s="135" t="s">
        <v>653</v>
      </c>
      <c r="E258" s="136"/>
      <c r="F258" s="15" t="s">
        <v>426</v>
      </c>
      <c r="G258" s="22">
        <v>119.77</v>
      </c>
      <c r="H258" s="22">
        <v>0</v>
      </c>
      <c r="I258" s="22">
        <f t="shared" si="26"/>
        <v>0</v>
      </c>
      <c r="J258" s="22">
        <f t="shared" si="27"/>
        <v>0</v>
      </c>
      <c r="K258" s="22">
        <f t="shared" si="28"/>
        <v>0</v>
      </c>
      <c r="L258" s="22">
        <v>0.0192</v>
      </c>
      <c r="M258" s="22">
        <f t="shared" si="29"/>
        <v>2.299584</v>
      </c>
      <c r="N258" s="37" t="s">
        <v>452</v>
      </c>
      <c r="O258" s="39"/>
      <c r="Z258" s="41">
        <f t="shared" si="30"/>
        <v>0</v>
      </c>
      <c r="AB258" s="41">
        <f t="shared" si="31"/>
        <v>0</v>
      </c>
      <c r="AC258" s="41">
        <f t="shared" si="32"/>
        <v>0</v>
      </c>
      <c r="AD258" s="41">
        <f t="shared" si="33"/>
        <v>0</v>
      </c>
      <c r="AE258" s="41">
        <f t="shared" si="34"/>
        <v>0</v>
      </c>
      <c r="AF258" s="41">
        <f t="shared" si="35"/>
        <v>0</v>
      </c>
      <c r="AG258" s="41">
        <f t="shared" si="36"/>
        <v>0</v>
      </c>
      <c r="AH258" s="41">
        <f t="shared" si="37"/>
        <v>0</v>
      </c>
      <c r="AI258" s="31"/>
      <c r="AJ258" s="22">
        <f t="shared" si="38"/>
        <v>0</v>
      </c>
      <c r="AK258" s="22">
        <f t="shared" si="39"/>
        <v>0</v>
      </c>
      <c r="AL258" s="22">
        <f t="shared" si="40"/>
        <v>0</v>
      </c>
      <c r="AN258" s="41">
        <v>21</v>
      </c>
      <c r="AO258" s="41">
        <f t="shared" si="41"/>
        <v>0</v>
      </c>
      <c r="AP258" s="41">
        <f t="shared" si="42"/>
        <v>0</v>
      </c>
      <c r="AQ258" s="43" t="s">
        <v>125</v>
      </c>
      <c r="AV258" s="41">
        <f t="shared" si="43"/>
        <v>0</v>
      </c>
      <c r="AW258" s="41">
        <f t="shared" si="44"/>
        <v>0</v>
      </c>
      <c r="AX258" s="41">
        <f t="shared" si="45"/>
        <v>0</v>
      </c>
      <c r="AY258" s="44" t="s">
        <v>503</v>
      </c>
      <c r="AZ258" s="44" t="s">
        <v>518</v>
      </c>
      <c r="BA258" s="31" t="s">
        <v>520</v>
      </c>
      <c r="BC258" s="41">
        <f t="shared" si="46"/>
        <v>0</v>
      </c>
      <c r="BD258" s="41">
        <f t="shared" si="47"/>
        <v>0</v>
      </c>
      <c r="BE258" s="41">
        <v>0</v>
      </c>
      <c r="BF258" s="41">
        <f t="shared" si="48"/>
        <v>2.299584</v>
      </c>
      <c r="BH258" s="22">
        <f t="shared" si="49"/>
        <v>0</v>
      </c>
      <c r="BI258" s="22">
        <f t="shared" si="50"/>
        <v>0</v>
      </c>
      <c r="BJ258" s="22">
        <f t="shared" si="51"/>
        <v>0</v>
      </c>
      <c r="BK258" s="22" t="s">
        <v>526</v>
      </c>
      <c r="BL258" s="41"/>
    </row>
    <row r="259" spans="1:64" ht="12.75">
      <c r="A259" s="120"/>
      <c r="B259" s="121"/>
      <c r="C259" s="121"/>
      <c r="D259" s="121"/>
      <c r="E259" s="111" t="s">
        <v>738</v>
      </c>
      <c r="F259" s="121"/>
      <c r="G259" s="123"/>
      <c r="H259" s="123"/>
      <c r="I259" s="123"/>
      <c r="J259" s="123"/>
      <c r="K259" s="123"/>
      <c r="L259" s="123"/>
      <c r="M259" s="123"/>
      <c r="N259" s="124"/>
      <c r="O259" s="39"/>
      <c r="Z259" s="41"/>
      <c r="AB259" s="41"/>
      <c r="AC259" s="41"/>
      <c r="AD259" s="41"/>
      <c r="AE259" s="41"/>
      <c r="AF259" s="41"/>
      <c r="AG259" s="41"/>
      <c r="AH259" s="41"/>
      <c r="AI259" s="31"/>
      <c r="AJ259" s="22"/>
      <c r="AK259" s="22"/>
      <c r="AL259" s="22"/>
      <c r="AN259" s="41"/>
      <c r="AO259" s="41"/>
      <c r="AP259" s="41"/>
      <c r="AQ259" s="43"/>
      <c r="AV259" s="41"/>
      <c r="AW259" s="41"/>
      <c r="AX259" s="41"/>
      <c r="AY259" s="44"/>
      <c r="AZ259" s="44"/>
      <c r="BA259" s="31"/>
      <c r="BC259" s="41"/>
      <c r="BD259" s="41"/>
      <c r="BE259" s="41"/>
      <c r="BF259" s="41"/>
      <c r="BH259" s="22"/>
      <c r="BI259" s="22"/>
      <c r="BJ259" s="22"/>
      <c r="BK259" s="22"/>
      <c r="BL259" s="41"/>
    </row>
    <row r="260" spans="1:64" ht="12.75">
      <c r="A260" s="6" t="s">
        <v>117</v>
      </c>
      <c r="B260" s="15"/>
      <c r="C260" s="15" t="s">
        <v>248</v>
      </c>
      <c r="D260" s="135" t="s">
        <v>654</v>
      </c>
      <c r="E260" s="136"/>
      <c r="F260" s="15" t="s">
        <v>429</v>
      </c>
      <c r="G260" s="22">
        <v>165.52</v>
      </c>
      <c r="H260" s="22">
        <v>0</v>
      </c>
      <c r="I260" s="22">
        <f t="shared" si="26"/>
        <v>0</v>
      </c>
      <c r="J260" s="22">
        <f t="shared" si="27"/>
        <v>0</v>
      </c>
      <c r="K260" s="22">
        <f t="shared" si="28"/>
        <v>0</v>
      </c>
      <c r="L260" s="22">
        <v>0.00045</v>
      </c>
      <c r="M260" s="22">
        <f t="shared" si="29"/>
        <v>0.07448400000000001</v>
      </c>
      <c r="N260" s="37" t="s">
        <v>452</v>
      </c>
      <c r="O260" s="39"/>
      <c r="Z260" s="41">
        <f t="shared" si="30"/>
        <v>0</v>
      </c>
      <c r="AB260" s="41">
        <f t="shared" si="31"/>
        <v>0</v>
      </c>
      <c r="AC260" s="41">
        <f t="shared" si="32"/>
        <v>0</v>
      </c>
      <c r="AD260" s="41">
        <f t="shared" si="33"/>
        <v>0</v>
      </c>
      <c r="AE260" s="41">
        <f t="shared" si="34"/>
        <v>0</v>
      </c>
      <c r="AF260" s="41">
        <f t="shared" si="35"/>
        <v>0</v>
      </c>
      <c r="AG260" s="41">
        <f t="shared" si="36"/>
        <v>0</v>
      </c>
      <c r="AH260" s="41">
        <f t="shared" si="37"/>
        <v>0</v>
      </c>
      <c r="AI260" s="31"/>
      <c r="AJ260" s="22">
        <f t="shared" si="38"/>
        <v>0</v>
      </c>
      <c r="AK260" s="22">
        <f t="shared" si="39"/>
        <v>0</v>
      </c>
      <c r="AL260" s="22">
        <f t="shared" si="40"/>
        <v>0</v>
      </c>
      <c r="AN260" s="41">
        <v>21</v>
      </c>
      <c r="AO260" s="41">
        <f t="shared" si="41"/>
        <v>0</v>
      </c>
      <c r="AP260" s="41">
        <f t="shared" si="42"/>
        <v>0</v>
      </c>
      <c r="AQ260" s="43" t="s">
        <v>125</v>
      </c>
      <c r="AV260" s="41">
        <f t="shared" si="43"/>
        <v>0</v>
      </c>
      <c r="AW260" s="41">
        <f t="shared" si="44"/>
        <v>0</v>
      </c>
      <c r="AX260" s="41">
        <f t="shared" si="45"/>
        <v>0</v>
      </c>
      <c r="AY260" s="44" t="s">
        <v>503</v>
      </c>
      <c r="AZ260" s="44" t="s">
        <v>518</v>
      </c>
      <c r="BA260" s="31" t="s">
        <v>520</v>
      </c>
      <c r="BC260" s="41">
        <f t="shared" si="46"/>
        <v>0</v>
      </c>
      <c r="BD260" s="41">
        <f t="shared" si="47"/>
        <v>0</v>
      </c>
      <c r="BE260" s="41">
        <v>0</v>
      </c>
      <c r="BF260" s="41">
        <f t="shared" si="48"/>
        <v>0.07448400000000001</v>
      </c>
      <c r="BH260" s="22">
        <f t="shared" si="49"/>
        <v>0</v>
      </c>
      <c r="BI260" s="22">
        <f t="shared" si="50"/>
        <v>0</v>
      </c>
      <c r="BJ260" s="22">
        <f t="shared" si="51"/>
        <v>0</v>
      </c>
      <c r="BK260" s="22" t="s">
        <v>526</v>
      </c>
      <c r="BL260" s="41"/>
    </row>
    <row r="261" spans="1:64" ht="12.75">
      <c r="A261" s="6" t="s">
        <v>118</v>
      </c>
      <c r="B261" s="15"/>
      <c r="C261" s="15" t="s">
        <v>249</v>
      </c>
      <c r="D261" s="135" t="s">
        <v>410</v>
      </c>
      <c r="E261" s="136"/>
      <c r="F261" s="15" t="s">
        <v>427</v>
      </c>
      <c r="G261" s="22">
        <v>0.979</v>
      </c>
      <c r="H261" s="22">
        <v>0</v>
      </c>
      <c r="I261" s="22">
        <f t="shared" si="26"/>
        <v>0</v>
      </c>
      <c r="J261" s="22">
        <f t="shared" si="27"/>
        <v>0</v>
      </c>
      <c r="K261" s="22">
        <f t="shared" si="28"/>
        <v>0</v>
      </c>
      <c r="L261" s="22">
        <v>1</v>
      </c>
      <c r="M261" s="22">
        <f t="shared" si="29"/>
        <v>0.979</v>
      </c>
      <c r="N261" s="37" t="s">
        <v>452</v>
      </c>
      <c r="O261" s="39"/>
      <c r="Z261" s="41">
        <f t="shared" si="30"/>
        <v>0</v>
      </c>
      <c r="AB261" s="41">
        <f t="shared" si="31"/>
        <v>0</v>
      </c>
      <c r="AC261" s="41">
        <f t="shared" si="32"/>
        <v>0</v>
      </c>
      <c r="AD261" s="41">
        <f t="shared" si="33"/>
        <v>0</v>
      </c>
      <c r="AE261" s="41">
        <f t="shared" si="34"/>
        <v>0</v>
      </c>
      <c r="AF261" s="41">
        <f t="shared" si="35"/>
        <v>0</v>
      </c>
      <c r="AG261" s="41">
        <f t="shared" si="36"/>
        <v>0</v>
      </c>
      <c r="AH261" s="41">
        <f t="shared" si="37"/>
        <v>0</v>
      </c>
      <c r="AI261" s="31"/>
      <c r="AJ261" s="22">
        <f t="shared" si="38"/>
        <v>0</v>
      </c>
      <c r="AK261" s="22">
        <f t="shared" si="39"/>
        <v>0</v>
      </c>
      <c r="AL261" s="22">
        <f t="shared" si="40"/>
        <v>0</v>
      </c>
      <c r="AN261" s="41">
        <v>21</v>
      </c>
      <c r="AO261" s="41">
        <f t="shared" si="41"/>
        <v>0</v>
      </c>
      <c r="AP261" s="41">
        <f t="shared" si="42"/>
        <v>0</v>
      </c>
      <c r="AQ261" s="43" t="s">
        <v>125</v>
      </c>
      <c r="AV261" s="41">
        <f t="shared" si="43"/>
        <v>0</v>
      </c>
      <c r="AW261" s="41">
        <f t="shared" si="44"/>
        <v>0</v>
      </c>
      <c r="AX261" s="41">
        <f t="shared" si="45"/>
        <v>0</v>
      </c>
      <c r="AY261" s="44" t="s">
        <v>503</v>
      </c>
      <c r="AZ261" s="44" t="s">
        <v>518</v>
      </c>
      <c r="BA261" s="31" t="s">
        <v>520</v>
      </c>
      <c r="BC261" s="41">
        <f t="shared" si="46"/>
        <v>0</v>
      </c>
      <c r="BD261" s="41">
        <f t="shared" si="47"/>
        <v>0</v>
      </c>
      <c r="BE261" s="41">
        <v>0</v>
      </c>
      <c r="BF261" s="41">
        <f t="shared" si="48"/>
        <v>0.979</v>
      </c>
      <c r="BH261" s="22">
        <f t="shared" si="49"/>
        <v>0</v>
      </c>
      <c r="BI261" s="22">
        <f t="shared" si="50"/>
        <v>0</v>
      </c>
      <c r="BJ261" s="22">
        <f t="shared" si="51"/>
        <v>0</v>
      </c>
      <c r="BK261" s="22" t="s">
        <v>526</v>
      </c>
      <c r="BL261" s="41"/>
    </row>
    <row r="262" spans="1:64" ht="12.75">
      <c r="A262" s="6" t="s">
        <v>119</v>
      </c>
      <c r="B262" s="15"/>
      <c r="C262" s="15" t="s">
        <v>250</v>
      </c>
      <c r="D262" s="135" t="s">
        <v>655</v>
      </c>
      <c r="E262" s="136"/>
      <c r="F262" s="15" t="s">
        <v>426</v>
      </c>
      <c r="G262" s="22">
        <v>169.42</v>
      </c>
      <c r="H262" s="22">
        <v>0</v>
      </c>
      <c r="I262" s="22">
        <f t="shared" si="26"/>
        <v>0</v>
      </c>
      <c r="J262" s="22">
        <f t="shared" si="27"/>
        <v>0</v>
      </c>
      <c r="K262" s="22">
        <f t="shared" si="28"/>
        <v>0</v>
      </c>
      <c r="L262" s="22">
        <v>0.0045</v>
      </c>
      <c r="M262" s="22">
        <f t="shared" si="29"/>
        <v>0.7623899999999999</v>
      </c>
      <c r="N262" s="37" t="s">
        <v>452</v>
      </c>
      <c r="O262" s="39"/>
      <c r="Z262" s="41">
        <f t="shared" si="30"/>
        <v>0</v>
      </c>
      <c r="AB262" s="41">
        <f t="shared" si="31"/>
        <v>0</v>
      </c>
      <c r="AC262" s="41">
        <f t="shared" si="32"/>
        <v>0</v>
      </c>
      <c r="AD262" s="41">
        <f t="shared" si="33"/>
        <v>0</v>
      </c>
      <c r="AE262" s="41">
        <f t="shared" si="34"/>
        <v>0</v>
      </c>
      <c r="AF262" s="41">
        <f t="shared" si="35"/>
        <v>0</v>
      </c>
      <c r="AG262" s="41">
        <f t="shared" si="36"/>
        <v>0</v>
      </c>
      <c r="AH262" s="41">
        <f t="shared" si="37"/>
        <v>0</v>
      </c>
      <c r="AI262" s="31"/>
      <c r="AJ262" s="22">
        <f t="shared" si="38"/>
        <v>0</v>
      </c>
      <c r="AK262" s="22">
        <f t="shared" si="39"/>
        <v>0</v>
      </c>
      <c r="AL262" s="22">
        <f t="shared" si="40"/>
        <v>0</v>
      </c>
      <c r="AN262" s="41">
        <v>21</v>
      </c>
      <c r="AO262" s="41">
        <f t="shared" si="41"/>
        <v>0</v>
      </c>
      <c r="AP262" s="41">
        <f t="shared" si="42"/>
        <v>0</v>
      </c>
      <c r="AQ262" s="43" t="s">
        <v>125</v>
      </c>
      <c r="AV262" s="41">
        <f t="shared" si="43"/>
        <v>0</v>
      </c>
      <c r="AW262" s="41">
        <f t="shared" si="44"/>
        <v>0</v>
      </c>
      <c r="AX262" s="41">
        <f t="shared" si="45"/>
        <v>0</v>
      </c>
      <c r="AY262" s="44" t="s">
        <v>503</v>
      </c>
      <c r="AZ262" s="44" t="s">
        <v>518</v>
      </c>
      <c r="BA262" s="31" t="s">
        <v>520</v>
      </c>
      <c r="BC262" s="41">
        <f t="shared" si="46"/>
        <v>0</v>
      </c>
      <c r="BD262" s="41">
        <f t="shared" si="47"/>
        <v>0</v>
      </c>
      <c r="BE262" s="41">
        <v>0</v>
      </c>
      <c r="BF262" s="41">
        <f t="shared" si="48"/>
        <v>0.7623899999999999</v>
      </c>
      <c r="BH262" s="22">
        <f t="shared" si="49"/>
        <v>0</v>
      </c>
      <c r="BI262" s="22">
        <f t="shared" si="50"/>
        <v>0</v>
      </c>
      <c r="BJ262" s="22">
        <f t="shared" si="51"/>
        <v>0</v>
      </c>
      <c r="BK262" s="22" t="s">
        <v>526</v>
      </c>
      <c r="BL262" s="41"/>
    </row>
    <row r="263" spans="1:64" ht="12.75">
      <c r="A263" s="120"/>
      <c r="B263" s="121"/>
      <c r="C263" s="121"/>
      <c r="D263" s="121"/>
      <c r="E263" s="111" t="s">
        <v>739</v>
      </c>
      <c r="F263" s="121"/>
      <c r="G263" s="123"/>
      <c r="H263" s="123"/>
      <c r="I263" s="123"/>
      <c r="J263" s="123"/>
      <c r="K263" s="123"/>
      <c r="L263" s="123"/>
      <c r="M263" s="123"/>
      <c r="N263" s="124"/>
      <c r="O263" s="39"/>
      <c r="Z263" s="41"/>
      <c r="AB263" s="41"/>
      <c r="AC263" s="41"/>
      <c r="AD263" s="41"/>
      <c r="AE263" s="41"/>
      <c r="AF263" s="41"/>
      <c r="AG263" s="41"/>
      <c r="AH263" s="41"/>
      <c r="AI263" s="31"/>
      <c r="AJ263" s="22"/>
      <c r="AK263" s="22"/>
      <c r="AL263" s="22"/>
      <c r="AN263" s="41"/>
      <c r="AO263" s="41"/>
      <c r="AP263" s="41"/>
      <c r="AQ263" s="43"/>
      <c r="AV263" s="41"/>
      <c r="AW263" s="41"/>
      <c r="AX263" s="41"/>
      <c r="AY263" s="44"/>
      <c r="AZ263" s="44"/>
      <c r="BA263" s="31"/>
      <c r="BC263" s="41"/>
      <c r="BD263" s="41"/>
      <c r="BE263" s="41"/>
      <c r="BF263" s="41"/>
      <c r="BH263" s="22"/>
      <c r="BI263" s="22"/>
      <c r="BJ263" s="22"/>
      <c r="BK263" s="22"/>
      <c r="BL263" s="41"/>
    </row>
    <row r="264" spans="1:35" ht="12.75">
      <c r="A264" s="5"/>
      <c r="B264" s="14"/>
      <c r="C264" s="14"/>
      <c r="D264" s="127" t="s">
        <v>412</v>
      </c>
      <c r="E264" s="128"/>
      <c r="F264" s="19" t="s">
        <v>6</v>
      </c>
      <c r="G264" s="19" t="s">
        <v>6</v>
      </c>
      <c r="H264" s="19" t="s">
        <v>6</v>
      </c>
      <c r="I264" s="47">
        <f>I265+I269+I271</f>
        <v>0</v>
      </c>
      <c r="J264" s="47">
        <f>J265+J269+J271</f>
        <v>0</v>
      </c>
      <c r="K264" s="47">
        <f>K265+K269+K271</f>
        <v>0</v>
      </c>
      <c r="L264" s="31"/>
      <c r="M264" s="47">
        <f>M265+M269+M271</f>
        <v>0</v>
      </c>
      <c r="N264" s="36"/>
      <c r="O264" s="39"/>
      <c r="AI264" s="31"/>
    </row>
    <row r="265" spans="1:47" ht="12.75">
      <c r="A265" s="5"/>
      <c r="B265" s="14"/>
      <c r="C265" s="14" t="s">
        <v>251</v>
      </c>
      <c r="D265" s="127" t="s">
        <v>413</v>
      </c>
      <c r="E265" s="128"/>
      <c r="F265" s="19" t="s">
        <v>6</v>
      </c>
      <c r="G265" s="19" t="s">
        <v>6</v>
      </c>
      <c r="H265" s="19" t="s">
        <v>6</v>
      </c>
      <c r="I265" s="47">
        <f>SUM(I266:I268)</f>
        <v>0</v>
      </c>
      <c r="J265" s="47">
        <f>SUM(J266:J268)</f>
        <v>0</v>
      </c>
      <c r="K265" s="47">
        <f>SUM(K266:K268)</f>
        <v>0</v>
      </c>
      <c r="L265" s="31"/>
      <c r="M265" s="47">
        <f>SUM(M266:M268)</f>
        <v>0</v>
      </c>
      <c r="N265" s="36"/>
      <c r="O265" s="39"/>
      <c r="AI265" s="31"/>
      <c r="AS265" s="47">
        <f>SUM(AJ266:AJ268)</f>
        <v>0</v>
      </c>
      <c r="AT265" s="47">
        <f>SUM(AK266:AK268)</f>
        <v>0</v>
      </c>
      <c r="AU265" s="47">
        <f>SUM(AL266:AL268)</f>
        <v>0</v>
      </c>
    </row>
    <row r="266" spans="1:64" ht="12.75">
      <c r="A266" s="4" t="s">
        <v>120</v>
      </c>
      <c r="B266" s="13"/>
      <c r="C266" s="13" t="s">
        <v>252</v>
      </c>
      <c r="D266" s="125" t="s">
        <v>413</v>
      </c>
      <c r="E266" s="126"/>
      <c r="F266" s="13" t="s">
        <v>433</v>
      </c>
      <c r="G266" s="21">
        <v>1</v>
      </c>
      <c r="H266" s="21">
        <v>0</v>
      </c>
      <c r="I266" s="21">
        <f>G266*AO266</f>
        <v>0</v>
      </c>
      <c r="J266" s="21">
        <f>G266*AP266</f>
        <v>0</v>
      </c>
      <c r="K266" s="21">
        <f>G266*H266</f>
        <v>0</v>
      </c>
      <c r="L266" s="21">
        <v>0</v>
      </c>
      <c r="M266" s="21">
        <f>G266*L266</f>
        <v>0</v>
      </c>
      <c r="N266" s="35" t="s">
        <v>452</v>
      </c>
      <c r="O266" s="39"/>
      <c r="Z266" s="41">
        <f>IF(AQ266="5",BJ266,0)</f>
        <v>0</v>
      </c>
      <c r="AB266" s="41">
        <f>IF(AQ266="1",BH266,0)</f>
        <v>0</v>
      </c>
      <c r="AC266" s="41">
        <f>IF(AQ266="1",BI266,0)</f>
        <v>0</v>
      </c>
      <c r="AD266" s="41">
        <f>IF(AQ266="7",BH266,0)</f>
        <v>0</v>
      </c>
      <c r="AE266" s="41">
        <f>IF(AQ266="7",BI266,0)</f>
        <v>0</v>
      </c>
      <c r="AF266" s="41">
        <f>IF(AQ266="2",BH266,0)</f>
        <v>0</v>
      </c>
      <c r="AG266" s="41">
        <f>IF(AQ266="2",BI266,0)</f>
        <v>0</v>
      </c>
      <c r="AH266" s="41">
        <f>IF(AQ266="0",BJ266,0)</f>
        <v>0</v>
      </c>
      <c r="AI266" s="31"/>
      <c r="AJ266" s="21">
        <f>IF(AN266=0,K266,0)</f>
        <v>0</v>
      </c>
      <c r="AK266" s="21">
        <f>IF(AN266=15,K266,0)</f>
        <v>0</v>
      </c>
      <c r="AL266" s="21">
        <f>IF(AN266=21,K266,0)</f>
        <v>0</v>
      </c>
      <c r="AN266" s="41">
        <v>21</v>
      </c>
      <c r="AO266" s="41">
        <f>H266*0</f>
        <v>0</v>
      </c>
      <c r="AP266" s="41">
        <f>H266*(1-0)</f>
        <v>0</v>
      </c>
      <c r="AQ266" s="42" t="s">
        <v>105</v>
      </c>
      <c r="AV266" s="41">
        <f>AW266+AX266</f>
        <v>0</v>
      </c>
      <c r="AW266" s="41">
        <f>G266*AO266</f>
        <v>0</v>
      </c>
      <c r="AX266" s="41">
        <f>G266*AP266</f>
        <v>0</v>
      </c>
      <c r="AY266" s="44" t="s">
        <v>504</v>
      </c>
      <c r="AZ266" s="44" t="s">
        <v>519</v>
      </c>
      <c r="BA266" s="31" t="s">
        <v>520</v>
      </c>
      <c r="BC266" s="41">
        <f>AW266+AX266</f>
        <v>0</v>
      </c>
      <c r="BD266" s="41">
        <f>H266/(100-BE266)*100</f>
        <v>0</v>
      </c>
      <c r="BE266" s="41">
        <v>0</v>
      </c>
      <c r="BF266" s="41">
        <f>M266</f>
        <v>0</v>
      </c>
      <c r="BH266" s="21">
        <f>G266*AO266</f>
        <v>0</v>
      </c>
      <c r="BI266" s="21">
        <f>G266*AP266</f>
        <v>0</v>
      </c>
      <c r="BJ266" s="21">
        <f>G266*H266</f>
        <v>0</v>
      </c>
      <c r="BK266" s="21" t="s">
        <v>525</v>
      </c>
      <c r="BL266" s="41" t="s">
        <v>251</v>
      </c>
    </row>
    <row r="267" spans="1:64" ht="12.75">
      <c r="A267" s="4" t="s">
        <v>121</v>
      </c>
      <c r="B267" s="13"/>
      <c r="C267" s="13" t="s">
        <v>253</v>
      </c>
      <c r="D267" s="125" t="s">
        <v>414</v>
      </c>
      <c r="E267" s="126"/>
      <c r="F267" s="13" t="s">
        <v>433</v>
      </c>
      <c r="G267" s="21">
        <v>1</v>
      </c>
      <c r="H267" s="21">
        <v>0</v>
      </c>
      <c r="I267" s="21">
        <f>G267*AO267</f>
        <v>0</v>
      </c>
      <c r="J267" s="21">
        <f>G267*AP267</f>
        <v>0</v>
      </c>
      <c r="K267" s="21">
        <f>G267*H267</f>
        <v>0</v>
      </c>
      <c r="L267" s="21">
        <v>0</v>
      </c>
      <c r="M267" s="21">
        <f>G267*L267</f>
        <v>0</v>
      </c>
      <c r="N267" s="35" t="s">
        <v>452</v>
      </c>
      <c r="O267" s="39"/>
      <c r="Z267" s="41">
        <f>IF(AQ267="5",BJ267,0)</f>
        <v>0</v>
      </c>
      <c r="AB267" s="41">
        <f>IF(AQ267="1",BH267,0)</f>
        <v>0</v>
      </c>
      <c r="AC267" s="41">
        <f>IF(AQ267="1",BI267,0)</f>
        <v>0</v>
      </c>
      <c r="AD267" s="41">
        <f>IF(AQ267="7",BH267,0)</f>
        <v>0</v>
      </c>
      <c r="AE267" s="41">
        <f>IF(AQ267="7",BI267,0)</f>
        <v>0</v>
      </c>
      <c r="AF267" s="41">
        <f>IF(AQ267="2",BH267,0)</f>
        <v>0</v>
      </c>
      <c r="AG267" s="41">
        <f>IF(AQ267="2",BI267,0)</f>
        <v>0</v>
      </c>
      <c r="AH267" s="41">
        <f>IF(AQ267="0",BJ267,0)</f>
        <v>0</v>
      </c>
      <c r="AI267" s="31"/>
      <c r="AJ267" s="21">
        <f>IF(AN267=0,K267,0)</f>
        <v>0</v>
      </c>
      <c r="AK267" s="21">
        <f>IF(AN267=15,K267,0)</f>
        <v>0</v>
      </c>
      <c r="AL267" s="21">
        <f>IF(AN267=21,K267,0)</f>
        <v>0</v>
      </c>
      <c r="AN267" s="41">
        <v>21</v>
      </c>
      <c r="AO267" s="41">
        <f>H267*0</f>
        <v>0</v>
      </c>
      <c r="AP267" s="41">
        <f>H267*(1-0)</f>
        <v>0</v>
      </c>
      <c r="AQ267" s="42" t="s">
        <v>105</v>
      </c>
      <c r="AV267" s="41">
        <f>AW267+AX267</f>
        <v>0</v>
      </c>
      <c r="AW267" s="41">
        <f>G267*AO267</f>
        <v>0</v>
      </c>
      <c r="AX267" s="41">
        <f>G267*AP267</f>
        <v>0</v>
      </c>
      <c r="AY267" s="44" t="s">
        <v>504</v>
      </c>
      <c r="AZ267" s="44" t="s">
        <v>519</v>
      </c>
      <c r="BA267" s="31" t="s">
        <v>520</v>
      </c>
      <c r="BC267" s="41">
        <f>AW267+AX267</f>
        <v>0</v>
      </c>
      <c r="BD267" s="41">
        <f>H267/(100-BE267)*100</f>
        <v>0</v>
      </c>
      <c r="BE267" s="41">
        <v>0</v>
      </c>
      <c r="BF267" s="41">
        <f>M267</f>
        <v>0</v>
      </c>
      <c r="BH267" s="21">
        <f>G267*AO267</f>
        <v>0</v>
      </c>
      <c r="BI267" s="21">
        <f>G267*AP267</f>
        <v>0</v>
      </c>
      <c r="BJ267" s="21">
        <f>G267*H267</f>
        <v>0</v>
      </c>
      <c r="BK267" s="21" t="s">
        <v>525</v>
      </c>
      <c r="BL267" s="41" t="s">
        <v>251</v>
      </c>
    </row>
    <row r="268" spans="1:64" ht="12.75">
      <c r="A268" s="4" t="s">
        <v>749</v>
      </c>
      <c r="B268" s="13"/>
      <c r="C268" s="13" t="s">
        <v>254</v>
      </c>
      <c r="D268" s="125" t="s">
        <v>415</v>
      </c>
      <c r="E268" s="126"/>
      <c r="F268" s="13" t="s">
        <v>433</v>
      </c>
      <c r="G268" s="21">
        <v>1</v>
      </c>
      <c r="H268" s="21">
        <v>0</v>
      </c>
      <c r="I268" s="21">
        <f>G268*AO268</f>
        <v>0</v>
      </c>
      <c r="J268" s="21">
        <f>G268*AP268</f>
        <v>0</v>
      </c>
      <c r="K268" s="21">
        <f>G268*H268</f>
        <v>0</v>
      </c>
      <c r="L268" s="21">
        <v>0</v>
      </c>
      <c r="M268" s="21">
        <f>G268*L268</f>
        <v>0</v>
      </c>
      <c r="N268" s="35" t="s">
        <v>452</v>
      </c>
      <c r="O268" s="39"/>
      <c r="Z268" s="41">
        <f>IF(AQ268="5",BJ268,0)</f>
        <v>0</v>
      </c>
      <c r="AB268" s="41">
        <f>IF(AQ268="1",BH268,0)</f>
        <v>0</v>
      </c>
      <c r="AC268" s="41">
        <f>IF(AQ268="1",BI268,0)</f>
        <v>0</v>
      </c>
      <c r="AD268" s="41">
        <f>IF(AQ268="7",BH268,0)</f>
        <v>0</v>
      </c>
      <c r="AE268" s="41">
        <f>IF(AQ268="7",BI268,0)</f>
        <v>0</v>
      </c>
      <c r="AF268" s="41">
        <f>IF(AQ268="2",BH268,0)</f>
        <v>0</v>
      </c>
      <c r="AG268" s="41">
        <f>IF(AQ268="2",BI268,0)</f>
        <v>0</v>
      </c>
      <c r="AH268" s="41">
        <f>IF(AQ268="0",BJ268,0)</f>
        <v>0</v>
      </c>
      <c r="AI268" s="31"/>
      <c r="AJ268" s="21">
        <f>IF(AN268=0,K268,0)</f>
        <v>0</v>
      </c>
      <c r="AK268" s="21">
        <f>IF(AN268=15,K268,0)</f>
        <v>0</v>
      </c>
      <c r="AL268" s="21">
        <f>IF(AN268=21,K268,0)</f>
        <v>0</v>
      </c>
      <c r="AN268" s="41">
        <v>21</v>
      </c>
      <c r="AO268" s="41">
        <f>H268*0</f>
        <v>0</v>
      </c>
      <c r="AP268" s="41">
        <f>H268*(1-0)</f>
        <v>0</v>
      </c>
      <c r="AQ268" s="42" t="s">
        <v>105</v>
      </c>
      <c r="AV268" s="41">
        <f>AW268+AX268</f>
        <v>0</v>
      </c>
      <c r="AW268" s="41">
        <f>G268*AO268</f>
        <v>0</v>
      </c>
      <c r="AX268" s="41">
        <f>G268*AP268</f>
        <v>0</v>
      </c>
      <c r="AY268" s="44" t="s">
        <v>504</v>
      </c>
      <c r="AZ268" s="44" t="s">
        <v>519</v>
      </c>
      <c r="BA268" s="31" t="s">
        <v>520</v>
      </c>
      <c r="BC268" s="41">
        <f>AW268+AX268</f>
        <v>0</v>
      </c>
      <c r="BD268" s="41">
        <f>H268/(100-BE268)*100</f>
        <v>0</v>
      </c>
      <c r="BE268" s="41">
        <v>0</v>
      </c>
      <c r="BF268" s="41">
        <f>M268</f>
        <v>0</v>
      </c>
      <c r="BH268" s="21">
        <f>G268*AO268</f>
        <v>0</v>
      </c>
      <c r="BI268" s="21">
        <f>G268*AP268</f>
        <v>0</v>
      </c>
      <c r="BJ268" s="21">
        <f>G268*H268</f>
        <v>0</v>
      </c>
      <c r="BK268" s="21" t="s">
        <v>525</v>
      </c>
      <c r="BL268" s="41" t="s">
        <v>251</v>
      </c>
    </row>
    <row r="269" spans="1:47" ht="12.75">
      <c r="A269" s="5"/>
      <c r="B269" s="14"/>
      <c r="C269" s="14" t="s">
        <v>255</v>
      </c>
      <c r="D269" s="127" t="s">
        <v>416</v>
      </c>
      <c r="E269" s="128"/>
      <c r="F269" s="19" t="s">
        <v>6</v>
      </c>
      <c r="G269" s="19" t="s">
        <v>6</v>
      </c>
      <c r="H269" s="19" t="s">
        <v>6</v>
      </c>
      <c r="I269" s="47">
        <f>SUM(I270:I270)</f>
        <v>0</v>
      </c>
      <c r="J269" s="47">
        <f>SUM(J270:J270)</f>
        <v>0</v>
      </c>
      <c r="K269" s="47">
        <f>SUM(K270:K270)</f>
        <v>0</v>
      </c>
      <c r="L269" s="31"/>
      <c r="M269" s="47">
        <f>SUM(M270:M270)</f>
        <v>0</v>
      </c>
      <c r="N269" s="36"/>
      <c r="O269" s="39"/>
      <c r="AI269" s="31"/>
      <c r="AS269" s="47">
        <f>SUM(AJ270:AJ270)</f>
        <v>0</v>
      </c>
      <c r="AT269" s="47">
        <f>SUM(AK270:AK270)</f>
        <v>0</v>
      </c>
      <c r="AU269" s="47">
        <f>SUM(AL270:AL270)</f>
        <v>0</v>
      </c>
    </row>
    <row r="270" spans="1:64" ht="12.75">
      <c r="A270" s="4" t="s">
        <v>750</v>
      </c>
      <c r="B270" s="13"/>
      <c r="C270" s="13" t="s">
        <v>256</v>
      </c>
      <c r="D270" s="125" t="s">
        <v>417</v>
      </c>
      <c r="E270" s="126"/>
      <c r="F270" s="13" t="s">
        <v>433</v>
      </c>
      <c r="G270" s="21">
        <v>1</v>
      </c>
      <c r="H270" s="21">
        <v>0</v>
      </c>
      <c r="I270" s="21">
        <f>G270*AO270</f>
        <v>0</v>
      </c>
      <c r="J270" s="21">
        <f>G270*AP270</f>
        <v>0</v>
      </c>
      <c r="K270" s="21">
        <f>G270*H270</f>
        <v>0</v>
      </c>
      <c r="L270" s="21">
        <v>0</v>
      </c>
      <c r="M270" s="21">
        <f>G270*L270</f>
        <v>0</v>
      </c>
      <c r="N270" s="35" t="s">
        <v>452</v>
      </c>
      <c r="O270" s="39"/>
      <c r="Z270" s="41">
        <f>IF(AQ270="5",BJ270,0)</f>
        <v>0</v>
      </c>
      <c r="AB270" s="41">
        <f>IF(AQ270="1",BH270,0)</f>
        <v>0</v>
      </c>
      <c r="AC270" s="41">
        <f>IF(AQ270="1",BI270,0)</f>
        <v>0</v>
      </c>
      <c r="AD270" s="41">
        <f>IF(AQ270="7",BH270,0)</f>
        <v>0</v>
      </c>
      <c r="AE270" s="41">
        <f>IF(AQ270="7",BI270,0)</f>
        <v>0</v>
      </c>
      <c r="AF270" s="41">
        <f>IF(AQ270="2",BH270,0)</f>
        <v>0</v>
      </c>
      <c r="AG270" s="41">
        <f>IF(AQ270="2",BI270,0)</f>
        <v>0</v>
      </c>
      <c r="AH270" s="41">
        <f>IF(AQ270="0",BJ270,0)</f>
        <v>0</v>
      </c>
      <c r="AI270" s="31"/>
      <c r="AJ270" s="21">
        <f>IF(AN270=0,K270,0)</f>
        <v>0</v>
      </c>
      <c r="AK270" s="21">
        <f>IF(AN270=15,K270,0)</f>
        <v>0</v>
      </c>
      <c r="AL270" s="21">
        <f>IF(AN270=21,K270,0)</f>
        <v>0</v>
      </c>
      <c r="AN270" s="41">
        <v>21</v>
      </c>
      <c r="AO270" s="41">
        <f>H270*0</f>
        <v>0</v>
      </c>
      <c r="AP270" s="41">
        <f>H270*(1-0)</f>
        <v>0</v>
      </c>
      <c r="AQ270" s="42" t="s">
        <v>105</v>
      </c>
      <c r="AV270" s="41">
        <f>AW270+AX270</f>
        <v>0</v>
      </c>
      <c r="AW270" s="41">
        <f>G270*AO270</f>
        <v>0</v>
      </c>
      <c r="AX270" s="41">
        <f>G270*AP270</f>
        <v>0</v>
      </c>
      <c r="AY270" s="44" t="s">
        <v>505</v>
      </c>
      <c r="AZ270" s="44" t="s">
        <v>519</v>
      </c>
      <c r="BA270" s="31" t="s">
        <v>520</v>
      </c>
      <c r="BC270" s="41">
        <f>AW270+AX270</f>
        <v>0</v>
      </c>
      <c r="BD270" s="41">
        <f>H270/(100-BE270)*100</f>
        <v>0</v>
      </c>
      <c r="BE270" s="41">
        <v>0</v>
      </c>
      <c r="BF270" s="41">
        <f>M270</f>
        <v>0</v>
      </c>
      <c r="BH270" s="21">
        <f>G270*AO270</f>
        <v>0</v>
      </c>
      <c r="BI270" s="21">
        <f>G270*AP270</f>
        <v>0</v>
      </c>
      <c r="BJ270" s="21">
        <f>G270*H270</f>
        <v>0</v>
      </c>
      <c r="BK270" s="21" t="s">
        <v>525</v>
      </c>
      <c r="BL270" s="41" t="s">
        <v>255</v>
      </c>
    </row>
    <row r="271" spans="1:47" ht="12.75">
      <c r="A271" s="5"/>
      <c r="B271" s="14"/>
      <c r="C271" s="14" t="s">
        <v>257</v>
      </c>
      <c r="D271" s="127" t="s">
        <v>418</v>
      </c>
      <c r="E271" s="128"/>
      <c r="F271" s="19" t="s">
        <v>6</v>
      </c>
      <c r="G271" s="19" t="s">
        <v>6</v>
      </c>
      <c r="H271" s="19" t="s">
        <v>6</v>
      </c>
      <c r="I271" s="47">
        <f>SUM(I272:I272)</f>
        <v>0</v>
      </c>
      <c r="J271" s="47">
        <f>SUM(J272:J272)</f>
        <v>0</v>
      </c>
      <c r="K271" s="47">
        <f>SUM(K272:K272)</f>
        <v>0</v>
      </c>
      <c r="L271" s="31"/>
      <c r="M271" s="47">
        <f>SUM(M272:M272)</f>
        <v>0</v>
      </c>
      <c r="N271" s="36"/>
      <c r="O271" s="39"/>
      <c r="AI271" s="31"/>
      <c r="AS271" s="47">
        <f>SUM(AJ272:AJ272)</f>
        <v>0</v>
      </c>
      <c r="AT271" s="47">
        <f>SUM(AK272:AK272)</f>
        <v>0</v>
      </c>
      <c r="AU271" s="47">
        <f>SUM(AL272:AL272)</f>
        <v>0</v>
      </c>
    </row>
    <row r="272" spans="1:64" ht="12.75">
      <c r="A272" s="7" t="s">
        <v>751</v>
      </c>
      <c r="B272" s="16"/>
      <c r="C272" s="16" t="s">
        <v>258</v>
      </c>
      <c r="D272" s="129" t="s">
        <v>419</v>
      </c>
      <c r="E272" s="130"/>
      <c r="F272" s="16" t="s">
        <v>433</v>
      </c>
      <c r="G272" s="23">
        <v>1</v>
      </c>
      <c r="H272" s="23">
        <v>0</v>
      </c>
      <c r="I272" s="23">
        <f>G272*AO272</f>
        <v>0</v>
      </c>
      <c r="J272" s="23">
        <f>G272*AP272</f>
        <v>0</v>
      </c>
      <c r="K272" s="23">
        <f>G272*H272</f>
        <v>0</v>
      </c>
      <c r="L272" s="23">
        <v>0</v>
      </c>
      <c r="M272" s="23">
        <f>G272*L272</f>
        <v>0</v>
      </c>
      <c r="N272" s="38" t="s">
        <v>452</v>
      </c>
      <c r="O272" s="39"/>
      <c r="Z272" s="41">
        <f>IF(AQ272="5",BJ272,0)</f>
        <v>0</v>
      </c>
      <c r="AB272" s="41">
        <f>IF(AQ272="1",BH272,0)</f>
        <v>0</v>
      </c>
      <c r="AC272" s="41">
        <f>IF(AQ272="1",BI272,0)</f>
        <v>0</v>
      </c>
      <c r="AD272" s="41">
        <f>IF(AQ272="7",BH272,0)</f>
        <v>0</v>
      </c>
      <c r="AE272" s="41">
        <f>IF(AQ272="7",BI272,0)</f>
        <v>0</v>
      </c>
      <c r="AF272" s="41">
        <f>IF(AQ272="2",BH272,0)</f>
        <v>0</v>
      </c>
      <c r="AG272" s="41">
        <f>IF(AQ272="2",BI272,0)</f>
        <v>0</v>
      </c>
      <c r="AH272" s="41">
        <f>IF(AQ272="0",BJ272,0)</f>
        <v>0</v>
      </c>
      <c r="AI272" s="31"/>
      <c r="AJ272" s="21">
        <f>IF(AN272=0,K272,0)</f>
        <v>0</v>
      </c>
      <c r="AK272" s="21">
        <f>IF(AN272=15,K272,0)</f>
        <v>0</v>
      </c>
      <c r="AL272" s="21">
        <f>IF(AN272=21,K272,0)</f>
        <v>0</v>
      </c>
      <c r="AN272" s="41">
        <v>21</v>
      </c>
      <c r="AO272" s="41">
        <f>H272*0</f>
        <v>0</v>
      </c>
      <c r="AP272" s="41">
        <f>H272*(1-0)</f>
        <v>0</v>
      </c>
      <c r="AQ272" s="42" t="s">
        <v>105</v>
      </c>
      <c r="AV272" s="41">
        <f>AW272+AX272</f>
        <v>0</v>
      </c>
      <c r="AW272" s="41">
        <f>G272*AO272</f>
        <v>0</v>
      </c>
      <c r="AX272" s="41">
        <f>G272*AP272</f>
        <v>0</v>
      </c>
      <c r="AY272" s="44" t="s">
        <v>506</v>
      </c>
      <c r="AZ272" s="44" t="s">
        <v>519</v>
      </c>
      <c r="BA272" s="31" t="s">
        <v>520</v>
      </c>
      <c r="BC272" s="41">
        <f>AW272+AX272</f>
        <v>0</v>
      </c>
      <c r="BD272" s="41">
        <f>H272/(100-BE272)*100</f>
        <v>0</v>
      </c>
      <c r="BE272" s="41">
        <v>0</v>
      </c>
      <c r="BF272" s="41">
        <f>M272</f>
        <v>0</v>
      </c>
      <c r="BH272" s="21">
        <f>G272*AO272</f>
        <v>0</v>
      </c>
      <c r="BI272" s="21">
        <f>G272*AP272</f>
        <v>0</v>
      </c>
      <c r="BJ272" s="21">
        <f>G272*H272</f>
        <v>0</v>
      </c>
      <c r="BK272" s="21" t="s">
        <v>525</v>
      </c>
      <c r="BL272" s="41" t="s">
        <v>257</v>
      </c>
    </row>
    <row r="273" spans="1:14" ht="12.75">
      <c r="A273" s="8"/>
      <c r="B273" s="8"/>
      <c r="C273" s="8"/>
      <c r="D273" s="8"/>
      <c r="E273" s="8"/>
      <c r="F273" s="8"/>
      <c r="G273" s="8"/>
      <c r="H273" s="8"/>
      <c r="I273" s="131" t="s">
        <v>444</v>
      </c>
      <c r="J273" s="132"/>
      <c r="K273" s="48">
        <f>K12+K18+K20+K30+K33+K37+K41+K47+K53+K55+K59+K61+K63+K66+K70+K88+K96+K99+K103+K106+K108+K114+K122+K128+K134+K138+K141+K153+K158+K160+K164+K173+K175+K178+K186+K203+K205+K207+K209+K211+K220+K237+K265+K269+K271</f>
        <v>0</v>
      </c>
      <c r="L273" s="8"/>
      <c r="M273" s="8"/>
      <c r="N273" s="8"/>
    </row>
    <row r="274" ht="11.25" customHeight="1">
      <c r="A274" s="9" t="s">
        <v>122</v>
      </c>
    </row>
    <row r="275" spans="1:14" ht="12.75">
      <c r="A275" s="133"/>
      <c r="B275" s="134"/>
      <c r="C275" s="134"/>
      <c r="D275" s="134"/>
      <c r="E275" s="134"/>
      <c r="F275" s="134"/>
      <c r="G275" s="134"/>
      <c r="H275" s="134"/>
      <c r="I275" s="134"/>
      <c r="J275" s="134"/>
      <c r="K275" s="134"/>
      <c r="L275" s="134"/>
      <c r="M275" s="134"/>
      <c r="N275" s="134"/>
    </row>
  </sheetData>
  <sheetProtection/>
  <mergeCells count="195">
    <mergeCell ref="A1:N1"/>
    <mergeCell ref="A2:C3"/>
    <mergeCell ref="D2:E3"/>
    <mergeCell ref="F2:G3"/>
    <mergeCell ref="H2:H3"/>
    <mergeCell ref="I2:I3"/>
    <mergeCell ref="J2:N3"/>
    <mergeCell ref="A4:C5"/>
    <mergeCell ref="D4:E5"/>
    <mergeCell ref="F4:G5"/>
    <mergeCell ref="H4:H5"/>
    <mergeCell ref="I4:I5"/>
    <mergeCell ref="J4:N5"/>
    <mergeCell ref="A6:C7"/>
    <mergeCell ref="D6:E7"/>
    <mergeCell ref="F6:G7"/>
    <mergeCell ref="H6:H7"/>
    <mergeCell ref="I6:I7"/>
    <mergeCell ref="J6:N7"/>
    <mergeCell ref="A8:C9"/>
    <mergeCell ref="D8:E9"/>
    <mergeCell ref="F8:G9"/>
    <mergeCell ref="H8:H9"/>
    <mergeCell ref="I8:I9"/>
    <mergeCell ref="J8:N9"/>
    <mergeCell ref="D10:E10"/>
    <mergeCell ref="I10:K10"/>
    <mergeCell ref="L10:M10"/>
    <mergeCell ref="D11:E11"/>
    <mergeCell ref="D12:E12"/>
    <mergeCell ref="D13:E13"/>
    <mergeCell ref="D18:E18"/>
    <mergeCell ref="D19:E19"/>
    <mergeCell ref="D20:E20"/>
    <mergeCell ref="D21:E21"/>
    <mergeCell ref="D24:E24"/>
    <mergeCell ref="D26:E26"/>
    <mergeCell ref="D27:E27"/>
    <mergeCell ref="D29:E29"/>
    <mergeCell ref="D30:E30"/>
    <mergeCell ref="D31:E31"/>
    <mergeCell ref="D32:E32"/>
    <mergeCell ref="D33:E33"/>
    <mergeCell ref="D34:E34"/>
    <mergeCell ref="D37:E37"/>
    <mergeCell ref="D38:E38"/>
    <mergeCell ref="D39:E39"/>
    <mergeCell ref="D40:E40"/>
    <mergeCell ref="D41:E41"/>
    <mergeCell ref="D42:E42"/>
    <mergeCell ref="D47:E47"/>
    <mergeCell ref="D48:E48"/>
    <mergeCell ref="D50:E50"/>
    <mergeCell ref="D51:E51"/>
    <mergeCell ref="D53:E53"/>
    <mergeCell ref="D54:E54"/>
    <mergeCell ref="D55:E55"/>
    <mergeCell ref="D56:E56"/>
    <mergeCell ref="D58:E58"/>
    <mergeCell ref="D59:E59"/>
    <mergeCell ref="D60:E60"/>
    <mergeCell ref="D61:E61"/>
    <mergeCell ref="D62:E62"/>
    <mergeCell ref="D63:E63"/>
    <mergeCell ref="D64:E64"/>
    <mergeCell ref="D66:E66"/>
    <mergeCell ref="D67:E67"/>
    <mergeCell ref="D68:E68"/>
    <mergeCell ref="D69:E69"/>
    <mergeCell ref="D70:E70"/>
    <mergeCell ref="D71:E71"/>
    <mergeCell ref="D73:E73"/>
    <mergeCell ref="D78:E78"/>
    <mergeCell ref="D80:E80"/>
    <mergeCell ref="D86:E86"/>
    <mergeCell ref="D88:E88"/>
    <mergeCell ref="D89:E89"/>
    <mergeCell ref="D95:E95"/>
    <mergeCell ref="D96:E96"/>
    <mergeCell ref="D97:E97"/>
    <mergeCell ref="D99:E99"/>
    <mergeCell ref="D100:E100"/>
    <mergeCell ref="D101:E101"/>
    <mergeCell ref="D102:E102"/>
    <mergeCell ref="D103:E103"/>
    <mergeCell ref="D104:E104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8:E118"/>
    <mergeCell ref="D120:E120"/>
    <mergeCell ref="D122:E122"/>
    <mergeCell ref="D123:E123"/>
    <mergeCell ref="D125:E125"/>
    <mergeCell ref="D126:E126"/>
    <mergeCell ref="D127:E127"/>
    <mergeCell ref="D128:E128"/>
    <mergeCell ref="D129:E129"/>
    <mergeCell ref="D131:E131"/>
    <mergeCell ref="D134:E134"/>
    <mergeCell ref="D135:E135"/>
    <mergeCell ref="D136:E136"/>
    <mergeCell ref="D137:E137"/>
    <mergeCell ref="D138:E138"/>
    <mergeCell ref="D139:E139"/>
    <mergeCell ref="D141:E141"/>
    <mergeCell ref="D142:E142"/>
    <mergeCell ref="D143:E143"/>
    <mergeCell ref="D148:E148"/>
    <mergeCell ref="D153:E153"/>
    <mergeCell ref="D154:E154"/>
    <mergeCell ref="D156:E156"/>
    <mergeCell ref="D158:E158"/>
    <mergeCell ref="D159:E159"/>
    <mergeCell ref="D160:E160"/>
    <mergeCell ref="D161:E161"/>
    <mergeCell ref="D163:E163"/>
    <mergeCell ref="D164:E164"/>
    <mergeCell ref="D165:E165"/>
    <mergeCell ref="D168:E168"/>
    <mergeCell ref="D170:E170"/>
    <mergeCell ref="D171:E171"/>
    <mergeCell ref="D173:E173"/>
    <mergeCell ref="D174:E174"/>
    <mergeCell ref="D175:E175"/>
    <mergeCell ref="D176:E176"/>
    <mergeCell ref="D178:E178"/>
    <mergeCell ref="D179:E179"/>
    <mergeCell ref="D180:E180"/>
    <mergeCell ref="D181:E181"/>
    <mergeCell ref="D182:E182"/>
    <mergeCell ref="D184:E184"/>
    <mergeCell ref="D186:E186"/>
    <mergeCell ref="D187:E187"/>
    <mergeCell ref="D191:E191"/>
    <mergeCell ref="D201:E201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7:E217"/>
    <mergeCell ref="D218:E218"/>
    <mergeCell ref="D220:E220"/>
    <mergeCell ref="D221:E221"/>
    <mergeCell ref="D223:E223"/>
    <mergeCell ref="D225:E225"/>
    <mergeCell ref="D227:E227"/>
    <mergeCell ref="D228:E228"/>
    <mergeCell ref="D229:E229"/>
    <mergeCell ref="D231:E231"/>
    <mergeCell ref="D233:E233"/>
    <mergeCell ref="D235:E235"/>
    <mergeCell ref="D236:E236"/>
    <mergeCell ref="D237:E237"/>
    <mergeCell ref="D238:E238"/>
    <mergeCell ref="D239:E239"/>
    <mergeCell ref="D240:E240"/>
    <mergeCell ref="D250:E250"/>
    <mergeCell ref="D252:E252"/>
    <mergeCell ref="D254:E254"/>
    <mergeCell ref="D255:E255"/>
    <mergeCell ref="D244:E244"/>
    <mergeCell ref="D248:E248"/>
    <mergeCell ref="D249:E249"/>
    <mergeCell ref="D269:E269"/>
    <mergeCell ref="D256:E256"/>
    <mergeCell ref="D257:E257"/>
    <mergeCell ref="D258:E258"/>
    <mergeCell ref="D260:E260"/>
    <mergeCell ref="D261:E261"/>
    <mergeCell ref="D262:E262"/>
    <mergeCell ref="D270:E270"/>
    <mergeCell ref="D271:E271"/>
    <mergeCell ref="D272:E272"/>
    <mergeCell ref="I273:J273"/>
    <mergeCell ref="A275:N275"/>
    <mergeCell ref="D264:E264"/>
    <mergeCell ref="D265:E265"/>
    <mergeCell ref="D266:E266"/>
    <mergeCell ref="D267:E267"/>
    <mergeCell ref="D268:E268"/>
  </mergeCells>
  <printOptions/>
  <pageMargins left="0.394" right="0.394" top="0.591" bottom="0.591" header="0.5" footer="0.5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PageLayoutView="0" workbookViewId="0" topLeftCell="A1">
      <pane ySplit="10" topLeftCell="A47" activePane="bottomLeft" state="frozen"/>
      <selection pane="topLeft" activeCell="A1" sqref="A1"/>
      <selection pane="bottomLeft" activeCell="C64" sqref="C64"/>
    </sheetView>
  </sheetViews>
  <sheetFormatPr defaultColWidth="11.57421875" defaultRowHeight="12.75"/>
  <cols>
    <col min="1" max="2" width="7.140625" style="0" customWidth="1"/>
    <col min="3" max="3" width="57.28125" style="0" customWidth="1"/>
    <col min="4" max="4" width="22.140625" style="0" customWidth="1"/>
    <col min="5" max="5" width="21.00390625" style="0" customWidth="1"/>
    <col min="6" max="6" width="20.8515625" style="0" customWidth="1"/>
    <col min="7" max="7" width="37.28125" style="0" customWidth="1"/>
    <col min="8" max="9" width="0" style="0" hidden="1" customWidth="1"/>
  </cols>
  <sheetData>
    <row r="1" spans="1:7" ht="72.75" customHeight="1">
      <c r="A1" s="154" t="s">
        <v>528</v>
      </c>
      <c r="B1" s="155"/>
      <c r="C1" s="155"/>
      <c r="D1" s="155"/>
      <c r="E1" s="155"/>
      <c r="F1" s="155"/>
      <c r="G1" s="155"/>
    </row>
    <row r="2" spans="1:8" ht="12.75">
      <c r="A2" s="156" t="s">
        <v>1</v>
      </c>
      <c r="B2" s="157"/>
      <c r="C2" s="158" t="str">
        <f>'Stavební rozpočet'!D2</f>
        <v>Stavební úprava technického a společenského zázemí obce II.Etapa</v>
      </c>
      <c r="D2" s="160" t="s">
        <v>420</v>
      </c>
      <c r="E2" s="160" t="s">
        <v>6</v>
      </c>
      <c r="F2" s="161" t="s">
        <v>438</v>
      </c>
      <c r="G2" s="164" t="str">
        <f>'Stavební rozpočet'!J2</f>
        <v> </v>
      </c>
      <c r="H2" s="39"/>
    </row>
    <row r="3" spans="1:8" ht="12.75">
      <c r="A3" s="153"/>
      <c r="B3" s="134"/>
      <c r="C3" s="159"/>
      <c r="D3" s="134"/>
      <c r="E3" s="134"/>
      <c r="F3" s="134"/>
      <c r="G3" s="151"/>
      <c r="H3" s="39"/>
    </row>
    <row r="4" spans="1:8" ht="12.75">
      <c r="A4" s="147" t="s">
        <v>2</v>
      </c>
      <c r="B4" s="134"/>
      <c r="C4" s="133" t="str">
        <f>'Stavební rozpočet'!D4</f>
        <v>Stavební práce</v>
      </c>
      <c r="D4" s="150" t="s">
        <v>421</v>
      </c>
      <c r="E4" s="150" t="s">
        <v>435</v>
      </c>
      <c r="F4" s="133" t="s">
        <v>439</v>
      </c>
      <c r="G4" s="163" t="str">
        <f>'Stavební rozpočet'!J4</f>
        <v> </v>
      </c>
      <c r="H4" s="39"/>
    </row>
    <row r="5" spans="1:8" ht="12.75">
      <c r="A5" s="153"/>
      <c r="B5" s="134"/>
      <c r="C5" s="134"/>
      <c r="D5" s="134"/>
      <c r="E5" s="134"/>
      <c r="F5" s="134"/>
      <c r="G5" s="151"/>
      <c r="H5" s="39"/>
    </row>
    <row r="6" spans="1:8" ht="12.75">
      <c r="A6" s="147" t="s">
        <v>3</v>
      </c>
      <c r="B6" s="134"/>
      <c r="C6" s="133" t="str">
        <f>'Stavební rozpočet'!D6</f>
        <v>Obec Dukovany k.ú. Dukovany (633810)</v>
      </c>
      <c r="D6" s="150" t="s">
        <v>422</v>
      </c>
      <c r="E6" s="150" t="s">
        <v>6</v>
      </c>
      <c r="F6" s="133" t="s">
        <v>440</v>
      </c>
      <c r="G6" s="163" t="str">
        <f>'Stavební rozpočet'!J6</f>
        <v> </v>
      </c>
      <c r="H6" s="39"/>
    </row>
    <row r="7" spans="1:8" ht="12.75">
      <c r="A7" s="153"/>
      <c r="B7" s="134"/>
      <c r="C7" s="134"/>
      <c r="D7" s="134"/>
      <c r="E7" s="134"/>
      <c r="F7" s="134"/>
      <c r="G7" s="151"/>
      <c r="H7" s="39"/>
    </row>
    <row r="8" spans="1:8" ht="12.75">
      <c r="A8" s="147" t="s">
        <v>441</v>
      </c>
      <c r="B8" s="134"/>
      <c r="C8" s="133" t="str">
        <f>'Stavební rozpočet'!J8</f>
        <v> </v>
      </c>
      <c r="D8" s="150" t="s">
        <v>423</v>
      </c>
      <c r="E8" s="150" t="s">
        <v>435</v>
      </c>
      <c r="F8" s="150" t="s">
        <v>423</v>
      </c>
      <c r="G8" s="163" t="str">
        <f>'Stavební rozpočet'!H8</f>
        <v>20.10.2021</v>
      </c>
      <c r="H8" s="39"/>
    </row>
    <row r="9" spans="1:8" ht="12.75">
      <c r="A9" s="148"/>
      <c r="B9" s="149"/>
      <c r="C9" s="149"/>
      <c r="D9" s="149"/>
      <c r="E9" s="149"/>
      <c r="F9" s="149"/>
      <c r="G9" s="152"/>
      <c r="H9" s="39"/>
    </row>
    <row r="10" spans="1:8" ht="12.75">
      <c r="A10" s="49" t="s">
        <v>123</v>
      </c>
      <c r="B10" s="53" t="s">
        <v>124</v>
      </c>
      <c r="C10" s="56" t="s">
        <v>262</v>
      </c>
      <c r="D10" s="57" t="s">
        <v>529</v>
      </c>
      <c r="E10" s="57" t="s">
        <v>530</v>
      </c>
      <c r="F10" s="57" t="s">
        <v>531</v>
      </c>
      <c r="G10" s="58" t="s">
        <v>532</v>
      </c>
      <c r="H10" s="40"/>
    </row>
    <row r="11" spans="1:9" ht="12.75">
      <c r="A11" s="50"/>
      <c r="B11" s="54" t="s">
        <v>125</v>
      </c>
      <c r="C11" s="54" t="s">
        <v>264</v>
      </c>
      <c r="D11" s="60">
        <f>'Stavební rozpočet'!I12</f>
        <v>0</v>
      </c>
      <c r="E11" s="60">
        <f>'Stavební rozpočet'!J12</f>
        <v>0</v>
      </c>
      <c r="F11" s="60">
        <f>'Stavební rozpočet'!K12</f>
        <v>0</v>
      </c>
      <c r="G11" s="62">
        <f>'Stavební rozpočet'!M12</f>
        <v>0</v>
      </c>
      <c r="H11" s="59" t="s">
        <v>533</v>
      </c>
      <c r="I11" s="41">
        <f aca="true" t="shared" si="0" ref="I11:I56">IF(H11="F",0,F11)</f>
        <v>0</v>
      </c>
    </row>
    <row r="12" spans="1:9" ht="12.75">
      <c r="A12" s="51"/>
      <c r="B12" s="17" t="s">
        <v>7</v>
      </c>
      <c r="C12" s="17" t="s">
        <v>266</v>
      </c>
      <c r="D12" s="41">
        <f>'Stavební rozpočet'!I18</f>
        <v>0</v>
      </c>
      <c r="E12" s="41">
        <f>'Stavební rozpočet'!J18</f>
        <v>0</v>
      </c>
      <c r="F12" s="41">
        <f>'Stavební rozpočet'!K18</f>
        <v>0</v>
      </c>
      <c r="G12" s="63">
        <f>'Stavební rozpočet'!M18</f>
        <v>0</v>
      </c>
      <c r="H12" s="59" t="s">
        <v>533</v>
      </c>
      <c r="I12" s="41">
        <f t="shared" si="0"/>
        <v>0</v>
      </c>
    </row>
    <row r="13" spans="1:9" ht="12.75">
      <c r="A13" s="51"/>
      <c r="B13" s="17" t="s">
        <v>19</v>
      </c>
      <c r="C13" s="17" t="s">
        <v>268</v>
      </c>
      <c r="D13" s="41">
        <f>'Stavební rozpočet'!I20</f>
        <v>0</v>
      </c>
      <c r="E13" s="41">
        <f>'Stavební rozpočet'!J20</f>
        <v>0</v>
      </c>
      <c r="F13" s="41">
        <f>'Stavební rozpočet'!K20</f>
        <v>0</v>
      </c>
      <c r="G13" s="63">
        <f>'Stavební rozpočet'!M20</f>
        <v>0</v>
      </c>
      <c r="H13" s="59" t="s">
        <v>533</v>
      </c>
      <c r="I13" s="41">
        <f t="shared" si="0"/>
        <v>0</v>
      </c>
    </row>
    <row r="14" spans="1:9" ht="12.75">
      <c r="A14" s="51"/>
      <c r="B14" s="17" t="s">
        <v>21</v>
      </c>
      <c r="C14" s="17" t="s">
        <v>274</v>
      </c>
      <c r="D14" s="41">
        <f>'Stavební rozpočet'!I30</f>
        <v>0</v>
      </c>
      <c r="E14" s="41">
        <f>'Stavební rozpočet'!J30</f>
        <v>0</v>
      </c>
      <c r="F14" s="41">
        <f>'Stavební rozpočet'!K30</f>
        <v>0</v>
      </c>
      <c r="G14" s="63">
        <f>'Stavební rozpočet'!M30</f>
        <v>0.259505</v>
      </c>
      <c r="H14" s="59" t="s">
        <v>533</v>
      </c>
      <c r="I14" s="41">
        <f t="shared" si="0"/>
        <v>0</v>
      </c>
    </row>
    <row r="15" spans="1:9" ht="12.75">
      <c r="A15" s="51"/>
      <c r="B15" s="17" t="s">
        <v>22</v>
      </c>
      <c r="C15" s="17" t="s">
        <v>277</v>
      </c>
      <c r="D15" s="41">
        <f>'Stavební rozpočet'!I33</f>
        <v>0</v>
      </c>
      <c r="E15" s="41">
        <f>'Stavební rozpočet'!J33</f>
        <v>0</v>
      </c>
      <c r="F15" s="41">
        <f>'Stavební rozpočet'!K33</f>
        <v>0</v>
      </c>
      <c r="G15" s="63">
        <f>'Stavební rozpočet'!M33</f>
        <v>0</v>
      </c>
      <c r="H15" s="59" t="s">
        <v>533</v>
      </c>
      <c r="I15" s="41">
        <f t="shared" si="0"/>
        <v>0</v>
      </c>
    </row>
    <row r="16" spans="1:9" ht="12.75">
      <c r="A16" s="51"/>
      <c r="B16" s="17" t="s">
        <v>23</v>
      </c>
      <c r="C16" s="17" t="s">
        <v>279</v>
      </c>
      <c r="D16" s="41">
        <f>'Stavební rozpočet'!I37</f>
        <v>0</v>
      </c>
      <c r="E16" s="41">
        <f>'Stavební rozpočet'!J37</f>
        <v>0</v>
      </c>
      <c r="F16" s="41">
        <f>'Stavební rozpočet'!K37</f>
        <v>0</v>
      </c>
      <c r="G16" s="63">
        <f>'Stavební rozpočet'!M37</f>
        <v>91.61619999999999</v>
      </c>
      <c r="H16" s="59" t="s">
        <v>533</v>
      </c>
      <c r="I16" s="41">
        <f t="shared" si="0"/>
        <v>0</v>
      </c>
    </row>
    <row r="17" spans="1:9" ht="12.75">
      <c r="A17" s="51"/>
      <c r="B17" s="17" t="s">
        <v>25</v>
      </c>
      <c r="C17" s="17" t="s">
        <v>283</v>
      </c>
      <c r="D17" s="41">
        <f>'Stavební rozpočet'!I41</f>
        <v>0</v>
      </c>
      <c r="E17" s="41">
        <f>'Stavební rozpočet'!J41</f>
        <v>0</v>
      </c>
      <c r="F17" s="41">
        <f>'Stavební rozpočet'!K41</f>
        <v>0</v>
      </c>
      <c r="G17" s="63">
        <f>'Stavební rozpočet'!M41</f>
        <v>0</v>
      </c>
      <c r="H17" s="59" t="s">
        <v>533</v>
      </c>
      <c r="I17" s="41">
        <f t="shared" si="0"/>
        <v>0</v>
      </c>
    </row>
    <row r="18" spans="1:9" ht="12.75">
      <c r="A18" s="51"/>
      <c r="B18" s="17" t="s">
        <v>33</v>
      </c>
      <c r="C18" s="17" t="s">
        <v>285</v>
      </c>
      <c r="D18" s="41">
        <f>'Stavební rozpočet'!I47</f>
        <v>0</v>
      </c>
      <c r="E18" s="41">
        <f>'Stavební rozpočet'!J47</f>
        <v>0</v>
      </c>
      <c r="F18" s="41">
        <f>'Stavební rozpočet'!K47</f>
        <v>0</v>
      </c>
      <c r="G18" s="63">
        <f>'Stavební rozpočet'!M47</f>
        <v>79.5284052</v>
      </c>
      <c r="H18" s="59" t="s">
        <v>533</v>
      </c>
      <c r="I18" s="41">
        <f t="shared" si="0"/>
        <v>0</v>
      </c>
    </row>
    <row r="19" spans="1:9" ht="12.75">
      <c r="A19" s="51"/>
      <c r="B19" s="17" t="s">
        <v>34</v>
      </c>
      <c r="C19" s="17" t="s">
        <v>289</v>
      </c>
      <c r="D19" s="41">
        <f>'Stavební rozpočet'!I53</f>
        <v>0</v>
      </c>
      <c r="E19" s="41">
        <f>'Stavební rozpočet'!J53</f>
        <v>0</v>
      </c>
      <c r="F19" s="41">
        <f>'Stavební rozpočet'!K53</f>
        <v>0</v>
      </c>
      <c r="G19" s="63">
        <f>'Stavební rozpočet'!M53</f>
        <v>7.056</v>
      </c>
      <c r="H19" s="59" t="s">
        <v>533</v>
      </c>
      <c r="I19" s="41">
        <f t="shared" si="0"/>
        <v>0</v>
      </c>
    </row>
    <row r="20" spans="1:9" ht="12.75">
      <c r="A20" s="51"/>
      <c r="B20" s="17" t="s">
        <v>37</v>
      </c>
      <c r="C20" s="17" t="s">
        <v>291</v>
      </c>
      <c r="D20" s="41">
        <f>'Stavební rozpočet'!I55</f>
        <v>0</v>
      </c>
      <c r="E20" s="41">
        <f>'Stavební rozpočet'!J55</f>
        <v>0</v>
      </c>
      <c r="F20" s="41">
        <f>'Stavební rozpočet'!K55</f>
        <v>0</v>
      </c>
      <c r="G20" s="63">
        <f>'Stavební rozpočet'!M55</f>
        <v>2.0920211999999996</v>
      </c>
      <c r="H20" s="59" t="s">
        <v>533</v>
      </c>
      <c r="I20" s="41">
        <f t="shared" si="0"/>
        <v>0</v>
      </c>
    </row>
    <row r="21" spans="1:9" ht="12.75">
      <c r="A21" s="51"/>
      <c r="B21" s="17" t="s">
        <v>40</v>
      </c>
      <c r="C21" s="17" t="s">
        <v>294</v>
      </c>
      <c r="D21" s="41">
        <f>'Stavební rozpočet'!I59</f>
        <v>0</v>
      </c>
      <c r="E21" s="41">
        <f>'Stavební rozpočet'!J59</f>
        <v>0</v>
      </c>
      <c r="F21" s="41">
        <f>'Stavební rozpočet'!K59</f>
        <v>0</v>
      </c>
      <c r="G21" s="63">
        <f>'Stavební rozpočet'!M59</f>
        <v>16.6776428</v>
      </c>
      <c r="H21" s="59" t="s">
        <v>533</v>
      </c>
      <c r="I21" s="41">
        <f t="shared" si="0"/>
        <v>0</v>
      </c>
    </row>
    <row r="22" spans="1:9" ht="12.75">
      <c r="A22" s="51"/>
      <c r="B22" s="17" t="s">
        <v>62</v>
      </c>
      <c r="C22" s="17" t="s">
        <v>296</v>
      </c>
      <c r="D22" s="41">
        <f>'Stavební rozpočet'!I61</f>
        <v>0</v>
      </c>
      <c r="E22" s="41">
        <f>'Stavební rozpočet'!J61</f>
        <v>0</v>
      </c>
      <c r="F22" s="41">
        <f>'Stavební rozpočet'!K61</f>
        <v>0</v>
      </c>
      <c r="G22" s="63">
        <f>'Stavební rozpočet'!M61</f>
        <v>37.72818</v>
      </c>
      <c r="H22" s="59" t="s">
        <v>533</v>
      </c>
      <c r="I22" s="41">
        <f t="shared" si="0"/>
        <v>0</v>
      </c>
    </row>
    <row r="23" spans="1:9" ht="12.75">
      <c r="A23" s="51"/>
      <c r="B23" s="17" t="s">
        <v>65</v>
      </c>
      <c r="C23" s="17" t="s">
        <v>298</v>
      </c>
      <c r="D23" s="41">
        <f>'Stavební rozpočet'!I63</f>
        <v>0</v>
      </c>
      <c r="E23" s="41">
        <f>'Stavební rozpočet'!J63</f>
        <v>0</v>
      </c>
      <c r="F23" s="41">
        <f>'Stavební rozpočet'!K63</f>
        <v>0</v>
      </c>
      <c r="G23" s="63">
        <f>'Stavební rozpočet'!M63</f>
        <v>17.083312799999998</v>
      </c>
      <c r="H23" s="59" t="s">
        <v>533</v>
      </c>
      <c r="I23" s="41">
        <f t="shared" si="0"/>
        <v>0</v>
      </c>
    </row>
    <row r="24" spans="1:9" ht="12.75">
      <c r="A24" s="51"/>
      <c r="B24" s="17" t="s">
        <v>66</v>
      </c>
      <c r="C24" s="17" t="s">
        <v>300</v>
      </c>
      <c r="D24" s="41">
        <f>'Stavební rozpočet'!I66</f>
        <v>0</v>
      </c>
      <c r="E24" s="41">
        <f>'Stavební rozpočet'!J66</f>
        <v>0</v>
      </c>
      <c r="F24" s="41">
        <f>'Stavební rozpočet'!K66</f>
        <v>0</v>
      </c>
      <c r="G24" s="63">
        <f>'Stavební rozpočet'!M66</f>
        <v>8.6179639</v>
      </c>
      <c r="H24" s="59" t="s">
        <v>533</v>
      </c>
      <c r="I24" s="41">
        <f t="shared" si="0"/>
        <v>0</v>
      </c>
    </row>
    <row r="25" spans="1:9" ht="12.75">
      <c r="A25" s="51"/>
      <c r="B25" s="17" t="s">
        <v>67</v>
      </c>
      <c r="C25" s="17" t="s">
        <v>304</v>
      </c>
      <c r="D25" s="41">
        <f>'Stavební rozpočet'!I70</f>
        <v>0</v>
      </c>
      <c r="E25" s="41">
        <f>'Stavební rozpočet'!J70</f>
        <v>0</v>
      </c>
      <c r="F25" s="41">
        <f>'Stavební rozpočet'!K70</f>
        <v>0</v>
      </c>
      <c r="G25" s="63">
        <f>'Stavební rozpočet'!M70</f>
        <v>30.3998974</v>
      </c>
      <c r="H25" s="59" t="s">
        <v>533</v>
      </c>
      <c r="I25" s="41">
        <f t="shared" si="0"/>
        <v>0</v>
      </c>
    </row>
    <row r="26" spans="1:9" ht="12.75">
      <c r="A26" s="51"/>
      <c r="B26" s="17" t="s">
        <v>68</v>
      </c>
      <c r="C26" s="17" t="s">
        <v>309</v>
      </c>
      <c r="D26" s="41">
        <f>'Stavební rozpočet'!I88</f>
        <v>0</v>
      </c>
      <c r="E26" s="41">
        <f>'Stavební rozpočet'!J88</f>
        <v>0</v>
      </c>
      <c r="F26" s="41">
        <f>'Stavební rozpočet'!K88</f>
        <v>0</v>
      </c>
      <c r="G26" s="63">
        <f>'Stavební rozpočet'!M88</f>
        <v>1.3630893</v>
      </c>
      <c r="H26" s="59" t="s">
        <v>533</v>
      </c>
      <c r="I26" s="41">
        <f t="shared" si="0"/>
        <v>0</v>
      </c>
    </row>
    <row r="27" spans="1:9" ht="12.75">
      <c r="A27" s="51"/>
      <c r="B27" s="17" t="s">
        <v>69</v>
      </c>
      <c r="C27" s="17" t="s">
        <v>312</v>
      </c>
      <c r="D27" s="41">
        <f>'Stavební rozpočet'!I96</f>
        <v>0</v>
      </c>
      <c r="E27" s="41">
        <f>'Stavební rozpočet'!J96</f>
        <v>0</v>
      </c>
      <c r="F27" s="41">
        <f>'Stavební rozpočet'!K96</f>
        <v>0</v>
      </c>
      <c r="G27" s="63">
        <f>'Stavební rozpočet'!M96</f>
        <v>0.025950599999999997</v>
      </c>
      <c r="H27" s="59" t="s">
        <v>533</v>
      </c>
      <c r="I27" s="41">
        <f t="shared" si="0"/>
        <v>0</v>
      </c>
    </row>
    <row r="28" spans="1:9" ht="12.75">
      <c r="A28" s="51"/>
      <c r="B28" s="17" t="s">
        <v>159</v>
      </c>
      <c r="C28" s="17" t="s">
        <v>314</v>
      </c>
      <c r="D28" s="41">
        <f>'Stavební rozpočet'!I99</f>
        <v>0</v>
      </c>
      <c r="E28" s="41">
        <f>'Stavební rozpočet'!J99</f>
        <v>0</v>
      </c>
      <c r="F28" s="41">
        <f>'Stavební rozpočet'!K99</f>
        <v>0</v>
      </c>
      <c r="G28" s="63">
        <f>'Stavební rozpočet'!M99</f>
        <v>0.8040493</v>
      </c>
      <c r="H28" s="59" t="s">
        <v>533</v>
      </c>
      <c r="I28" s="41">
        <f t="shared" si="0"/>
        <v>0</v>
      </c>
    </row>
    <row r="29" spans="1:9" ht="12.75">
      <c r="A29" s="51"/>
      <c r="B29" s="17" t="s">
        <v>163</v>
      </c>
      <c r="C29" s="17" t="s">
        <v>318</v>
      </c>
      <c r="D29" s="41">
        <f>'Stavební rozpočet'!I103</f>
        <v>0</v>
      </c>
      <c r="E29" s="41">
        <f>'Stavební rozpočet'!J103</f>
        <v>0</v>
      </c>
      <c r="F29" s="41">
        <f>'Stavební rozpočet'!K103</f>
        <v>0</v>
      </c>
      <c r="G29" s="63">
        <f>'Stavební rozpočet'!M103</f>
        <v>0.00076</v>
      </c>
      <c r="H29" s="59" t="s">
        <v>533</v>
      </c>
      <c r="I29" s="41">
        <f t="shared" si="0"/>
        <v>0</v>
      </c>
    </row>
    <row r="30" spans="1:9" ht="12.75">
      <c r="A30" s="51"/>
      <c r="B30" s="17" t="s">
        <v>165</v>
      </c>
      <c r="C30" s="17" t="s">
        <v>320</v>
      </c>
      <c r="D30" s="41">
        <f>'Stavební rozpočet'!I106</f>
        <v>0</v>
      </c>
      <c r="E30" s="41">
        <f>'Stavební rozpočet'!J106</f>
        <v>0</v>
      </c>
      <c r="F30" s="41">
        <f>'Stavební rozpočet'!K106</f>
        <v>0</v>
      </c>
      <c r="G30" s="63">
        <f>'Stavební rozpočet'!M106</f>
        <v>0.61304</v>
      </c>
      <c r="H30" s="59" t="s">
        <v>533</v>
      </c>
      <c r="I30" s="41">
        <f t="shared" si="0"/>
        <v>0</v>
      </c>
    </row>
    <row r="31" spans="1:9" ht="12.75">
      <c r="A31" s="51"/>
      <c r="B31" s="17" t="s">
        <v>167</v>
      </c>
      <c r="C31" s="17" t="s">
        <v>322</v>
      </c>
      <c r="D31" s="41">
        <f>'Stavební rozpočet'!I108</f>
        <v>0</v>
      </c>
      <c r="E31" s="41">
        <f>'Stavební rozpočet'!J108</f>
        <v>0</v>
      </c>
      <c r="F31" s="41">
        <f>'Stavební rozpočet'!K108</f>
        <v>0</v>
      </c>
      <c r="G31" s="63">
        <f>'Stavební rozpočet'!M108</f>
        <v>6.3708186</v>
      </c>
      <c r="H31" s="59" t="s">
        <v>533</v>
      </c>
      <c r="I31" s="41">
        <f t="shared" si="0"/>
        <v>0</v>
      </c>
    </row>
    <row r="32" spans="1:9" ht="12.75">
      <c r="A32" s="51"/>
      <c r="B32" s="17" t="s">
        <v>173</v>
      </c>
      <c r="C32" s="17" t="s">
        <v>328</v>
      </c>
      <c r="D32" s="41">
        <f>'Stavební rozpočet'!I114</f>
        <v>0</v>
      </c>
      <c r="E32" s="41">
        <f>'Stavební rozpočet'!J114</f>
        <v>0</v>
      </c>
      <c r="F32" s="41">
        <f>'Stavební rozpočet'!K114</f>
        <v>0</v>
      </c>
      <c r="G32" s="63">
        <f>'Stavební rozpočet'!M114</f>
        <v>7.453788</v>
      </c>
      <c r="H32" s="59" t="s">
        <v>533</v>
      </c>
      <c r="I32" s="41">
        <f t="shared" si="0"/>
        <v>0</v>
      </c>
    </row>
    <row r="33" spans="1:9" ht="12.75">
      <c r="A33" s="51"/>
      <c r="B33" s="17" t="s">
        <v>178</v>
      </c>
      <c r="C33" s="17" t="s">
        <v>333</v>
      </c>
      <c r="D33" s="41">
        <f>'Stavební rozpočet'!I122</f>
        <v>0</v>
      </c>
      <c r="E33" s="41">
        <f>'Stavební rozpočet'!J122</f>
        <v>0</v>
      </c>
      <c r="F33" s="41">
        <f>'Stavební rozpočet'!K122</f>
        <v>0</v>
      </c>
      <c r="G33" s="63">
        <f>'Stavební rozpočet'!M122</f>
        <v>47.278865599999996</v>
      </c>
      <c r="H33" s="59" t="s">
        <v>533</v>
      </c>
      <c r="I33" s="41">
        <f t="shared" si="0"/>
        <v>0</v>
      </c>
    </row>
    <row r="34" spans="1:9" ht="12.75">
      <c r="A34" s="51"/>
      <c r="B34" s="17" t="s">
        <v>183</v>
      </c>
      <c r="C34" s="17" t="s">
        <v>338</v>
      </c>
      <c r="D34" s="41">
        <f>'Stavební rozpočet'!I128</f>
        <v>0</v>
      </c>
      <c r="E34" s="41">
        <f>'Stavební rozpočet'!J128</f>
        <v>0</v>
      </c>
      <c r="F34" s="41">
        <f>'Stavební rozpočet'!K128</f>
        <v>0</v>
      </c>
      <c r="G34" s="63">
        <f>'Stavební rozpočet'!M128</f>
        <v>0.06506</v>
      </c>
      <c r="H34" s="59" t="s">
        <v>533</v>
      </c>
      <c r="I34" s="41">
        <f t="shared" si="0"/>
        <v>0</v>
      </c>
    </row>
    <row r="35" spans="1:9" ht="12.75">
      <c r="A35" s="51"/>
      <c r="B35" s="17" t="s">
        <v>186</v>
      </c>
      <c r="C35" s="17" t="s">
        <v>341</v>
      </c>
      <c r="D35" s="41">
        <f>'Stavební rozpočet'!I134</f>
        <v>0</v>
      </c>
      <c r="E35" s="41">
        <f>'Stavební rozpočet'!J134</f>
        <v>0</v>
      </c>
      <c r="F35" s="41">
        <f>'Stavební rozpočet'!K134</f>
        <v>0</v>
      </c>
      <c r="G35" s="63">
        <f>'Stavební rozpočet'!M134</f>
        <v>0.020960100000000002</v>
      </c>
      <c r="H35" s="59" t="s">
        <v>533</v>
      </c>
      <c r="I35" s="41">
        <f t="shared" si="0"/>
        <v>0</v>
      </c>
    </row>
    <row r="36" spans="1:9" ht="12.75">
      <c r="A36" s="51"/>
      <c r="B36" s="17" t="s">
        <v>190</v>
      </c>
      <c r="C36" s="17" t="s">
        <v>345</v>
      </c>
      <c r="D36" s="41">
        <f>'Stavební rozpočet'!I138</f>
        <v>0</v>
      </c>
      <c r="E36" s="41">
        <f>'Stavební rozpočet'!J138</f>
        <v>0</v>
      </c>
      <c r="F36" s="41">
        <f>'Stavební rozpočet'!K138</f>
        <v>0</v>
      </c>
      <c r="G36" s="63">
        <f>'Stavební rozpočet'!M138</f>
        <v>1E-05</v>
      </c>
      <c r="H36" s="59" t="s">
        <v>533</v>
      </c>
      <c r="I36" s="41">
        <f t="shared" si="0"/>
        <v>0</v>
      </c>
    </row>
    <row r="37" spans="1:9" ht="12.75">
      <c r="A37" s="51"/>
      <c r="B37" s="17" t="s">
        <v>192</v>
      </c>
      <c r="C37" s="17" t="s">
        <v>347</v>
      </c>
      <c r="D37" s="41">
        <f>'Stavební rozpočet'!I141</f>
        <v>0</v>
      </c>
      <c r="E37" s="41">
        <f>'Stavební rozpočet'!J141</f>
        <v>0</v>
      </c>
      <c r="F37" s="41">
        <f>'Stavební rozpočet'!K141</f>
        <v>0</v>
      </c>
      <c r="G37" s="63">
        <f>'Stavební rozpočet'!M141</f>
        <v>0.36486999999999997</v>
      </c>
      <c r="H37" s="59" t="s">
        <v>533</v>
      </c>
      <c r="I37" s="41">
        <f t="shared" si="0"/>
        <v>0</v>
      </c>
    </row>
    <row r="38" spans="1:9" ht="12.75">
      <c r="A38" s="51"/>
      <c r="B38" s="17" t="s">
        <v>89</v>
      </c>
      <c r="C38" s="17" t="s">
        <v>351</v>
      </c>
      <c r="D38" s="41">
        <f>'Stavební rozpočet'!I153</f>
        <v>0</v>
      </c>
      <c r="E38" s="41">
        <f>'Stavební rozpočet'!J153</f>
        <v>0</v>
      </c>
      <c r="F38" s="41">
        <f>'Stavební rozpočet'!K153</f>
        <v>0</v>
      </c>
      <c r="G38" s="63">
        <f>'Stavební rozpočet'!M153</f>
        <v>187.90996330000002</v>
      </c>
      <c r="H38" s="59" t="s">
        <v>533</v>
      </c>
      <c r="I38" s="41">
        <f t="shared" si="0"/>
        <v>0</v>
      </c>
    </row>
    <row r="39" spans="1:9" ht="12.75">
      <c r="A39" s="51"/>
      <c r="B39" s="17" t="s">
        <v>93</v>
      </c>
      <c r="C39" s="17" t="s">
        <v>354</v>
      </c>
      <c r="D39" s="41">
        <f>'Stavební rozpočet'!I158</f>
        <v>0</v>
      </c>
      <c r="E39" s="41">
        <f>'Stavební rozpočet'!J158</f>
        <v>0</v>
      </c>
      <c r="F39" s="41">
        <f>'Stavební rozpočet'!K158</f>
        <v>0</v>
      </c>
      <c r="G39" s="63">
        <f>'Stavební rozpočet'!M158</f>
        <v>0</v>
      </c>
      <c r="H39" s="59" t="s">
        <v>533</v>
      </c>
      <c r="I39" s="41">
        <f t="shared" si="0"/>
        <v>0</v>
      </c>
    </row>
    <row r="40" spans="1:9" ht="12.75">
      <c r="A40" s="51"/>
      <c r="B40" s="17" t="s">
        <v>95</v>
      </c>
      <c r="C40" s="17" t="s">
        <v>356</v>
      </c>
      <c r="D40" s="41">
        <f>'Stavební rozpočet'!I160</f>
        <v>0</v>
      </c>
      <c r="E40" s="41">
        <f>'Stavební rozpočet'!J160</f>
        <v>0</v>
      </c>
      <c r="F40" s="41">
        <f>'Stavební rozpočet'!K160</f>
        <v>0</v>
      </c>
      <c r="G40" s="63">
        <f>'Stavební rozpočet'!M160</f>
        <v>32.583600000000004</v>
      </c>
      <c r="H40" s="59" t="s">
        <v>533</v>
      </c>
      <c r="I40" s="41">
        <f t="shared" si="0"/>
        <v>0</v>
      </c>
    </row>
    <row r="41" spans="1:9" ht="12.75">
      <c r="A41" s="51"/>
      <c r="B41" s="17" t="s">
        <v>100</v>
      </c>
      <c r="C41" s="17" t="s">
        <v>359</v>
      </c>
      <c r="D41" s="41">
        <f>'Stavební rozpočet'!I164</f>
        <v>0</v>
      </c>
      <c r="E41" s="41">
        <f>'Stavební rozpočet'!J164</f>
        <v>0</v>
      </c>
      <c r="F41" s="41">
        <f>'Stavební rozpočet'!K164</f>
        <v>0</v>
      </c>
      <c r="G41" s="63">
        <f>'Stavební rozpočet'!M164</f>
        <v>16.2904188</v>
      </c>
      <c r="H41" s="59" t="s">
        <v>533</v>
      </c>
      <c r="I41" s="41">
        <f t="shared" si="0"/>
        <v>0</v>
      </c>
    </row>
    <row r="42" spans="1:9" ht="12.75">
      <c r="A42" s="51"/>
      <c r="B42" s="17" t="s">
        <v>101</v>
      </c>
      <c r="C42" s="17" t="s">
        <v>364</v>
      </c>
      <c r="D42" s="41">
        <f>'Stavební rozpočet'!I173</f>
        <v>0</v>
      </c>
      <c r="E42" s="41">
        <f>'Stavební rozpočet'!J173</f>
        <v>0</v>
      </c>
      <c r="F42" s="41">
        <f>'Stavební rozpočet'!K173</f>
        <v>0</v>
      </c>
      <c r="G42" s="63">
        <f>'Stavební rozpočet'!M173</f>
        <v>0.0260372</v>
      </c>
      <c r="H42" s="59" t="s">
        <v>533</v>
      </c>
      <c r="I42" s="41">
        <f t="shared" si="0"/>
        <v>0</v>
      </c>
    </row>
    <row r="43" spans="1:9" ht="12.75">
      <c r="A43" s="51"/>
      <c r="B43" s="17" t="s">
        <v>102</v>
      </c>
      <c r="C43" s="17" t="s">
        <v>366</v>
      </c>
      <c r="D43" s="41">
        <f>'Stavební rozpočet'!I175</f>
        <v>0</v>
      </c>
      <c r="E43" s="41">
        <f>'Stavební rozpočet'!J175</f>
        <v>0</v>
      </c>
      <c r="F43" s="41">
        <f>'Stavební rozpočet'!K175</f>
        <v>0</v>
      </c>
      <c r="G43" s="63">
        <f>'Stavební rozpočet'!M175</f>
        <v>2.27133</v>
      </c>
      <c r="H43" s="59" t="s">
        <v>533</v>
      </c>
      <c r="I43" s="41">
        <f t="shared" si="0"/>
        <v>0</v>
      </c>
    </row>
    <row r="44" spans="1:9" ht="12.75">
      <c r="A44" s="51"/>
      <c r="B44" s="17" t="s">
        <v>103</v>
      </c>
      <c r="C44" s="17" t="s">
        <v>368</v>
      </c>
      <c r="D44" s="41">
        <f>'Stavební rozpočet'!I178</f>
        <v>0</v>
      </c>
      <c r="E44" s="41">
        <f>'Stavební rozpočet'!J178</f>
        <v>0</v>
      </c>
      <c r="F44" s="41">
        <f>'Stavební rozpočet'!K178</f>
        <v>0</v>
      </c>
      <c r="G44" s="63">
        <f>'Stavební rozpočet'!M178</f>
        <v>47.48368860000001</v>
      </c>
      <c r="H44" s="59" t="s">
        <v>533</v>
      </c>
      <c r="I44" s="41">
        <f t="shared" si="0"/>
        <v>0</v>
      </c>
    </row>
    <row r="45" spans="1:9" ht="12.75">
      <c r="A45" s="51"/>
      <c r="B45" s="17" t="s">
        <v>104</v>
      </c>
      <c r="C45" s="17" t="s">
        <v>374</v>
      </c>
      <c r="D45" s="41">
        <f>'Stavební rozpočet'!I186</f>
        <v>0</v>
      </c>
      <c r="E45" s="41">
        <f>'Stavební rozpočet'!J186</f>
        <v>0</v>
      </c>
      <c r="F45" s="41">
        <f>'Stavební rozpočet'!K186</f>
        <v>0</v>
      </c>
      <c r="G45" s="63">
        <f>'Stavební rozpočet'!M186</f>
        <v>436.3463183</v>
      </c>
      <c r="H45" s="59" t="s">
        <v>533</v>
      </c>
      <c r="I45" s="41">
        <f t="shared" si="0"/>
        <v>0</v>
      </c>
    </row>
    <row r="46" spans="1:9" ht="12.75">
      <c r="A46" s="51"/>
      <c r="B46" s="17" t="s">
        <v>215</v>
      </c>
      <c r="C46" s="17" t="s">
        <v>378</v>
      </c>
      <c r="D46" s="41">
        <f>'Stavební rozpočet'!I203</f>
        <v>0</v>
      </c>
      <c r="E46" s="41">
        <f>'Stavební rozpočet'!J203</f>
        <v>0</v>
      </c>
      <c r="F46" s="41">
        <f>'Stavební rozpočet'!K203</f>
        <v>0</v>
      </c>
      <c r="G46" s="63">
        <f>'Stavební rozpočet'!M203</f>
        <v>0</v>
      </c>
      <c r="H46" s="59" t="s">
        <v>533</v>
      </c>
      <c r="I46" s="41">
        <f t="shared" si="0"/>
        <v>0</v>
      </c>
    </row>
    <row r="47" spans="1:9" ht="12.75">
      <c r="A47" s="51"/>
      <c r="B47" s="17" t="s">
        <v>217</v>
      </c>
      <c r="C47" s="17" t="s">
        <v>320</v>
      </c>
      <c r="D47" s="41">
        <f>'Stavební rozpočet'!I205</f>
        <v>0</v>
      </c>
      <c r="E47" s="41">
        <f>'Stavební rozpočet'!J205</f>
        <v>0</v>
      </c>
      <c r="F47" s="41">
        <f>'Stavební rozpočet'!K205</f>
        <v>0</v>
      </c>
      <c r="G47" s="63">
        <f>'Stavební rozpočet'!M205</f>
        <v>0</v>
      </c>
      <c r="H47" s="59" t="s">
        <v>533</v>
      </c>
      <c r="I47" s="41">
        <f t="shared" si="0"/>
        <v>0</v>
      </c>
    </row>
    <row r="48" spans="1:9" ht="12.75">
      <c r="A48" s="51"/>
      <c r="B48" s="17" t="s">
        <v>219</v>
      </c>
      <c r="C48" s="17" t="s">
        <v>328</v>
      </c>
      <c r="D48" s="41">
        <f>'Stavební rozpočet'!I207</f>
        <v>0</v>
      </c>
      <c r="E48" s="41">
        <f>'Stavební rozpočet'!J207</f>
        <v>0</v>
      </c>
      <c r="F48" s="41">
        <f>'Stavební rozpočet'!K207</f>
        <v>0</v>
      </c>
      <c r="G48" s="63">
        <f>'Stavební rozpočet'!M207</f>
        <v>0</v>
      </c>
      <c r="H48" s="59" t="s">
        <v>533</v>
      </c>
      <c r="I48" s="41">
        <f t="shared" si="0"/>
        <v>0</v>
      </c>
    </row>
    <row r="49" spans="1:9" ht="12.75">
      <c r="A49" s="51"/>
      <c r="B49" s="17" t="s">
        <v>221</v>
      </c>
      <c r="C49" s="17" t="s">
        <v>338</v>
      </c>
      <c r="D49" s="41">
        <f>'Stavební rozpočet'!I209</f>
        <v>0</v>
      </c>
      <c r="E49" s="41">
        <f>'Stavební rozpočet'!J209</f>
        <v>0</v>
      </c>
      <c r="F49" s="41">
        <f>'Stavební rozpočet'!K209</f>
        <v>0</v>
      </c>
      <c r="G49" s="63">
        <f>'Stavební rozpočet'!M209</f>
        <v>0</v>
      </c>
      <c r="H49" s="59" t="s">
        <v>533</v>
      </c>
      <c r="I49" s="41">
        <f t="shared" si="0"/>
        <v>0</v>
      </c>
    </row>
    <row r="50" spans="1:9" ht="12.75">
      <c r="A50" s="51"/>
      <c r="B50" s="17" t="s">
        <v>223</v>
      </c>
      <c r="C50" s="17" t="s">
        <v>383</v>
      </c>
      <c r="D50" s="41">
        <f>'Stavební rozpočet'!I211</f>
        <v>0</v>
      </c>
      <c r="E50" s="41">
        <f>'Stavební rozpočet'!J211</f>
        <v>0</v>
      </c>
      <c r="F50" s="41">
        <f>'Stavební rozpočet'!K211</f>
        <v>0</v>
      </c>
      <c r="G50" s="63">
        <f>'Stavební rozpočet'!M211</f>
        <v>0</v>
      </c>
      <c r="H50" s="59" t="s">
        <v>533</v>
      </c>
      <c r="I50" s="41">
        <f t="shared" si="0"/>
        <v>0</v>
      </c>
    </row>
    <row r="51" spans="1:9" ht="12.75">
      <c r="A51" s="51"/>
      <c r="B51" s="17" t="s">
        <v>227</v>
      </c>
      <c r="C51" s="17" t="s">
        <v>387</v>
      </c>
      <c r="D51" s="41">
        <f>'Stavební rozpočet'!I220</f>
        <v>0</v>
      </c>
      <c r="E51" s="41">
        <f>'Stavební rozpočet'!J220</f>
        <v>0</v>
      </c>
      <c r="F51" s="41">
        <f>'Stavební rozpočet'!K220</f>
        <v>0</v>
      </c>
      <c r="G51" s="63">
        <f>'Stavební rozpočet'!M220</f>
        <v>0</v>
      </c>
      <c r="H51" s="59" t="s">
        <v>533</v>
      </c>
      <c r="I51" s="41">
        <f t="shared" si="0"/>
        <v>0</v>
      </c>
    </row>
    <row r="52" spans="1:9" ht="12.75">
      <c r="A52" s="51"/>
      <c r="B52" s="17"/>
      <c r="C52" s="17" t="s">
        <v>398</v>
      </c>
      <c r="D52" s="41">
        <f>'Stavební rozpočet'!I237</f>
        <v>0</v>
      </c>
      <c r="E52" s="41">
        <f>'Stavební rozpočet'!J237</f>
        <v>0</v>
      </c>
      <c r="F52" s="41">
        <f>'Stavební rozpočet'!K237</f>
        <v>0</v>
      </c>
      <c r="G52" s="63">
        <f>'Stavební rozpočet'!M237</f>
        <v>103.97206999999999</v>
      </c>
      <c r="H52" s="59" t="s">
        <v>533</v>
      </c>
      <c r="I52" s="41">
        <f t="shared" si="0"/>
        <v>0</v>
      </c>
    </row>
    <row r="53" spans="1:9" ht="12.75">
      <c r="A53" s="51"/>
      <c r="B53" s="17"/>
      <c r="C53" s="17" t="s">
        <v>412</v>
      </c>
      <c r="D53" s="41">
        <f>'Stavební rozpočet'!I264</f>
        <v>0</v>
      </c>
      <c r="E53" s="41">
        <f>'Stavební rozpočet'!J264</f>
        <v>0</v>
      </c>
      <c r="F53" s="41">
        <f>'Stavební rozpočet'!K264</f>
        <v>0</v>
      </c>
      <c r="G53" s="63">
        <f>'Stavební rozpočet'!M264</f>
        <v>0</v>
      </c>
      <c r="H53" s="59" t="s">
        <v>534</v>
      </c>
      <c r="I53" s="41">
        <f t="shared" si="0"/>
        <v>0</v>
      </c>
    </row>
    <row r="54" spans="1:9" ht="12.75">
      <c r="A54" s="51"/>
      <c r="B54" s="17" t="s">
        <v>251</v>
      </c>
      <c r="C54" s="17" t="s">
        <v>413</v>
      </c>
      <c r="D54" s="41">
        <f>'Stavební rozpočet'!I265</f>
        <v>0</v>
      </c>
      <c r="E54" s="41">
        <f>'Stavební rozpočet'!J265</f>
        <v>0</v>
      </c>
      <c r="F54" s="41">
        <f>'Stavební rozpočet'!K265</f>
        <v>0</v>
      </c>
      <c r="G54" s="63">
        <f>'Stavební rozpočet'!M265</f>
        <v>0</v>
      </c>
      <c r="H54" s="59" t="s">
        <v>533</v>
      </c>
      <c r="I54" s="41">
        <f t="shared" si="0"/>
        <v>0</v>
      </c>
    </row>
    <row r="55" spans="1:9" ht="12.75">
      <c r="A55" s="51"/>
      <c r="B55" s="17" t="s">
        <v>255</v>
      </c>
      <c r="C55" s="17" t="s">
        <v>416</v>
      </c>
      <c r="D55" s="41">
        <f>'Stavební rozpočet'!I269</f>
        <v>0</v>
      </c>
      <c r="E55" s="41">
        <f>'Stavební rozpočet'!J269</f>
        <v>0</v>
      </c>
      <c r="F55" s="41">
        <f>'Stavební rozpočet'!K269</f>
        <v>0</v>
      </c>
      <c r="G55" s="63">
        <f>'Stavební rozpočet'!M269</f>
        <v>0</v>
      </c>
      <c r="H55" s="59" t="s">
        <v>533</v>
      </c>
      <c r="I55" s="41">
        <f t="shared" si="0"/>
        <v>0</v>
      </c>
    </row>
    <row r="56" spans="1:9" ht="12.75">
      <c r="A56" s="52"/>
      <c r="B56" s="55" t="s">
        <v>257</v>
      </c>
      <c r="C56" s="55" t="s">
        <v>418</v>
      </c>
      <c r="D56" s="61">
        <f>'Stavební rozpočet'!I271</f>
        <v>0</v>
      </c>
      <c r="E56" s="61">
        <f>'Stavební rozpočet'!J271</f>
        <v>0</v>
      </c>
      <c r="F56" s="61">
        <f>'Stavební rozpočet'!K271</f>
        <v>0</v>
      </c>
      <c r="G56" s="64">
        <f>'Stavební rozpočet'!M271</f>
        <v>0</v>
      </c>
      <c r="H56" s="59" t="s">
        <v>533</v>
      </c>
      <c r="I56" s="41">
        <f t="shared" si="0"/>
        <v>0</v>
      </c>
    </row>
    <row r="57" spans="1:7" ht="12.75">
      <c r="A57" s="8"/>
      <c r="B57" s="8"/>
      <c r="C57" s="8"/>
      <c r="D57" s="8"/>
      <c r="E57" s="27" t="s">
        <v>444</v>
      </c>
      <c r="F57" s="48">
        <f>SUM(I11:I56)</f>
        <v>0</v>
      </c>
      <c r="G57" s="8"/>
    </row>
  </sheetData>
  <sheetProtection/>
  <mergeCells count="25">
    <mergeCell ref="A1:G1"/>
    <mergeCell ref="A2:B3"/>
    <mergeCell ref="C2:C3"/>
    <mergeCell ref="D2:D3"/>
    <mergeCell ref="E2:E3"/>
    <mergeCell ref="F2:F3"/>
    <mergeCell ref="G2:G3"/>
    <mergeCell ref="A4:B5"/>
    <mergeCell ref="C4:C5"/>
    <mergeCell ref="D4:D5"/>
    <mergeCell ref="E4:E5"/>
    <mergeCell ref="F4:F5"/>
    <mergeCell ref="G4:G5"/>
    <mergeCell ref="A6:B7"/>
    <mergeCell ref="C6:C7"/>
    <mergeCell ref="D6:D7"/>
    <mergeCell ref="E6:E7"/>
    <mergeCell ref="F6:F7"/>
    <mergeCell ref="G6:G7"/>
    <mergeCell ref="A8:B9"/>
    <mergeCell ref="C8:C9"/>
    <mergeCell ref="D8:D9"/>
    <mergeCell ref="E8:E9"/>
    <mergeCell ref="F8:F9"/>
    <mergeCell ref="G8:G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42.8515625" style="0" customWidth="1"/>
    <col min="5" max="5" width="14.2812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154" t="s">
        <v>535</v>
      </c>
      <c r="B1" s="155"/>
      <c r="C1" s="155"/>
      <c r="D1" s="155"/>
      <c r="E1" s="155"/>
      <c r="F1" s="155"/>
      <c r="G1" s="155"/>
      <c r="H1" s="155"/>
    </row>
    <row r="2" spans="1:9" ht="12.75">
      <c r="A2" s="156" t="s">
        <v>1</v>
      </c>
      <c r="B2" s="157"/>
      <c r="C2" s="158" t="str">
        <f>'Stavební rozpočet'!D2</f>
        <v>Stavební úprava technického a společenského zázemí obce II.Etapa</v>
      </c>
      <c r="D2" s="132"/>
      <c r="E2" s="161" t="s">
        <v>438</v>
      </c>
      <c r="F2" s="161" t="str">
        <f>'Stavební rozpočet'!J2</f>
        <v> </v>
      </c>
      <c r="G2" s="157"/>
      <c r="H2" s="162"/>
      <c r="I2" s="39"/>
    </row>
    <row r="3" spans="1:9" ht="12.75">
      <c r="A3" s="153"/>
      <c r="B3" s="134"/>
      <c r="C3" s="159"/>
      <c r="D3" s="159"/>
      <c r="E3" s="134"/>
      <c r="F3" s="134"/>
      <c r="G3" s="134"/>
      <c r="H3" s="151"/>
      <c r="I3" s="39"/>
    </row>
    <row r="4" spans="1:9" ht="12.75">
      <c r="A4" s="147" t="s">
        <v>2</v>
      </c>
      <c r="B4" s="134"/>
      <c r="C4" s="133" t="str">
        <f>'Stavební rozpočet'!D4</f>
        <v>Stavební práce</v>
      </c>
      <c r="D4" s="134"/>
      <c r="E4" s="133" t="s">
        <v>439</v>
      </c>
      <c r="F4" s="133" t="str">
        <f>'Stavební rozpočet'!J4</f>
        <v> </v>
      </c>
      <c r="G4" s="134"/>
      <c r="H4" s="151"/>
      <c r="I4" s="39"/>
    </row>
    <row r="5" spans="1:9" ht="12.75">
      <c r="A5" s="153"/>
      <c r="B5" s="134"/>
      <c r="C5" s="134"/>
      <c r="D5" s="134"/>
      <c r="E5" s="134"/>
      <c r="F5" s="134"/>
      <c r="G5" s="134"/>
      <c r="H5" s="151"/>
      <c r="I5" s="39"/>
    </row>
    <row r="6" spans="1:9" ht="12.75">
      <c r="A6" s="147" t="s">
        <v>3</v>
      </c>
      <c r="B6" s="134"/>
      <c r="C6" s="133" t="str">
        <f>'Stavební rozpočet'!D6</f>
        <v>Obec Dukovany k.ú. Dukovany (633810)</v>
      </c>
      <c r="D6" s="134"/>
      <c r="E6" s="133" t="s">
        <v>440</v>
      </c>
      <c r="F6" s="133" t="str">
        <f>'Stavební rozpočet'!J6</f>
        <v> </v>
      </c>
      <c r="G6" s="134"/>
      <c r="H6" s="151"/>
      <c r="I6" s="39"/>
    </row>
    <row r="7" spans="1:9" ht="12.75">
      <c r="A7" s="153"/>
      <c r="B7" s="134"/>
      <c r="C7" s="134"/>
      <c r="D7" s="134"/>
      <c r="E7" s="134"/>
      <c r="F7" s="134"/>
      <c r="G7" s="134"/>
      <c r="H7" s="151"/>
      <c r="I7" s="39"/>
    </row>
    <row r="8" spans="1:9" ht="12.75">
      <c r="A8" s="147" t="s">
        <v>441</v>
      </c>
      <c r="B8" s="134"/>
      <c r="C8" s="133" t="str">
        <f>'Stavební rozpočet'!J8</f>
        <v> </v>
      </c>
      <c r="D8" s="134"/>
      <c r="E8" s="133" t="s">
        <v>423</v>
      </c>
      <c r="F8" s="133" t="str">
        <f>'Stavební rozpočet'!H8</f>
        <v>20.10.2021</v>
      </c>
      <c r="G8" s="134"/>
      <c r="H8" s="151"/>
      <c r="I8" s="39"/>
    </row>
    <row r="9" spans="1:9" ht="12.75">
      <c r="A9" s="148"/>
      <c r="B9" s="149"/>
      <c r="C9" s="149"/>
      <c r="D9" s="149"/>
      <c r="E9" s="149"/>
      <c r="F9" s="149"/>
      <c r="G9" s="149"/>
      <c r="H9" s="152"/>
      <c r="I9" s="39"/>
    </row>
    <row r="10" spans="1:9" ht="12.75">
      <c r="A10" s="65" t="s">
        <v>5</v>
      </c>
      <c r="B10" s="66" t="s">
        <v>123</v>
      </c>
      <c r="C10" s="66" t="s">
        <v>124</v>
      </c>
      <c r="D10" s="165" t="s">
        <v>262</v>
      </c>
      <c r="E10" s="166"/>
      <c r="F10" s="66" t="s">
        <v>424</v>
      </c>
      <c r="G10" s="67" t="s">
        <v>434</v>
      </c>
      <c r="H10" s="68" t="s">
        <v>536</v>
      </c>
      <c r="I10" s="40"/>
    </row>
    <row r="11" spans="1:8" ht="12.75">
      <c r="A11" s="8"/>
      <c r="B11" s="8"/>
      <c r="C11" s="8"/>
      <c r="D11" s="8"/>
      <c r="E11" s="8"/>
      <c r="F11" s="8"/>
      <c r="G11" s="8"/>
      <c r="H11" s="8"/>
    </row>
    <row r="12" ht="11.25" customHeight="1">
      <c r="A12" s="9" t="s">
        <v>122</v>
      </c>
    </row>
    <row r="13" spans="1:7" ht="12.75">
      <c r="A13" s="133"/>
      <c r="B13" s="134"/>
      <c r="C13" s="134"/>
      <c r="D13" s="134"/>
      <c r="E13" s="134"/>
      <c r="F13" s="134"/>
      <c r="G13" s="134"/>
    </row>
  </sheetData>
  <sheetProtection/>
  <mergeCells count="19">
    <mergeCell ref="A1:H1"/>
    <mergeCell ref="A2:B3"/>
    <mergeCell ref="C2:D3"/>
    <mergeCell ref="E2:E3"/>
    <mergeCell ref="F2:H3"/>
    <mergeCell ref="A4:B5"/>
    <mergeCell ref="C4:D5"/>
    <mergeCell ref="E4:E5"/>
    <mergeCell ref="F4:H5"/>
    <mergeCell ref="D10:E10"/>
    <mergeCell ref="A13:G13"/>
    <mergeCell ref="A6:B7"/>
    <mergeCell ref="C6:D7"/>
    <mergeCell ref="E6:E7"/>
    <mergeCell ref="F6:H7"/>
    <mergeCell ref="A8:B9"/>
    <mergeCell ref="C8:D9"/>
    <mergeCell ref="E8:E9"/>
    <mergeCell ref="F8:H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</cols>
  <sheetData>
    <row r="1" spans="1:8" ht="72.75" customHeight="1">
      <c r="A1" s="154" t="s">
        <v>537</v>
      </c>
      <c r="B1" s="155"/>
      <c r="C1" s="155"/>
      <c r="D1" s="155"/>
      <c r="E1" s="155"/>
      <c r="F1" s="155"/>
      <c r="G1" s="155"/>
      <c r="H1" s="155"/>
    </row>
    <row r="2" spans="1:9" ht="12.75">
      <c r="A2" s="156" t="s">
        <v>1</v>
      </c>
      <c r="B2" s="158" t="str">
        <f>'Stavební rozpočet'!D2</f>
        <v>Stavební úprava technického a společenského zázemí obce II.Etapa</v>
      </c>
      <c r="C2" s="160" t="s">
        <v>420</v>
      </c>
      <c r="D2" s="161" t="str">
        <f>'Stavební rozpočet'!H2</f>
        <v> </v>
      </c>
      <c r="E2" s="157"/>
      <c r="F2" s="161" t="s">
        <v>438</v>
      </c>
      <c r="G2" s="161" t="str">
        <f>'Stavební rozpočet'!J2</f>
        <v> </v>
      </c>
      <c r="H2" s="162"/>
      <c r="I2" s="39"/>
    </row>
    <row r="3" spans="1:9" ht="12.75">
      <c r="A3" s="153"/>
      <c r="B3" s="159"/>
      <c r="C3" s="134"/>
      <c r="D3" s="134"/>
      <c r="E3" s="134"/>
      <c r="F3" s="134"/>
      <c r="G3" s="134"/>
      <c r="H3" s="151"/>
      <c r="I3" s="39"/>
    </row>
    <row r="4" spans="1:9" ht="12.75">
      <c r="A4" s="147" t="s">
        <v>2</v>
      </c>
      <c r="B4" s="133" t="str">
        <f>'Stavební rozpočet'!D4</f>
        <v>Stavební práce</v>
      </c>
      <c r="C4" s="150" t="s">
        <v>421</v>
      </c>
      <c r="D4" s="133" t="str">
        <f>'Stavební rozpočet'!H4</f>
        <v>20.10.2021</v>
      </c>
      <c r="E4" s="134"/>
      <c r="F4" s="133" t="s">
        <v>439</v>
      </c>
      <c r="G4" s="133" t="str">
        <f>'Stavební rozpočet'!J4</f>
        <v> </v>
      </c>
      <c r="H4" s="151"/>
      <c r="I4" s="39"/>
    </row>
    <row r="5" spans="1:9" ht="12.75">
      <c r="A5" s="153"/>
      <c r="B5" s="134"/>
      <c r="C5" s="134"/>
      <c r="D5" s="134"/>
      <c r="E5" s="134"/>
      <c r="F5" s="134"/>
      <c r="G5" s="134"/>
      <c r="H5" s="151"/>
      <c r="I5" s="39"/>
    </row>
    <row r="6" spans="1:9" ht="12.75">
      <c r="A6" s="147" t="s">
        <v>3</v>
      </c>
      <c r="B6" s="133" t="str">
        <f>'Stavební rozpočet'!D6</f>
        <v>Obec Dukovany k.ú. Dukovany (633810)</v>
      </c>
      <c r="C6" s="150" t="s">
        <v>422</v>
      </c>
      <c r="D6" s="133" t="str">
        <f>'Stavební rozpočet'!H6</f>
        <v> </v>
      </c>
      <c r="E6" s="134"/>
      <c r="F6" s="133" t="s">
        <v>440</v>
      </c>
      <c r="G6" s="133" t="str">
        <f>'Stavební rozpočet'!J6</f>
        <v> </v>
      </c>
      <c r="H6" s="151"/>
      <c r="I6" s="39"/>
    </row>
    <row r="7" spans="1:9" ht="12.75">
      <c r="A7" s="153"/>
      <c r="B7" s="134"/>
      <c r="C7" s="134"/>
      <c r="D7" s="134"/>
      <c r="E7" s="134"/>
      <c r="F7" s="134"/>
      <c r="G7" s="134"/>
      <c r="H7" s="151"/>
      <c r="I7" s="39"/>
    </row>
    <row r="8" spans="1:9" ht="12.75">
      <c r="A8" s="147" t="s">
        <v>4</v>
      </c>
      <c r="B8" s="133" t="str">
        <f>'Stavební rozpočet'!D8</f>
        <v> </v>
      </c>
      <c r="C8" s="150" t="s">
        <v>423</v>
      </c>
      <c r="D8" s="133" t="str">
        <f>'Stavební rozpočet'!H8</f>
        <v>20.10.2021</v>
      </c>
      <c r="E8" s="134"/>
      <c r="F8" s="133" t="s">
        <v>441</v>
      </c>
      <c r="G8" s="133" t="str">
        <f>'Stavební rozpočet'!J8</f>
        <v> </v>
      </c>
      <c r="H8" s="151"/>
      <c r="I8" s="39"/>
    </row>
    <row r="9" spans="1:9" ht="12.75">
      <c r="A9" s="170"/>
      <c r="B9" s="171"/>
      <c r="C9" s="171"/>
      <c r="D9" s="171"/>
      <c r="E9" s="171"/>
      <c r="F9" s="171"/>
      <c r="G9" s="171"/>
      <c r="H9" s="172"/>
      <c r="I9" s="39"/>
    </row>
    <row r="10" spans="1:9" ht="12.75">
      <c r="A10" s="69" t="s">
        <v>124</v>
      </c>
      <c r="B10" s="71" t="s">
        <v>262</v>
      </c>
      <c r="C10" s="73" t="s">
        <v>538</v>
      </c>
      <c r="D10" s="73" t="s">
        <v>539</v>
      </c>
      <c r="E10" s="73" t="s">
        <v>540</v>
      </c>
      <c r="F10" s="167" t="s">
        <v>541</v>
      </c>
      <c r="G10" s="168"/>
      <c r="H10" s="169"/>
      <c r="I10" s="40"/>
    </row>
    <row r="11" spans="1:8" ht="11.25" customHeight="1">
      <c r="A11" s="70" t="s">
        <v>122</v>
      </c>
      <c r="B11" s="72"/>
      <c r="C11" s="72"/>
      <c r="D11" s="72"/>
      <c r="E11" s="72"/>
      <c r="F11" s="72"/>
      <c r="G11" s="72"/>
      <c r="H11" s="72"/>
    </row>
    <row r="12" spans="1:8" ht="12.75">
      <c r="A12" s="133"/>
      <c r="B12" s="134"/>
      <c r="C12" s="134"/>
      <c r="D12" s="134"/>
      <c r="E12" s="134"/>
      <c r="F12" s="134"/>
      <c r="G12" s="134"/>
      <c r="H12" s="134"/>
    </row>
  </sheetData>
  <sheetProtection/>
  <mergeCells count="27">
    <mergeCell ref="A1:H1"/>
    <mergeCell ref="A2:A3"/>
    <mergeCell ref="B2:B3"/>
    <mergeCell ref="C2:C3"/>
    <mergeCell ref="D2:E3"/>
    <mergeCell ref="F2:F3"/>
    <mergeCell ref="G2:H3"/>
    <mergeCell ref="A4:A5"/>
    <mergeCell ref="B4:B5"/>
    <mergeCell ref="C4:C5"/>
    <mergeCell ref="D4:E5"/>
    <mergeCell ref="F4:F5"/>
    <mergeCell ref="G4:H5"/>
    <mergeCell ref="A6:A7"/>
    <mergeCell ref="B6:B7"/>
    <mergeCell ref="C6:C7"/>
    <mergeCell ref="D6:E7"/>
    <mergeCell ref="F6:F7"/>
    <mergeCell ref="G6:H7"/>
    <mergeCell ref="F10:H10"/>
    <mergeCell ref="A12:H12"/>
    <mergeCell ref="A8:A9"/>
    <mergeCell ref="B8:B9"/>
    <mergeCell ref="C8:C9"/>
    <mergeCell ref="D8:E9"/>
    <mergeCell ref="F8:F9"/>
    <mergeCell ref="G8:H9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O1"/>
    </sheetView>
  </sheetViews>
  <sheetFormatPr defaultColWidth="11.57421875" defaultRowHeight="12.75"/>
  <cols>
    <col min="1" max="1" width="14.57421875" style="0" customWidth="1"/>
    <col min="2" max="2" width="10.421875" style="0" customWidth="1"/>
    <col min="3" max="3" width="14.57421875" style="0" customWidth="1"/>
    <col min="4" max="4" width="39.7109375" style="0" customWidth="1"/>
    <col min="5" max="5" width="16.140625" style="0" customWidth="1"/>
    <col min="6" max="6" width="23.28125" style="0" customWidth="1"/>
    <col min="7" max="7" width="21.28125" style="0" customWidth="1"/>
    <col min="8" max="8" width="19.57421875" style="0" customWidth="1"/>
    <col min="9" max="10" width="11.421875" style="0" customWidth="1"/>
    <col min="11" max="11" width="21.140625" style="0" customWidth="1"/>
    <col min="12" max="12" width="11.421875" style="0" customWidth="1"/>
    <col min="13" max="15" width="20.00390625" style="0" customWidth="1"/>
    <col min="16" max="30" width="11.57421875" style="0" customWidth="1"/>
    <col min="31" max="31" width="12.140625" style="0" hidden="1" customWidth="1"/>
  </cols>
  <sheetData>
    <row r="1" spans="1:15" ht="72.75" customHeight="1">
      <c r="A1" s="154" t="s">
        <v>542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1:16" ht="12.75">
      <c r="A2" s="156" t="s">
        <v>1</v>
      </c>
      <c r="B2" s="158" t="str">
        <f>'Stavební rozpočet'!D2</f>
        <v>Stavební úprava technického a společenského zázemí obce II.Etapa</v>
      </c>
      <c r="C2" s="132"/>
      <c r="D2" s="132"/>
      <c r="E2" s="160" t="s">
        <v>420</v>
      </c>
      <c r="F2" s="161" t="str">
        <f>'Stavební rozpočet'!H2</f>
        <v> </v>
      </c>
      <c r="G2" s="161" t="s">
        <v>438</v>
      </c>
      <c r="H2" s="161" t="str">
        <f>'Stavební rozpočet'!J2</f>
        <v> </v>
      </c>
      <c r="I2" s="157"/>
      <c r="J2" s="157"/>
      <c r="K2" s="157"/>
      <c r="L2" s="157"/>
      <c r="M2" s="157"/>
      <c r="N2" s="157"/>
      <c r="O2" s="162"/>
      <c r="P2" s="39"/>
    </row>
    <row r="3" spans="1:16" ht="12.75">
      <c r="A3" s="153"/>
      <c r="B3" s="159"/>
      <c r="C3" s="159"/>
      <c r="D3" s="159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51"/>
      <c r="P3" s="39"/>
    </row>
    <row r="4" spans="1:16" ht="12.75">
      <c r="A4" s="147" t="s">
        <v>2</v>
      </c>
      <c r="B4" s="133" t="str">
        <f>'Stavební rozpočet'!D4</f>
        <v>Stavební práce</v>
      </c>
      <c r="C4" s="134"/>
      <c r="D4" s="134"/>
      <c r="E4" s="150" t="s">
        <v>421</v>
      </c>
      <c r="F4" s="133" t="str">
        <f>'Stavební rozpočet'!H4</f>
        <v>20.10.2021</v>
      </c>
      <c r="G4" s="133" t="s">
        <v>439</v>
      </c>
      <c r="H4" s="133" t="str">
        <f>'Stavební rozpočet'!J4</f>
        <v> </v>
      </c>
      <c r="I4" s="134"/>
      <c r="J4" s="134"/>
      <c r="K4" s="134"/>
      <c r="L4" s="134"/>
      <c r="M4" s="134"/>
      <c r="N4" s="134"/>
      <c r="O4" s="151"/>
      <c r="P4" s="39"/>
    </row>
    <row r="5" spans="1:16" ht="12.75">
      <c r="A5" s="153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51"/>
      <c r="P5" s="39"/>
    </row>
    <row r="6" spans="1:16" ht="12.75">
      <c r="A6" s="147" t="s">
        <v>3</v>
      </c>
      <c r="B6" s="133" t="str">
        <f>'Stavební rozpočet'!D6</f>
        <v>Obec Dukovany k.ú. Dukovany (633810)</v>
      </c>
      <c r="C6" s="134"/>
      <c r="D6" s="134"/>
      <c r="E6" s="150" t="s">
        <v>422</v>
      </c>
      <c r="F6" s="133" t="str">
        <f>'Stavební rozpočet'!H6</f>
        <v> </v>
      </c>
      <c r="G6" s="133" t="s">
        <v>440</v>
      </c>
      <c r="H6" s="133" t="str">
        <f>'Stavební rozpočet'!J6</f>
        <v> </v>
      </c>
      <c r="I6" s="134"/>
      <c r="J6" s="134"/>
      <c r="K6" s="134"/>
      <c r="L6" s="134"/>
      <c r="M6" s="134"/>
      <c r="N6" s="134"/>
      <c r="O6" s="151"/>
      <c r="P6" s="39"/>
    </row>
    <row r="7" spans="1:16" ht="12.75">
      <c r="A7" s="153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51"/>
      <c r="P7" s="39"/>
    </row>
    <row r="8" spans="1:16" ht="12.75">
      <c r="A8" s="147" t="s">
        <v>4</v>
      </c>
      <c r="B8" s="133" t="str">
        <f>'Stavební rozpočet'!D8</f>
        <v> </v>
      </c>
      <c r="C8" s="134"/>
      <c r="D8" s="134"/>
      <c r="E8" s="150" t="s">
        <v>423</v>
      </c>
      <c r="F8" s="133" t="str">
        <f>'Stavební rozpočet'!H8</f>
        <v>20.10.2021</v>
      </c>
      <c r="G8" s="133" t="s">
        <v>441</v>
      </c>
      <c r="H8" s="133" t="str">
        <f>'Stavební rozpočet'!J8</f>
        <v> </v>
      </c>
      <c r="I8" s="134"/>
      <c r="J8" s="134"/>
      <c r="K8" s="134"/>
      <c r="L8" s="134"/>
      <c r="M8" s="134"/>
      <c r="N8" s="134"/>
      <c r="O8" s="151"/>
      <c r="P8" s="39"/>
    </row>
    <row r="9" spans="1:16" ht="12.75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52"/>
      <c r="P9" s="39"/>
    </row>
    <row r="10" spans="1:16" ht="12.75">
      <c r="A10" s="49" t="s">
        <v>5</v>
      </c>
      <c r="B10" s="49" t="s">
        <v>123</v>
      </c>
      <c r="C10" s="53" t="s">
        <v>124</v>
      </c>
      <c r="D10" s="173" t="s">
        <v>262</v>
      </c>
      <c r="E10" s="174"/>
      <c r="F10" s="76" t="s">
        <v>543</v>
      </c>
      <c r="G10" s="76" t="s">
        <v>544</v>
      </c>
      <c r="H10" s="76" t="s">
        <v>545</v>
      </c>
      <c r="I10" s="76" t="s">
        <v>546</v>
      </c>
      <c r="J10" s="76" t="s">
        <v>434</v>
      </c>
      <c r="K10" s="76" t="s">
        <v>547</v>
      </c>
      <c r="L10" s="77" t="s">
        <v>548</v>
      </c>
      <c r="M10" s="81" t="s">
        <v>549</v>
      </c>
      <c r="N10" s="76" t="s">
        <v>550</v>
      </c>
      <c r="O10" s="77" t="s">
        <v>551</v>
      </c>
      <c r="P10" s="40"/>
    </row>
    <row r="11" spans="1:31" ht="12.75">
      <c r="A11" s="74"/>
      <c r="B11" s="12"/>
      <c r="C11" s="12" t="s">
        <v>125</v>
      </c>
      <c r="D11" s="145" t="s">
        <v>264</v>
      </c>
      <c r="E11" s="146"/>
      <c r="F11" s="46">
        <f>SUM(F12:F12)</f>
        <v>0</v>
      </c>
      <c r="G11" s="46">
        <f>SUM(G12:G12)</f>
        <v>0</v>
      </c>
      <c r="H11" s="46">
        <f aca="true" t="shared" si="0" ref="H11:H42">G11-F11</f>
        <v>0</v>
      </c>
      <c r="I11" s="46">
        <f aca="true" t="shared" si="1" ref="I11:I42">IF(F11=0,0,H11/F11*100)</f>
        <v>0</v>
      </c>
      <c r="J11" s="46">
        <f>SUM(J12:J12)</f>
        <v>28.2</v>
      </c>
      <c r="K11" s="46">
        <f>SUM(K12:K12)</f>
        <v>0</v>
      </c>
      <c r="L11" s="82">
        <f>J11-K11</f>
        <v>28.2</v>
      </c>
      <c r="M11" s="84" t="str">
        <f aca="true" t="shared" si="2" ref="M11:M42">IF(G11=0,"Nefakturováno",AE11)</f>
        <v>Nefakturováno</v>
      </c>
      <c r="N11" s="46">
        <f aca="true" t="shared" si="3" ref="N11:N42">AE11-G11</f>
        <v>0</v>
      </c>
      <c r="O11" s="89">
        <f aca="true" t="shared" si="4" ref="O11:O42">IF(G11&lt;&gt;0,N11/G11*100,-100)</f>
        <v>-100</v>
      </c>
      <c r="P11" s="39"/>
      <c r="AE11" s="41">
        <v>0</v>
      </c>
    </row>
    <row r="12" spans="1:31" ht="12.75">
      <c r="A12" s="4" t="s">
        <v>7</v>
      </c>
      <c r="B12" s="13"/>
      <c r="C12" s="13" t="s">
        <v>126</v>
      </c>
      <c r="D12" s="125" t="s">
        <v>265</v>
      </c>
      <c r="E12" s="126"/>
      <c r="F12" s="21">
        <f>'Stavební rozpočet'!K13</f>
        <v>0</v>
      </c>
      <c r="G12" s="21">
        <v>0</v>
      </c>
      <c r="H12" s="21">
        <f t="shared" si="0"/>
        <v>0</v>
      </c>
      <c r="I12" s="21">
        <f t="shared" si="1"/>
        <v>0</v>
      </c>
      <c r="J12" s="21">
        <f>'Stavební rozpočet'!G13</f>
        <v>28.2</v>
      </c>
      <c r="K12" s="21">
        <v>0</v>
      </c>
      <c r="L12" s="78">
        <v>28.2</v>
      </c>
      <c r="M12" s="85" t="str">
        <f t="shared" si="2"/>
        <v>Nefakturováno</v>
      </c>
      <c r="N12" s="21">
        <f t="shared" si="3"/>
        <v>0</v>
      </c>
      <c r="O12" s="90">
        <f t="shared" si="4"/>
        <v>-100</v>
      </c>
      <c r="P12" s="39"/>
      <c r="AE12" s="21">
        <v>0</v>
      </c>
    </row>
    <row r="13" spans="1:31" ht="12.75">
      <c r="A13" s="75"/>
      <c r="B13" s="14"/>
      <c r="C13" s="14" t="s">
        <v>7</v>
      </c>
      <c r="D13" s="127" t="s">
        <v>266</v>
      </c>
      <c r="E13" s="128"/>
      <c r="F13" s="47">
        <f>SUM(F14:F14)</f>
        <v>0</v>
      </c>
      <c r="G13" s="47">
        <f>SUM(G14:G14)</f>
        <v>0</v>
      </c>
      <c r="H13" s="47">
        <f t="shared" si="0"/>
        <v>0</v>
      </c>
      <c r="I13" s="47">
        <f t="shared" si="1"/>
        <v>0</v>
      </c>
      <c r="J13" s="47">
        <f>SUM(J14:J14)</f>
        <v>1</v>
      </c>
      <c r="K13" s="47">
        <f>SUM(K14:K14)</f>
        <v>0</v>
      </c>
      <c r="L13" s="83">
        <f>J13-K13</f>
        <v>1</v>
      </c>
      <c r="M13" s="86" t="str">
        <f t="shared" si="2"/>
        <v>Nefakturováno</v>
      </c>
      <c r="N13" s="47">
        <f t="shared" si="3"/>
        <v>0</v>
      </c>
      <c r="O13" s="91">
        <f t="shared" si="4"/>
        <v>-100</v>
      </c>
      <c r="P13" s="39"/>
      <c r="AE13" s="21">
        <v>0</v>
      </c>
    </row>
    <row r="14" spans="1:31" ht="12.75">
      <c r="A14" s="4" t="s">
        <v>8</v>
      </c>
      <c r="B14" s="13"/>
      <c r="C14" s="13" t="s">
        <v>127</v>
      </c>
      <c r="D14" s="125" t="s">
        <v>267</v>
      </c>
      <c r="E14" s="126"/>
      <c r="F14" s="21">
        <f>'Stavební rozpočet'!K19</f>
        <v>0</v>
      </c>
      <c r="G14" s="21">
        <v>0</v>
      </c>
      <c r="H14" s="21">
        <f t="shared" si="0"/>
        <v>0</v>
      </c>
      <c r="I14" s="21">
        <f t="shared" si="1"/>
        <v>0</v>
      </c>
      <c r="J14" s="21">
        <f>'Stavební rozpočet'!G19</f>
        <v>1</v>
      </c>
      <c r="K14" s="21">
        <v>0</v>
      </c>
      <c r="L14" s="78">
        <v>1</v>
      </c>
      <c r="M14" s="85" t="str">
        <f t="shared" si="2"/>
        <v>Nefakturováno</v>
      </c>
      <c r="N14" s="21">
        <f t="shared" si="3"/>
        <v>0</v>
      </c>
      <c r="O14" s="90">
        <f t="shared" si="4"/>
        <v>-100</v>
      </c>
      <c r="P14" s="39"/>
      <c r="AE14" s="21">
        <v>0</v>
      </c>
    </row>
    <row r="15" spans="1:31" ht="12.75">
      <c r="A15" s="75"/>
      <c r="B15" s="14"/>
      <c r="C15" s="14" t="s">
        <v>19</v>
      </c>
      <c r="D15" s="127" t="s">
        <v>268</v>
      </c>
      <c r="E15" s="128"/>
      <c r="F15" s="47">
        <f>SUM(F16:F20)</f>
        <v>0</v>
      </c>
      <c r="G15" s="47">
        <f>SUM(G16:G20)</f>
        <v>0</v>
      </c>
      <c r="H15" s="47">
        <f t="shared" si="0"/>
        <v>0</v>
      </c>
      <c r="I15" s="47">
        <f t="shared" si="1"/>
        <v>0</v>
      </c>
      <c r="J15" s="47">
        <f>SUM(J16:J20)</f>
        <v>487.39</v>
      </c>
      <c r="K15" s="47">
        <f>SUM(K16:K20)</f>
        <v>0</v>
      </c>
      <c r="L15" s="83">
        <f>J15-K15</f>
        <v>487.39</v>
      </c>
      <c r="M15" s="86" t="str">
        <f t="shared" si="2"/>
        <v>Nefakturováno</v>
      </c>
      <c r="N15" s="47">
        <f t="shared" si="3"/>
        <v>0</v>
      </c>
      <c r="O15" s="91">
        <f t="shared" si="4"/>
        <v>-100</v>
      </c>
      <c r="P15" s="39"/>
      <c r="AE15" s="21">
        <v>0</v>
      </c>
    </row>
    <row r="16" spans="1:31" ht="12.75">
      <c r="A16" s="4" t="s">
        <v>9</v>
      </c>
      <c r="B16" s="13"/>
      <c r="C16" s="13" t="s">
        <v>128</v>
      </c>
      <c r="D16" s="125" t="s">
        <v>269</v>
      </c>
      <c r="E16" s="126"/>
      <c r="F16" s="21">
        <f>'Stavební rozpočet'!K21</f>
        <v>0</v>
      </c>
      <c r="G16" s="21">
        <v>0</v>
      </c>
      <c r="H16" s="21">
        <f t="shared" si="0"/>
        <v>0</v>
      </c>
      <c r="I16" s="21">
        <f t="shared" si="1"/>
        <v>0</v>
      </c>
      <c r="J16" s="21">
        <f>'Stavební rozpočet'!G21</f>
        <v>74.99</v>
      </c>
      <c r="K16" s="21">
        <v>0</v>
      </c>
      <c r="L16" s="78">
        <v>74.99</v>
      </c>
      <c r="M16" s="85" t="str">
        <f t="shared" si="2"/>
        <v>Nefakturováno</v>
      </c>
      <c r="N16" s="21">
        <f t="shared" si="3"/>
        <v>0</v>
      </c>
      <c r="O16" s="90">
        <f t="shared" si="4"/>
        <v>-100</v>
      </c>
      <c r="P16" s="39"/>
      <c r="AE16" s="21">
        <v>0</v>
      </c>
    </row>
    <row r="17" spans="1:31" ht="12.75">
      <c r="A17" s="4" t="s">
        <v>10</v>
      </c>
      <c r="B17" s="13"/>
      <c r="C17" s="13" t="s">
        <v>129</v>
      </c>
      <c r="D17" s="125" t="s">
        <v>270</v>
      </c>
      <c r="E17" s="126"/>
      <c r="F17" s="21">
        <f>'Stavební rozpočet'!K24</f>
        <v>0</v>
      </c>
      <c r="G17" s="21">
        <v>0</v>
      </c>
      <c r="H17" s="21">
        <f t="shared" si="0"/>
        <v>0</v>
      </c>
      <c r="I17" s="21">
        <f t="shared" si="1"/>
        <v>0</v>
      </c>
      <c r="J17" s="21">
        <f>'Stavební rozpočet'!G24</f>
        <v>36</v>
      </c>
      <c r="K17" s="21">
        <v>0</v>
      </c>
      <c r="L17" s="78">
        <v>36</v>
      </c>
      <c r="M17" s="85" t="str">
        <f t="shared" si="2"/>
        <v>Nefakturováno</v>
      </c>
      <c r="N17" s="21">
        <f t="shared" si="3"/>
        <v>0</v>
      </c>
      <c r="O17" s="90">
        <f t="shared" si="4"/>
        <v>-100</v>
      </c>
      <c r="P17" s="39"/>
      <c r="AE17" s="21">
        <v>0</v>
      </c>
    </row>
    <row r="18" spans="1:31" ht="12.75">
      <c r="A18" s="4" t="s">
        <v>11</v>
      </c>
      <c r="B18" s="13"/>
      <c r="C18" s="13" t="s">
        <v>130</v>
      </c>
      <c r="D18" s="125" t="s">
        <v>271</v>
      </c>
      <c r="E18" s="126"/>
      <c r="F18" s="21">
        <f>'Stavební rozpočet'!K26</f>
        <v>0</v>
      </c>
      <c r="G18" s="21">
        <v>0</v>
      </c>
      <c r="H18" s="21">
        <f t="shared" si="0"/>
        <v>0</v>
      </c>
      <c r="I18" s="21">
        <f t="shared" si="1"/>
        <v>0</v>
      </c>
      <c r="J18" s="21">
        <f>'Stavební rozpočet'!G26</f>
        <v>36</v>
      </c>
      <c r="K18" s="21">
        <v>0</v>
      </c>
      <c r="L18" s="78">
        <v>36</v>
      </c>
      <c r="M18" s="85" t="str">
        <f t="shared" si="2"/>
        <v>Nefakturováno</v>
      </c>
      <c r="N18" s="21">
        <f t="shared" si="3"/>
        <v>0</v>
      </c>
      <c r="O18" s="90">
        <f t="shared" si="4"/>
        <v>-100</v>
      </c>
      <c r="P18" s="39"/>
      <c r="AE18" s="21">
        <v>0</v>
      </c>
    </row>
    <row r="19" spans="1:31" ht="12.75">
      <c r="A19" s="4" t="s">
        <v>12</v>
      </c>
      <c r="B19" s="13"/>
      <c r="C19" s="13" t="s">
        <v>131</v>
      </c>
      <c r="D19" s="125" t="s">
        <v>272</v>
      </c>
      <c r="E19" s="126"/>
      <c r="F19" s="21">
        <f>'Stavební rozpočet'!K27</f>
        <v>0</v>
      </c>
      <c r="G19" s="21">
        <v>0</v>
      </c>
      <c r="H19" s="21">
        <f t="shared" si="0"/>
        <v>0</v>
      </c>
      <c r="I19" s="21">
        <f t="shared" si="1"/>
        <v>0</v>
      </c>
      <c r="J19" s="21">
        <f>'Stavební rozpočet'!G27</f>
        <v>170.2</v>
      </c>
      <c r="K19" s="21">
        <v>0</v>
      </c>
      <c r="L19" s="78">
        <v>170.2</v>
      </c>
      <c r="M19" s="85" t="str">
        <f t="shared" si="2"/>
        <v>Nefakturováno</v>
      </c>
      <c r="N19" s="21">
        <f t="shared" si="3"/>
        <v>0</v>
      </c>
      <c r="O19" s="90">
        <f t="shared" si="4"/>
        <v>-100</v>
      </c>
      <c r="P19" s="39"/>
      <c r="AE19" s="21">
        <v>0</v>
      </c>
    </row>
    <row r="20" spans="1:31" ht="12.75">
      <c r="A20" s="4" t="s">
        <v>13</v>
      </c>
      <c r="B20" s="13"/>
      <c r="C20" s="13" t="s">
        <v>132</v>
      </c>
      <c r="D20" s="125" t="s">
        <v>273</v>
      </c>
      <c r="E20" s="126"/>
      <c r="F20" s="21">
        <f>'Stavební rozpočet'!K29</f>
        <v>0</v>
      </c>
      <c r="G20" s="21">
        <v>0</v>
      </c>
      <c r="H20" s="21">
        <f t="shared" si="0"/>
        <v>0</v>
      </c>
      <c r="I20" s="21">
        <f t="shared" si="1"/>
        <v>0</v>
      </c>
      <c r="J20" s="21">
        <f>'Stavební rozpočet'!G29</f>
        <v>170.2</v>
      </c>
      <c r="K20" s="21">
        <v>0</v>
      </c>
      <c r="L20" s="78">
        <v>170.2</v>
      </c>
      <c r="M20" s="85" t="str">
        <f t="shared" si="2"/>
        <v>Nefakturováno</v>
      </c>
      <c r="N20" s="21">
        <f t="shared" si="3"/>
        <v>0</v>
      </c>
      <c r="O20" s="90">
        <f t="shared" si="4"/>
        <v>-100</v>
      </c>
      <c r="P20" s="39"/>
      <c r="AE20" s="21">
        <v>0</v>
      </c>
    </row>
    <row r="21" spans="1:31" ht="12.75">
      <c r="A21" s="75"/>
      <c r="B21" s="14"/>
      <c r="C21" s="14" t="s">
        <v>21</v>
      </c>
      <c r="D21" s="127" t="s">
        <v>274</v>
      </c>
      <c r="E21" s="128"/>
      <c r="F21" s="47">
        <f>SUM(F22:F23)</f>
        <v>0</v>
      </c>
      <c r="G21" s="47">
        <f>SUM(G22:G23)</f>
        <v>0</v>
      </c>
      <c r="H21" s="47">
        <f t="shared" si="0"/>
        <v>0</v>
      </c>
      <c r="I21" s="47">
        <f t="shared" si="1"/>
        <v>0</v>
      </c>
      <c r="J21" s="47">
        <f>SUM(J22:J23)</f>
        <v>603.5</v>
      </c>
      <c r="K21" s="47">
        <f>SUM(K22:K23)</f>
        <v>0</v>
      </c>
      <c r="L21" s="83">
        <f>J21-K21</f>
        <v>603.5</v>
      </c>
      <c r="M21" s="86" t="str">
        <f t="shared" si="2"/>
        <v>Nefakturováno</v>
      </c>
      <c r="N21" s="47">
        <f t="shared" si="3"/>
        <v>0</v>
      </c>
      <c r="O21" s="91">
        <f t="shared" si="4"/>
        <v>-100</v>
      </c>
      <c r="P21" s="39"/>
      <c r="AE21" s="21">
        <v>0</v>
      </c>
    </row>
    <row r="22" spans="1:31" ht="12.75">
      <c r="A22" s="4" t="s">
        <v>14</v>
      </c>
      <c r="B22" s="13"/>
      <c r="C22" s="13" t="s">
        <v>133</v>
      </c>
      <c r="D22" s="125" t="s">
        <v>275</v>
      </c>
      <c r="E22" s="126"/>
      <c r="F22" s="21">
        <f>'Stavební rozpočet'!K31</f>
        <v>0</v>
      </c>
      <c r="G22" s="21">
        <v>0</v>
      </c>
      <c r="H22" s="21">
        <f t="shared" si="0"/>
        <v>0</v>
      </c>
      <c r="I22" s="21">
        <f t="shared" si="1"/>
        <v>0</v>
      </c>
      <c r="J22" s="21">
        <f>'Stavební rozpočet'!G31</f>
        <v>301.75</v>
      </c>
      <c r="K22" s="21">
        <v>0</v>
      </c>
      <c r="L22" s="78">
        <v>301.75</v>
      </c>
      <c r="M22" s="85" t="str">
        <f t="shared" si="2"/>
        <v>Nefakturováno</v>
      </c>
      <c r="N22" s="21">
        <f t="shared" si="3"/>
        <v>0</v>
      </c>
      <c r="O22" s="90">
        <f t="shared" si="4"/>
        <v>-100</v>
      </c>
      <c r="P22" s="39"/>
      <c r="AE22" s="21">
        <v>0</v>
      </c>
    </row>
    <row r="23" spans="1:31" ht="12.75">
      <c r="A23" s="4" t="s">
        <v>15</v>
      </c>
      <c r="B23" s="13"/>
      <c r="C23" s="13" t="s">
        <v>134</v>
      </c>
      <c r="D23" s="125" t="s">
        <v>276</v>
      </c>
      <c r="E23" s="126"/>
      <c r="F23" s="21">
        <f>'Stavební rozpočet'!K32</f>
        <v>0</v>
      </c>
      <c r="G23" s="21">
        <v>0</v>
      </c>
      <c r="H23" s="21">
        <f t="shared" si="0"/>
        <v>0</v>
      </c>
      <c r="I23" s="21">
        <f t="shared" si="1"/>
        <v>0</v>
      </c>
      <c r="J23" s="21">
        <f>'Stavební rozpočet'!G32</f>
        <v>301.75</v>
      </c>
      <c r="K23" s="21">
        <v>0</v>
      </c>
      <c r="L23" s="78">
        <v>301.75</v>
      </c>
      <c r="M23" s="85" t="str">
        <f t="shared" si="2"/>
        <v>Nefakturováno</v>
      </c>
      <c r="N23" s="21">
        <f t="shared" si="3"/>
        <v>0</v>
      </c>
      <c r="O23" s="90">
        <f t="shared" si="4"/>
        <v>-100</v>
      </c>
      <c r="P23" s="39"/>
      <c r="AE23" s="21">
        <v>0</v>
      </c>
    </row>
    <row r="24" spans="1:31" ht="12.75">
      <c r="A24" s="75"/>
      <c r="B24" s="14"/>
      <c r="C24" s="14" t="s">
        <v>22</v>
      </c>
      <c r="D24" s="127" t="s">
        <v>277</v>
      </c>
      <c r="E24" s="128"/>
      <c r="F24" s="47">
        <f>SUM(F25:F25)</f>
        <v>0</v>
      </c>
      <c r="G24" s="47">
        <f>SUM(G25:G25)</f>
        <v>0</v>
      </c>
      <c r="H24" s="47">
        <f t="shared" si="0"/>
        <v>0</v>
      </c>
      <c r="I24" s="47">
        <f t="shared" si="1"/>
        <v>0</v>
      </c>
      <c r="J24" s="47">
        <f>SUM(J25:J25)</f>
        <v>119.73</v>
      </c>
      <c r="K24" s="47">
        <f>SUM(K25:K25)</f>
        <v>0</v>
      </c>
      <c r="L24" s="83">
        <f>J24-K24</f>
        <v>119.73</v>
      </c>
      <c r="M24" s="86" t="str">
        <f t="shared" si="2"/>
        <v>Nefakturováno</v>
      </c>
      <c r="N24" s="47">
        <f t="shared" si="3"/>
        <v>0</v>
      </c>
      <c r="O24" s="91">
        <f t="shared" si="4"/>
        <v>-100</v>
      </c>
      <c r="P24" s="39"/>
      <c r="AE24" s="21">
        <v>0</v>
      </c>
    </row>
    <row r="25" spans="1:31" ht="12.75">
      <c r="A25" s="4" t="s">
        <v>16</v>
      </c>
      <c r="B25" s="13"/>
      <c r="C25" s="13" t="s">
        <v>135</v>
      </c>
      <c r="D25" s="125" t="s">
        <v>278</v>
      </c>
      <c r="E25" s="126"/>
      <c r="F25" s="21">
        <f>'Stavební rozpočet'!K34</f>
        <v>0</v>
      </c>
      <c r="G25" s="21">
        <v>0</v>
      </c>
      <c r="H25" s="21">
        <f t="shared" si="0"/>
        <v>0</v>
      </c>
      <c r="I25" s="21">
        <f t="shared" si="1"/>
        <v>0</v>
      </c>
      <c r="J25" s="21">
        <f>'Stavební rozpočet'!G34</f>
        <v>119.73</v>
      </c>
      <c r="K25" s="21">
        <v>0</v>
      </c>
      <c r="L25" s="78">
        <v>119.73</v>
      </c>
      <c r="M25" s="85" t="str">
        <f t="shared" si="2"/>
        <v>Nefakturováno</v>
      </c>
      <c r="N25" s="21">
        <f t="shared" si="3"/>
        <v>0</v>
      </c>
      <c r="O25" s="90">
        <f t="shared" si="4"/>
        <v>-100</v>
      </c>
      <c r="P25" s="39"/>
      <c r="AE25" s="21">
        <v>0</v>
      </c>
    </row>
    <row r="26" spans="1:31" ht="12.75">
      <c r="A26" s="75"/>
      <c r="B26" s="14"/>
      <c r="C26" s="14" t="s">
        <v>23</v>
      </c>
      <c r="D26" s="127" t="s">
        <v>279</v>
      </c>
      <c r="E26" s="128"/>
      <c r="F26" s="47">
        <f>SUM(F27:F29)</f>
        <v>0</v>
      </c>
      <c r="G26" s="47">
        <f>SUM(G27:G29)</f>
        <v>0</v>
      </c>
      <c r="H26" s="47">
        <f t="shared" si="0"/>
        <v>0</v>
      </c>
      <c r="I26" s="47">
        <f t="shared" si="1"/>
        <v>0</v>
      </c>
      <c r="J26" s="47">
        <f>SUM(J27:J29)</f>
        <v>235.91000000000003</v>
      </c>
      <c r="K26" s="47">
        <f>SUM(K27:K29)</f>
        <v>0</v>
      </c>
      <c r="L26" s="83">
        <f>J26-K26</f>
        <v>235.91000000000003</v>
      </c>
      <c r="M26" s="86" t="str">
        <f t="shared" si="2"/>
        <v>Nefakturováno</v>
      </c>
      <c r="N26" s="47">
        <f t="shared" si="3"/>
        <v>0</v>
      </c>
      <c r="O26" s="91">
        <f t="shared" si="4"/>
        <v>-100</v>
      </c>
      <c r="P26" s="39"/>
      <c r="AE26" s="21">
        <v>0</v>
      </c>
    </row>
    <row r="27" spans="1:31" ht="12.75">
      <c r="A27" s="4" t="s">
        <v>17</v>
      </c>
      <c r="B27" s="13"/>
      <c r="C27" s="13" t="s">
        <v>136</v>
      </c>
      <c r="D27" s="125" t="s">
        <v>280</v>
      </c>
      <c r="E27" s="126"/>
      <c r="F27" s="21">
        <f>'Stavební rozpočet'!K38</f>
        <v>0</v>
      </c>
      <c r="G27" s="21">
        <v>0</v>
      </c>
      <c r="H27" s="21">
        <f t="shared" si="0"/>
        <v>0</v>
      </c>
      <c r="I27" s="21">
        <f t="shared" si="1"/>
        <v>0</v>
      </c>
      <c r="J27" s="21">
        <f>'Stavební rozpočet'!G38</f>
        <v>54.86</v>
      </c>
      <c r="K27" s="21">
        <v>0</v>
      </c>
      <c r="L27" s="78">
        <v>54.86</v>
      </c>
      <c r="M27" s="85" t="str">
        <f t="shared" si="2"/>
        <v>Nefakturováno</v>
      </c>
      <c r="N27" s="21">
        <f t="shared" si="3"/>
        <v>0</v>
      </c>
      <c r="O27" s="90">
        <f t="shared" si="4"/>
        <v>-100</v>
      </c>
      <c r="P27" s="39"/>
      <c r="AE27" s="21">
        <v>0</v>
      </c>
    </row>
    <row r="28" spans="1:31" ht="12.75">
      <c r="A28" s="4" t="s">
        <v>18</v>
      </c>
      <c r="B28" s="13"/>
      <c r="C28" s="13" t="s">
        <v>137</v>
      </c>
      <c r="D28" s="125" t="s">
        <v>281</v>
      </c>
      <c r="E28" s="126"/>
      <c r="F28" s="21">
        <f>'Stavební rozpočet'!K39</f>
        <v>0</v>
      </c>
      <c r="G28" s="21">
        <v>0</v>
      </c>
      <c r="H28" s="21">
        <f t="shared" si="0"/>
        <v>0</v>
      </c>
      <c r="I28" s="21">
        <f t="shared" si="1"/>
        <v>0</v>
      </c>
      <c r="J28" s="21">
        <f>'Stavební rozpočet'!G39</f>
        <v>126.19</v>
      </c>
      <c r="K28" s="21">
        <v>0</v>
      </c>
      <c r="L28" s="78">
        <v>126.19</v>
      </c>
      <c r="M28" s="85" t="str">
        <f t="shared" si="2"/>
        <v>Nefakturováno</v>
      </c>
      <c r="N28" s="21">
        <f t="shared" si="3"/>
        <v>0</v>
      </c>
      <c r="O28" s="90">
        <f t="shared" si="4"/>
        <v>-100</v>
      </c>
      <c r="P28" s="39"/>
      <c r="AE28" s="21">
        <v>0</v>
      </c>
    </row>
    <row r="29" spans="1:31" ht="12.75">
      <c r="A29" s="4" t="s">
        <v>19</v>
      </c>
      <c r="B29" s="13"/>
      <c r="C29" s="13" t="s">
        <v>138</v>
      </c>
      <c r="D29" s="125" t="s">
        <v>282</v>
      </c>
      <c r="E29" s="126"/>
      <c r="F29" s="21">
        <f>'Stavební rozpočet'!K40</f>
        <v>0</v>
      </c>
      <c r="G29" s="21">
        <v>0</v>
      </c>
      <c r="H29" s="21">
        <f t="shared" si="0"/>
        <v>0</v>
      </c>
      <c r="I29" s="21">
        <f t="shared" si="1"/>
        <v>0</v>
      </c>
      <c r="J29" s="21">
        <f>'Stavební rozpočet'!G40</f>
        <v>54.86</v>
      </c>
      <c r="K29" s="21">
        <v>0</v>
      </c>
      <c r="L29" s="78">
        <v>54.86</v>
      </c>
      <c r="M29" s="85" t="str">
        <f t="shared" si="2"/>
        <v>Nefakturováno</v>
      </c>
      <c r="N29" s="21">
        <f t="shared" si="3"/>
        <v>0</v>
      </c>
      <c r="O29" s="90">
        <f t="shared" si="4"/>
        <v>-100</v>
      </c>
      <c r="P29" s="39"/>
      <c r="AE29" s="21">
        <v>0</v>
      </c>
    </row>
    <row r="30" spans="1:31" ht="12.75">
      <c r="A30" s="75"/>
      <c r="B30" s="14"/>
      <c r="C30" s="14" t="s">
        <v>25</v>
      </c>
      <c r="D30" s="127" t="s">
        <v>283</v>
      </c>
      <c r="E30" s="128"/>
      <c r="F30" s="47">
        <f>SUM(F31:F31)</f>
        <v>0</v>
      </c>
      <c r="G30" s="47">
        <f>SUM(G31:G31)</f>
        <v>0</v>
      </c>
      <c r="H30" s="47">
        <f t="shared" si="0"/>
        <v>0</v>
      </c>
      <c r="I30" s="47">
        <f t="shared" si="1"/>
        <v>0</v>
      </c>
      <c r="J30" s="47">
        <f>SUM(J31:J31)</f>
        <v>155.76</v>
      </c>
      <c r="K30" s="47">
        <f>SUM(K31:K31)</f>
        <v>0</v>
      </c>
      <c r="L30" s="83">
        <f>J30-K30</f>
        <v>155.76</v>
      </c>
      <c r="M30" s="86" t="str">
        <f t="shared" si="2"/>
        <v>Nefakturováno</v>
      </c>
      <c r="N30" s="47">
        <f t="shared" si="3"/>
        <v>0</v>
      </c>
      <c r="O30" s="91">
        <f t="shared" si="4"/>
        <v>-100</v>
      </c>
      <c r="P30" s="39"/>
      <c r="AE30" s="21">
        <v>0</v>
      </c>
    </row>
    <row r="31" spans="1:31" ht="12.75">
      <c r="A31" s="4" t="s">
        <v>20</v>
      </c>
      <c r="B31" s="13"/>
      <c r="C31" s="13" t="s">
        <v>139</v>
      </c>
      <c r="D31" s="125" t="s">
        <v>284</v>
      </c>
      <c r="E31" s="126"/>
      <c r="F31" s="21">
        <f>'Stavební rozpočet'!K42</f>
        <v>0</v>
      </c>
      <c r="G31" s="21">
        <v>0</v>
      </c>
      <c r="H31" s="21">
        <f t="shared" si="0"/>
        <v>0</v>
      </c>
      <c r="I31" s="21">
        <f t="shared" si="1"/>
        <v>0</v>
      </c>
      <c r="J31" s="21">
        <f>'Stavební rozpočet'!G42</f>
        <v>155.76</v>
      </c>
      <c r="K31" s="21">
        <v>0</v>
      </c>
      <c r="L31" s="78">
        <v>155.76</v>
      </c>
      <c r="M31" s="85" t="str">
        <f t="shared" si="2"/>
        <v>Nefakturováno</v>
      </c>
      <c r="N31" s="21">
        <f t="shared" si="3"/>
        <v>0</v>
      </c>
      <c r="O31" s="90">
        <f t="shared" si="4"/>
        <v>-100</v>
      </c>
      <c r="P31" s="39"/>
      <c r="AE31" s="21">
        <v>0</v>
      </c>
    </row>
    <row r="32" spans="1:31" ht="12.75">
      <c r="A32" s="75"/>
      <c r="B32" s="14"/>
      <c r="C32" s="14" t="s">
        <v>33</v>
      </c>
      <c r="D32" s="127" t="s">
        <v>285</v>
      </c>
      <c r="E32" s="128"/>
      <c r="F32" s="47">
        <f>SUM(F33:F35)</f>
        <v>0</v>
      </c>
      <c r="G32" s="47">
        <f>SUM(G33:G35)</f>
        <v>0</v>
      </c>
      <c r="H32" s="47">
        <f t="shared" si="0"/>
        <v>0</v>
      </c>
      <c r="I32" s="47">
        <f t="shared" si="1"/>
        <v>0</v>
      </c>
      <c r="J32" s="47">
        <f>SUM(J33:J35)</f>
        <v>31.93</v>
      </c>
      <c r="K32" s="47">
        <f>SUM(K33:K35)</f>
        <v>0</v>
      </c>
      <c r="L32" s="83">
        <f>J32-K32</f>
        <v>31.93</v>
      </c>
      <c r="M32" s="86" t="str">
        <f t="shared" si="2"/>
        <v>Nefakturováno</v>
      </c>
      <c r="N32" s="47">
        <f t="shared" si="3"/>
        <v>0</v>
      </c>
      <c r="O32" s="91">
        <f t="shared" si="4"/>
        <v>-100</v>
      </c>
      <c r="P32" s="39"/>
      <c r="AE32" s="21">
        <v>0</v>
      </c>
    </row>
    <row r="33" spans="1:31" ht="12.75">
      <c r="A33" s="4" t="s">
        <v>21</v>
      </c>
      <c r="B33" s="13"/>
      <c r="C33" s="13" t="s">
        <v>140</v>
      </c>
      <c r="D33" s="125" t="s">
        <v>286</v>
      </c>
      <c r="E33" s="126"/>
      <c r="F33" s="21">
        <f>'Stavební rozpočet'!K48</f>
        <v>0</v>
      </c>
      <c r="G33" s="21">
        <v>0</v>
      </c>
      <c r="H33" s="21">
        <f t="shared" si="0"/>
        <v>0</v>
      </c>
      <c r="I33" s="21">
        <f t="shared" si="1"/>
        <v>0</v>
      </c>
      <c r="J33" s="21">
        <f>'Stavební rozpočet'!G48</f>
        <v>16.22</v>
      </c>
      <c r="K33" s="21">
        <v>0</v>
      </c>
      <c r="L33" s="78">
        <v>16.22</v>
      </c>
      <c r="M33" s="85" t="str">
        <f t="shared" si="2"/>
        <v>Nefakturováno</v>
      </c>
      <c r="N33" s="21">
        <f t="shared" si="3"/>
        <v>0</v>
      </c>
      <c r="O33" s="90">
        <f t="shared" si="4"/>
        <v>-100</v>
      </c>
      <c r="P33" s="39"/>
      <c r="AE33" s="21">
        <v>0</v>
      </c>
    </row>
    <row r="34" spans="1:31" ht="12.75">
      <c r="A34" s="4" t="s">
        <v>22</v>
      </c>
      <c r="B34" s="13"/>
      <c r="C34" s="13" t="s">
        <v>141</v>
      </c>
      <c r="D34" s="125" t="s">
        <v>287</v>
      </c>
      <c r="E34" s="126"/>
      <c r="F34" s="21">
        <f>'Stavební rozpočet'!K50</f>
        <v>0</v>
      </c>
      <c r="G34" s="21">
        <v>0</v>
      </c>
      <c r="H34" s="21">
        <f t="shared" si="0"/>
        <v>0</v>
      </c>
      <c r="I34" s="21">
        <f t="shared" si="1"/>
        <v>0</v>
      </c>
      <c r="J34" s="21">
        <f>'Stavební rozpočet'!G50</f>
        <v>0.74</v>
      </c>
      <c r="K34" s="21">
        <v>0</v>
      </c>
      <c r="L34" s="78">
        <v>0.74</v>
      </c>
      <c r="M34" s="85" t="str">
        <f t="shared" si="2"/>
        <v>Nefakturováno</v>
      </c>
      <c r="N34" s="21">
        <f t="shared" si="3"/>
        <v>0</v>
      </c>
      <c r="O34" s="90">
        <f t="shared" si="4"/>
        <v>-100</v>
      </c>
      <c r="P34" s="39"/>
      <c r="AE34" s="21">
        <v>0</v>
      </c>
    </row>
    <row r="35" spans="1:31" ht="12.75">
      <c r="A35" s="4" t="s">
        <v>23</v>
      </c>
      <c r="B35" s="13"/>
      <c r="C35" s="13" t="s">
        <v>142</v>
      </c>
      <c r="D35" s="125" t="s">
        <v>288</v>
      </c>
      <c r="E35" s="126"/>
      <c r="F35" s="21">
        <f>'Stavební rozpočet'!K51</f>
        <v>0</v>
      </c>
      <c r="G35" s="21">
        <v>0</v>
      </c>
      <c r="H35" s="21">
        <f t="shared" si="0"/>
        <v>0</v>
      </c>
      <c r="I35" s="21">
        <f t="shared" si="1"/>
        <v>0</v>
      </c>
      <c r="J35" s="21">
        <f>'Stavební rozpočet'!G51</f>
        <v>14.97</v>
      </c>
      <c r="K35" s="21">
        <v>0</v>
      </c>
      <c r="L35" s="78">
        <v>14.97</v>
      </c>
      <c r="M35" s="85" t="str">
        <f t="shared" si="2"/>
        <v>Nefakturováno</v>
      </c>
      <c r="N35" s="21">
        <f t="shared" si="3"/>
        <v>0</v>
      </c>
      <c r="O35" s="90">
        <f t="shared" si="4"/>
        <v>-100</v>
      </c>
      <c r="P35" s="39"/>
      <c r="AE35" s="21">
        <v>0</v>
      </c>
    </row>
    <row r="36" spans="1:31" ht="12.75">
      <c r="A36" s="75"/>
      <c r="B36" s="14"/>
      <c r="C36" s="14" t="s">
        <v>34</v>
      </c>
      <c r="D36" s="127" t="s">
        <v>289</v>
      </c>
      <c r="E36" s="128"/>
      <c r="F36" s="47">
        <f>SUM(F37:F37)</f>
        <v>0</v>
      </c>
      <c r="G36" s="47">
        <f>SUM(G37:G37)</f>
        <v>0</v>
      </c>
      <c r="H36" s="47">
        <f t="shared" si="0"/>
        <v>0</v>
      </c>
      <c r="I36" s="47">
        <f t="shared" si="1"/>
        <v>0</v>
      </c>
      <c r="J36" s="47">
        <f>SUM(J37:J37)</f>
        <v>112</v>
      </c>
      <c r="K36" s="47">
        <f>SUM(K37:K37)</f>
        <v>0</v>
      </c>
      <c r="L36" s="83">
        <f>J36-K36</f>
        <v>112</v>
      </c>
      <c r="M36" s="86" t="str">
        <f t="shared" si="2"/>
        <v>Nefakturováno</v>
      </c>
      <c r="N36" s="47">
        <f t="shared" si="3"/>
        <v>0</v>
      </c>
      <c r="O36" s="91">
        <f t="shared" si="4"/>
        <v>-100</v>
      </c>
      <c r="P36" s="39"/>
      <c r="AE36" s="21">
        <v>0</v>
      </c>
    </row>
    <row r="37" spans="1:31" ht="12.75">
      <c r="A37" s="4" t="s">
        <v>24</v>
      </c>
      <c r="B37" s="13"/>
      <c r="C37" s="13" t="s">
        <v>143</v>
      </c>
      <c r="D37" s="125" t="s">
        <v>290</v>
      </c>
      <c r="E37" s="126"/>
      <c r="F37" s="21">
        <f>'Stavební rozpočet'!K54</f>
        <v>0</v>
      </c>
      <c r="G37" s="21">
        <v>0</v>
      </c>
      <c r="H37" s="21">
        <f t="shared" si="0"/>
        <v>0</v>
      </c>
      <c r="I37" s="21">
        <f t="shared" si="1"/>
        <v>0</v>
      </c>
      <c r="J37" s="21">
        <f>'Stavební rozpočet'!G54</f>
        <v>112</v>
      </c>
      <c r="K37" s="21">
        <v>0</v>
      </c>
      <c r="L37" s="78">
        <v>112</v>
      </c>
      <c r="M37" s="85" t="str">
        <f t="shared" si="2"/>
        <v>Nefakturováno</v>
      </c>
      <c r="N37" s="21">
        <f t="shared" si="3"/>
        <v>0</v>
      </c>
      <c r="O37" s="90">
        <f t="shared" si="4"/>
        <v>-100</v>
      </c>
      <c r="P37" s="39"/>
      <c r="AE37" s="21">
        <v>0</v>
      </c>
    </row>
    <row r="38" spans="1:31" ht="12.75">
      <c r="A38" s="75"/>
      <c r="B38" s="14"/>
      <c r="C38" s="14" t="s">
        <v>37</v>
      </c>
      <c r="D38" s="127" t="s">
        <v>291</v>
      </c>
      <c r="E38" s="128"/>
      <c r="F38" s="47">
        <f>SUM(F39:F40)</f>
        <v>0</v>
      </c>
      <c r="G38" s="47">
        <f>SUM(G39:G40)</f>
        <v>0</v>
      </c>
      <c r="H38" s="47">
        <f t="shared" si="0"/>
        <v>0</v>
      </c>
      <c r="I38" s="47">
        <f t="shared" si="1"/>
        <v>0</v>
      </c>
      <c r="J38" s="47">
        <f>SUM(J39:J40)</f>
        <v>143.2</v>
      </c>
      <c r="K38" s="47">
        <f>SUM(K39:K40)</f>
        <v>0</v>
      </c>
      <c r="L38" s="83">
        <f>J38-K38</f>
        <v>143.2</v>
      </c>
      <c r="M38" s="86" t="str">
        <f t="shared" si="2"/>
        <v>Nefakturováno</v>
      </c>
      <c r="N38" s="47">
        <f t="shared" si="3"/>
        <v>0</v>
      </c>
      <c r="O38" s="91">
        <f t="shared" si="4"/>
        <v>-100</v>
      </c>
      <c r="P38" s="39"/>
      <c r="AE38" s="21">
        <v>0</v>
      </c>
    </row>
    <row r="39" spans="1:31" ht="12.75">
      <c r="A39" s="4" t="s">
        <v>25</v>
      </c>
      <c r="B39" s="13"/>
      <c r="C39" s="13" t="s">
        <v>144</v>
      </c>
      <c r="D39" s="125" t="s">
        <v>292</v>
      </c>
      <c r="E39" s="126"/>
      <c r="F39" s="21">
        <f>'Stavební rozpočet'!K56</f>
        <v>0</v>
      </c>
      <c r="G39" s="21">
        <v>0</v>
      </c>
      <c r="H39" s="21">
        <f t="shared" si="0"/>
        <v>0</v>
      </c>
      <c r="I39" s="21">
        <f t="shared" si="1"/>
        <v>0</v>
      </c>
      <c r="J39" s="21">
        <f>'Stavební rozpočet'!G56</f>
        <v>142.22</v>
      </c>
      <c r="K39" s="21">
        <v>0</v>
      </c>
      <c r="L39" s="78">
        <v>142.22</v>
      </c>
      <c r="M39" s="85" t="str">
        <f t="shared" si="2"/>
        <v>Nefakturováno</v>
      </c>
      <c r="N39" s="21">
        <f t="shared" si="3"/>
        <v>0</v>
      </c>
      <c r="O39" s="90">
        <f t="shared" si="4"/>
        <v>-100</v>
      </c>
      <c r="P39" s="39"/>
      <c r="AE39" s="21">
        <v>0</v>
      </c>
    </row>
    <row r="40" spans="1:31" ht="12.75">
      <c r="A40" s="4" t="s">
        <v>26</v>
      </c>
      <c r="B40" s="13"/>
      <c r="C40" s="13" t="s">
        <v>145</v>
      </c>
      <c r="D40" s="125" t="s">
        <v>293</v>
      </c>
      <c r="E40" s="126"/>
      <c r="F40" s="21">
        <f>'Stavební rozpočet'!K58</f>
        <v>0</v>
      </c>
      <c r="G40" s="21">
        <v>0</v>
      </c>
      <c r="H40" s="21">
        <f t="shared" si="0"/>
        <v>0</v>
      </c>
      <c r="I40" s="21">
        <f t="shared" si="1"/>
        <v>0</v>
      </c>
      <c r="J40" s="21">
        <f>'Stavební rozpočet'!G58</f>
        <v>0.98</v>
      </c>
      <c r="K40" s="21">
        <v>0</v>
      </c>
      <c r="L40" s="78">
        <v>0.98</v>
      </c>
      <c r="M40" s="85" t="str">
        <f t="shared" si="2"/>
        <v>Nefakturováno</v>
      </c>
      <c r="N40" s="21">
        <f t="shared" si="3"/>
        <v>0</v>
      </c>
      <c r="O40" s="90">
        <f t="shared" si="4"/>
        <v>-100</v>
      </c>
      <c r="P40" s="39"/>
      <c r="AE40" s="21">
        <v>0</v>
      </c>
    </row>
    <row r="41" spans="1:31" ht="12.75">
      <c r="A41" s="75"/>
      <c r="B41" s="14"/>
      <c r="C41" s="14" t="s">
        <v>40</v>
      </c>
      <c r="D41" s="127" t="s">
        <v>294</v>
      </c>
      <c r="E41" s="128"/>
      <c r="F41" s="47">
        <f>SUM(F42:F42)</f>
        <v>0</v>
      </c>
      <c r="G41" s="47">
        <f>SUM(G42:G42)</f>
        <v>0</v>
      </c>
      <c r="H41" s="47">
        <f t="shared" si="0"/>
        <v>0</v>
      </c>
      <c r="I41" s="47">
        <f t="shared" si="1"/>
        <v>0</v>
      </c>
      <c r="J41" s="47">
        <f>SUM(J42:J42)</f>
        <v>36.79</v>
      </c>
      <c r="K41" s="47">
        <f>SUM(K42:K42)</f>
        <v>0</v>
      </c>
      <c r="L41" s="83">
        <f>J41-K41</f>
        <v>36.79</v>
      </c>
      <c r="M41" s="86" t="str">
        <f t="shared" si="2"/>
        <v>Nefakturováno</v>
      </c>
      <c r="N41" s="47">
        <f t="shared" si="3"/>
        <v>0</v>
      </c>
      <c r="O41" s="91">
        <f t="shared" si="4"/>
        <v>-100</v>
      </c>
      <c r="P41" s="39"/>
      <c r="AE41" s="21">
        <v>0</v>
      </c>
    </row>
    <row r="42" spans="1:31" ht="12.75">
      <c r="A42" s="4" t="s">
        <v>27</v>
      </c>
      <c r="B42" s="13"/>
      <c r="C42" s="13" t="s">
        <v>146</v>
      </c>
      <c r="D42" s="125" t="s">
        <v>295</v>
      </c>
      <c r="E42" s="126"/>
      <c r="F42" s="21">
        <f>'Stavební rozpočet'!K60</f>
        <v>0</v>
      </c>
      <c r="G42" s="21">
        <v>0</v>
      </c>
      <c r="H42" s="21">
        <f t="shared" si="0"/>
        <v>0</v>
      </c>
      <c r="I42" s="21">
        <f t="shared" si="1"/>
        <v>0</v>
      </c>
      <c r="J42" s="21">
        <f>'Stavební rozpočet'!G60</f>
        <v>36.79</v>
      </c>
      <c r="K42" s="21">
        <v>0</v>
      </c>
      <c r="L42" s="78">
        <v>36.79</v>
      </c>
      <c r="M42" s="85" t="str">
        <f t="shared" si="2"/>
        <v>Nefakturováno</v>
      </c>
      <c r="N42" s="21">
        <f t="shared" si="3"/>
        <v>0</v>
      </c>
      <c r="O42" s="90">
        <f t="shared" si="4"/>
        <v>-100</v>
      </c>
      <c r="P42" s="39"/>
      <c r="AE42" s="21">
        <v>0</v>
      </c>
    </row>
    <row r="43" spans="1:31" ht="12.75">
      <c r="A43" s="75"/>
      <c r="B43" s="14"/>
      <c r="C43" s="14" t="s">
        <v>62</v>
      </c>
      <c r="D43" s="127" t="s">
        <v>296</v>
      </c>
      <c r="E43" s="128"/>
      <c r="F43" s="47">
        <f>SUM(F44:F44)</f>
        <v>0</v>
      </c>
      <c r="G43" s="47">
        <f>SUM(G44:G44)</f>
        <v>0</v>
      </c>
      <c r="H43" s="47">
        <f aca="true" t="shared" si="5" ref="H43:H74">G43-F43</f>
        <v>0</v>
      </c>
      <c r="I43" s="47">
        <f aca="true" t="shared" si="6" ref="I43:I74">IF(F43=0,0,H43/F43*100)</f>
        <v>0</v>
      </c>
      <c r="J43" s="47">
        <f>SUM(J44:J44)</f>
        <v>99.81</v>
      </c>
      <c r="K43" s="47">
        <f>SUM(K44:K44)</f>
        <v>0</v>
      </c>
      <c r="L43" s="83">
        <f>J43-K43</f>
        <v>99.81</v>
      </c>
      <c r="M43" s="86" t="str">
        <f aca="true" t="shared" si="7" ref="M43:M74">IF(G43=0,"Nefakturováno",AE43)</f>
        <v>Nefakturováno</v>
      </c>
      <c r="N43" s="47">
        <f aca="true" t="shared" si="8" ref="N43:N74">AE43-G43</f>
        <v>0</v>
      </c>
      <c r="O43" s="91">
        <f aca="true" t="shared" si="9" ref="O43:O74">IF(G43&lt;&gt;0,N43/G43*100,-100)</f>
        <v>-100</v>
      </c>
      <c r="P43" s="39"/>
      <c r="AE43" s="21">
        <v>0</v>
      </c>
    </row>
    <row r="44" spans="1:31" ht="12.75">
      <c r="A44" s="4" t="s">
        <v>28</v>
      </c>
      <c r="B44" s="13"/>
      <c r="C44" s="13" t="s">
        <v>147</v>
      </c>
      <c r="D44" s="125" t="s">
        <v>297</v>
      </c>
      <c r="E44" s="126"/>
      <c r="F44" s="21">
        <f>'Stavební rozpočet'!K62</f>
        <v>0</v>
      </c>
      <c r="G44" s="21">
        <v>0</v>
      </c>
      <c r="H44" s="21">
        <f t="shared" si="5"/>
        <v>0</v>
      </c>
      <c r="I44" s="21">
        <f t="shared" si="6"/>
        <v>0</v>
      </c>
      <c r="J44" s="21">
        <f>'Stavební rozpočet'!G62</f>
        <v>99.81</v>
      </c>
      <c r="K44" s="21">
        <v>0</v>
      </c>
      <c r="L44" s="78">
        <v>99.81</v>
      </c>
      <c r="M44" s="85" t="str">
        <f t="shared" si="7"/>
        <v>Nefakturováno</v>
      </c>
      <c r="N44" s="21">
        <f t="shared" si="8"/>
        <v>0</v>
      </c>
      <c r="O44" s="90">
        <f t="shared" si="9"/>
        <v>-100</v>
      </c>
      <c r="P44" s="39"/>
      <c r="AE44" s="21">
        <v>0</v>
      </c>
    </row>
    <row r="45" spans="1:31" ht="12.75">
      <c r="A45" s="75"/>
      <c r="B45" s="14"/>
      <c r="C45" s="14" t="s">
        <v>65</v>
      </c>
      <c r="D45" s="127" t="s">
        <v>298</v>
      </c>
      <c r="E45" s="128"/>
      <c r="F45" s="47">
        <f>SUM(F46:F46)</f>
        <v>0</v>
      </c>
      <c r="G45" s="47">
        <f>SUM(G46:G46)</f>
        <v>0</v>
      </c>
      <c r="H45" s="47">
        <f t="shared" si="5"/>
        <v>0</v>
      </c>
      <c r="I45" s="47">
        <f t="shared" si="6"/>
        <v>0</v>
      </c>
      <c r="J45" s="47">
        <f>SUM(J46:J46)</f>
        <v>13.04</v>
      </c>
      <c r="K45" s="47">
        <f>SUM(K46:K46)</f>
        <v>0</v>
      </c>
      <c r="L45" s="83">
        <f>J45-K45</f>
        <v>13.04</v>
      </c>
      <c r="M45" s="86" t="str">
        <f t="shared" si="7"/>
        <v>Nefakturováno</v>
      </c>
      <c r="N45" s="47">
        <f t="shared" si="8"/>
        <v>0</v>
      </c>
      <c r="O45" s="91">
        <f t="shared" si="9"/>
        <v>-100</v>
      </c>
      <c r="P45" s="39"/>
      <c r="AE45" s="21">
        <v>0</v>
      </c>
    </row>
    <row r="46" spans="1:31" ht="12.75">
      <c r="A46" s="4" t="s">
        <v>29</v>
      </c>
      <c r="B46" s="13"/>
      <c r="C46" s="13" t="s">
        <v>148</v>
      </c>
      <c r="D46" s="125" t="s">
        <v>299</v>
      </c>
      <c r="E46" s="126"/>
      <c r="F46" s="21">
        <f>'Stavební rozpočet'!K64</f>
        <v>0</v>
      </c>
      <c r="G46" s="21">
        <v>0</v>
      </c>
      <c r="H46" s="21">
        <f t="shared" si="5"/>
        <v>0</v>
      </c>
      <c r="I46" s="21">
        <f t="shared" si="6"/>
        <v>0</v>
      </c>
      <c r="J46" s="21">
        <f>'Stavební rozpočet'!G64</f>
        <v>13.04</v>
      </c>
      <c r="K46" s="21">
        <v>0</v>
      </c>
      <c r="L46" s="78">
        <v>13.04</v>
      </c>
      <c r="M46" s="85" t="str">
        <f t="shared" si="7"/>
        <v>Nefakturováno</v>
      </c>
      <c r="N46" s="21">
        <f t="shared" si="8"/>
        <v>0</v>
      </c>
      <c r="O46" s="90">
        <f t="shared" si="9"/>
        <v>-100</v>
      </c>
      <c r="P46" s="39"/>
      <c r="AE46" s="21">
        <v>0</v>
      </c>
    </row>
    <row r="47" spans="1:31" ht="12.75">
      <c r="A47" s="75"/>
      <c r="B47" s="14"/>
      <c r="C47" s="14" t="s">
        <v>66</v>
      </c>
      <c r="D47" s="127" t="s">
        <v>300</v>
      </c>
      <c r="E47" s="128"/>
      <c r="F47" s="47">
        <f>SUM(F48:F50)</f>
        <v>0</v>
      </c>
      <c r="G47" s="47">
        <f>SUM(G48:G50)</f>
        <v>0</v>
      </c>
      <c r="H47" s="47">
        <f t="shared" si="5"/>
        <v>0</v>
      </c>
      <c r="I47" s="47">
        <f t="shared" si="6"/>
        <v>0</v>
      </c>
      <c r="J47" s="47">
        <f>SUM(J48:J50)</f>
        <v>1658.5</v>
      </c>
      <c r="K47" s="47">
        <f>SUM(K48:K50)</f>
        <v>0</v>
      </c>
      <c r="L47" s="83">
        <f>J47-K47</f>
        <v>1658.5</v>
      </c>
      <c r="M47" s="86" t="str">
        <f t="shared" si="7"/>
        <v>Nefakturováno</v>
      </c>
      <c r="N47" s="47">
        <f t="shared" si="8"/>
        <v>0</v>
      </c>
      <c r="O47" s="91">
        <f t="shared" si="9"/>
        <v>-100</v>
      </c>
      <c r="P47" s="39"/>
      <c r="AE47" s="21">
        <v>0</v>
      </c>
    </row>
    <row r="48" spans="1:31" ht="12.75">
      <c r="A48" s="4" t="s">
        <v>30</v>
      </c>
      <c r="B48" s="13"/>
      <c r="C48" s="13" t="s">
        <v>149</v>
      </c>
      <c r="D48" s="125" t="s">
        <v>301</v>
      </c>
      <c r="E48" s="126"/>
      <c r="F48" s="21">
        <f>'Stavební rozpočet'!K67</f>
        <v>0</v>
      </c>
      <c r="G48" s="21">
        <v>0</v>
      </c>
      <c r="H48" s="21">
        <f t="shared" si="5"/>
        <v>0</v>
      </c>
      <c r="I48" s="21">
        <f t="shared" si="6"/>
        <v>0</v>
      </c>
      <c r="J48" s="21">
        <f>'Stavební rozpočet'!G67</f>
        <v>371.01</v>
      </c>
      <c r="K48" s="21">
        <v>0</v>
      </c>
      <c r="L48" s="78">
        <v>371.01</v>
      </c>
      <c r="M48" s="85" t="str">
        <f t="shared" si="7"/>
        <v>Nefakturováno</v>
      </c>
      <c r="N48" s="21">
        <f t="shared" si="8"/>
        <v>0</v>
      </c>
      <c r="O48" s="90">
        <f t="shared" si="9"/>
        <v>-100</v>
      </c>
      <c r="P48" s="39"/>
      <c r="AE48" s="21">
        <v>0</v>
      </c>
    </row>
    <row r="49" spans="1:31" ht="12.75">
      <c r="A49" s="4" t="s">
        <v>31</v>
      </c>
      <c r="B49" s="13"/>
      <c r="C49" s="13" t="s">
        <v>150</v>
      </c>
      <c r="D49" s="125" t="s">
        <v>302</v>
      </c>
      <c r="E49" s="126"/>
      <c r="F49" s="21">
        <f>'Stavební rozpočet'!K68</f>
        <v>0</v>
      </c>
      <c r="G49" s="21">
        <v>0</v>
      </c>
      <c r="H49" s="21">
        <f t="shared" si="5"/>
        <v>0</v>
      </c>
      <c r="I49" s="21">
        <f t="shared" si="6"/>
        <v>0</v>
      </c>
      <c r="J49" s="21">
        <f>'Stavební rozpočet'!G68</f>
        <v>647.08</v>
      </c>
      <c r="K49" s="21">
        <v>0</v>
      </c>
      <c r="L49" s="78">
        <v>647.08</v>
      </c>
      <c r="M49" s="85" t="str">
        <f t="shared" si="7"/>
        <v>Nefakturováno</v>
      </c>
      <c r="N49" s="21">
        <f t="shared" si="8"/>
        <v>0</v>
      </c>
      <c r="O49" s="90">
        <f t="shared" si="9"/>
        <v>-100</v>
      </c>
      <c r="P49" s="39"/>
      <c r="AE49" s="21">
        <v>0</v>
      </c>
    </row>
    <row r="50" spans="1:31" ht="12.75">
      <c r="A50" s="4" t="s">
        <v>32</v>
      </c>
      <c r="B50" s="13"/>
      <c r="C50" s="13" t="s">
        <v>151</v>
      </c>
      <c r="D50" s="125" t="s">
        <v>303</v>
      </c>
      <c r="E50" s="126"/>
      <c r="F50" s="21">
        <f>'Stavební rozpočet'!K69</f>
        <v>0</v>
      </c>
      <c r="G50" s="21">
        <v>0</v>
      </c>
      <c r="H50" s="21">
        <f t="shared" si="5"/>
        <v>0</v>
      </c>
      <c r="I50" s="21">
        <f t="shared" si="6"/>
        <v>0</v>
      </c>
      <c r="J50" s="21">
        <f>'Stavební rozpočet'!G69</f>
        <v>640.41</v>
      </c>
      <c r="K50" s="21">
        <v>0</v>
      </c>
      <c r="L50" s="78">
        <v>640.41</v>
      </c>
      <c r="M50" s="85" t="str">
        <f t="shared" si="7"/>
        <v>Nefakturováno</v>
      </c>
      <c r="N50" s="21">
        <f t="shared" si="8"/>
        <v>0</v>
      </c>
      <c r="O50" s="90">
        <f t="shared" si="9"/>
        <v>-100</v>
      </c>
      <c r="P50" s="39"/>
      <c r="AE50" s="21">
        <v>0</v>
      </c>
    </row>
    <row r="51" spans="1:31" ht="12.75">
      <c r="A51" s="75"/>
      <c r="B51" s="14"/>
      <c r="C51" s="14" t="s">
        <v>67</v>
      </c>
      <c r="D51" s="127" t="s">
        <v>304</v>
      </c>
      <c r="E51" s="128"/>
      <c r="F51" s="47">
        <f>SUM(F52:F56)</f>
        <v>0</v>
      </c>
      <c r="G51" s="47">
        <f>SUM(G52:G56)</f>
        <v>0</v>
      </c>
      <c r="H51" s="47">
        <f t="shared" si="5"/>
        <v>0</v>
      </c>
      <c r="I51" s="47">
        <f t="shared" si="6"/>
        <v>0</v>
      </c>
      <c r="J51" s="47">
        <f>SUM(J52:J56)</f>
        <v>2183.63</v>
      </c>
      <c r="K51" s="47">
        <f>SUM(K52:K56)</f>
        <v>0</v>
      </c>
      <c r="L51" s="83">
        <f>J51-K51</f>
        <v>2183.63</v>
      </c>
      <c r="M51" s="86" t="str">
        <f t="shared" si="7"/>
        <v>Nefakturováno</v>
      </c>
      <c r="N51" s="47">
        <f t="shared" si="8"/>
        <v>0</v>
      </c>
      <c r="O51" s="91">
        <f t="shared" si="9"/>
        <v>-100</v>
      </c>
      <c r="P51" s="39"/>
      <c r="AE51" s="21">
        <v>0</v>
      </c>
    </row>
    <row r="52" spans="1:31" ht="12.75">
      <c r="A52" s="4" t="s">
        <v>33</v>
      </c>
      <c r="B52" s="13"/>
      <c r="C52" s="13" t="s">
        <v>152</v>
      </c>
      <c r="D52" s="125" t="s">
        <v>305</v>
      </c>
      <c r="E52" s="126"/>
      <c r="F52" s="21">
        <f>'Stavební rozpočet'!K71</f>
        <v>0</v>
      </c>
      <c r="G52" s="21">
        <v>0</v>
      </c>
      <c r="H52" s="21">
        <f t="shared" si="5"/>
        <v>0</v>
      </c>
      <c r="I52" s="21">
        <f t="shared" si="6"/>
        <v>0</v>
      </c>
      <c r="J52" s="21">
        <f>'Stavební rozpočet'!G71</f>
        <v>647.08</v>
      </c>
      <c r="K52" s="21">
        <v>0</v>
      </c>
      <c r="L52" s="78">
        <v>647.08</v>
      </c>
      <c r="M52" s="85" t="str">
        <f t="shared" si="7"/>
        <v>Nefakturováno</v>
      </c>
      <c r="N52" s="21">
        <f t="shared" si="8"/>
        <v>0</v>
      </c>
      <c r="O52" s="90">
        <f t="shared" si="9"/>
        <v>-100</v>
      </c>
      <c r="P52" s="39"/>
      <c r="AE52" s="21">
        <v>0</v>
      </c>
    </row>
    <row r="53" spans="1:31" ht="12.75">
      <c r="A53" s="4" t="s">
        <v>34</v>
      </c>
      <c r="B53" s="13"/>
      <c r="C53" s="13" t="s">
        <v>153</v>
      </c>
      <c r="D53" s="125" t="s">
        <v>306</v>
      </c>
      <c r="E53" s="126"/>
      <c r="F53" s="21">
        <f>'Stavební rozpočet'!K73</f>
        <v>0</v>
      </c>
      <c r="G53" s="21">
        <v>0</v>
      </c>
      <c r="H53" s="21">
        <f t="shared" si="5"/>
        <v>0</v>
      </c>
      <c r="I53" s="21">
        <f t="shared" si="6"/>
        <v>0</v>
      </c>
      <c r="J53" s="21">
        <f>'Stavební rozpočet'!G73</f>
        <v>371.01</v>
      </c>
      <c r="K53" s="21">
        <v>0</v>
      </c>
      <c r="L53" s="78">
        <v>371.01</v>
      </c>
      <c r="M53" s="85" t="str">
        <f t="shared" si="7"/>
        <v>Nefakturováno</v>
      </c>
      <c r="N53" s="21">
        <f t="shared" si="8"/>
        <v>0</v>
      </c>
      <c r="O53" s="90">
        <f t="shared" si="9"/>
        <v>-100</v>
      </c>
      <c r="P53" s="39"/>
      <c r="AE53" s="21">
        <v>0</v>
      </c>
    </row>
    <row r="54" spans="1:31" ht="12.75">
      <c r="A54" s="4" t="s">
        <v>35</v>
      </c>
      <c r="B54" s="13"/>
      <c r="C54" s="13" t="s">
        <v>154</v>
      </c>
      <c r="D54" s="125" t="s">
        <v>307</v>
      </c>
      <c r="E54" s="126"/>
      <c r="F54" s="21">
        <f>'Stavební rozpočet'!K78</f>
        <v>0</v>
      </c>
      <c r="G54" s="21">
        <v>0</v>
      </c>
      <c r="H54" s="21">
        <f t="shared" si="5"/>
        <v>0</v>
      </c>
      <c r="I54" s="21">
        <f t="shared" si="6"/>
        <v>0</v>
      </c>
      <c r="J54" s="21">
        <f>'Stavební rozpočet'!G78</f>
        <v>451.55</v>
      </c>
      <c r="K54" s="21">
        <v>0</v>
      </c>
      <c r="L54" s="78">
        <v>451.55</v>
      </c>
      <c r="M54" s="85" t="str">
        <f t="shared" si="7"/>
        <v>Nefakturováno</v>
      </c>
      <c r="N54" s="21">
        <f t="shared" si="8"/>
        <v>0</v>
      </c>
      <c r="O54" s="90">
        <f t="shared" si="9"/>
        <v>-100</v>
      </c>
      <c r="P54" s="39"/>
      <c r="AE54" s="21">
        <v>0</v>
      </c>
    </row>
    <row r="55" spans="1:31" ht="12.75">
      <c r="A55" s="4" t="s">
        <v>36</v>
      </c>
      <c r="B55" s="13"/>
      <c r="C55" s="13" t="s">
        <v>153</v>
      </c>
      <c r="D55" s="125" t="s">
        <v>306</v>
      </c>
      <c r="E55" s="126"/>
      <c r="F55" s="21">
        <f>'Stavební rozpočet'!K80</f>
        <v>0</v>
      </c>
      <c r="G55" s="21">
        <v>0</v>
      </c>
      <c r="H55" s="21">
        <f t="shared" si="5"/>
        <v>0</v>
      </c>
      <c r="I55" s="21">
        <f t="shared" si="6"/>
        <v>0</v>
      </c>
      <c r="J55" s="21">
        <f>'Stavební rozpočet'!G80</f>
        <v>640.41</v>
      </c>
      <c r="K55" s="21">
        <v>0</v>
      </c>
      <c r="L55" s="78">
        <v>640.41</v>
      </c>
      <c r="M55" s="85" t="str">
        <f t="shared" si="7"/>
        <v>Nefakturováno</v>
      </c>
      <c r="N55" s="21">
        <f t="shared" si="8"/>
        <v>0</v>
      </c>
      <c r="O55" s="90">
        <f t="shared" si="9"/>
        <v>-100</v>
      </c>
      <c r="P55" s="39"/>
      <c r="AE55" s="21">
        <v>0</v>
      </c>
    </row>
    <row r="56" spans="1:31" ht="12.75">
      <c r="A56" s="4" t="s">
        <v>37</v>
      </c>
      <c r="B56" s="13"/>
      <c r="C56" s="13" t="s">
        <v>155</v>
      </c>
      <c r="D56" s="125" t="s">
        <v>308</v>
      </c>
      <c r="E56" s="126"/>
      <c r="F56" s="21">
        <f>'Stavební rozpočet'!K86</f>
        <v>0</v>
      </c>
      <c r="G56" s="21">
        <v>0</v>
      </c>
      <c r="H56" s="21">
        <f t="shared" si="5"/>
        <v>0</v>
      </c>
      <c r="I56" s="21">
        <f t="shared" si="6"/>
        <v>0</v>
      </c>
      <c r="J56" s="21">
        <f>'Stavební rozpočet'!G86</f>
        <v>73.58</v>
      </c>
      <c r="K56" s="21">
        <v>0</v>
      </c>
      <c r="L56" s="78">
        <v>73.58</v>
      </c>
      <c r="M56" s="85" t="str">
        <f t="shared" si="7"/>
        <v>Nefakturováno</v>
      </c>
      <c r="N56" s="21">
        <f t="shared" si="8"/>
        <v>0</v>
      </c>
      <c r="O56" s="90">
        <f t="shared" si="9"/>
        <v>-100</v>
      </c>
      <c r="P56" s="39"/>
      <c r="AE56" s="21">
        <v>0</v>
      </c>
    </row>
    <row r="57" spans="1:31" ht="12.75">
      <c r="A57" s="75"/>
      <c r="B57" s="14"/>
      <c r="C57" s="14" t="s">
        <v>68</v>
      </c>
      <c r="D57" s="127" t="s">
        <v>309</v>
      </c>
      <c r="E57" s="128"/>
      <c r="F57" s="47">
        <f>SUM(F58:F59)</f>
        <v>0</v>
      </c>
      <c r="G57" s="47">
        <f>SUM(G58:G59)</f>
        <v>0</v>
      </c>
      <c r="H57" s="47">
        <f t="shared" si="5"/>
        <v>0</v>
      </c>
      <c r="I57" s="47">
        <f t="shared" si="6"/>
        <v>0</v>
      </c>
      <c r="J57" s="47">
        <f>SUM(J58:J59)</f>
        <v>2298.91</v>
      </c>
      <c r="K57" s="47">
        <f>SUM(K58:K59)</f>
        <v>0</v>
      </c>
      <c r="L57" s="83">
        <f>J57-K57</f>
        <v>2298.91</v>
      </c>
      <c r="M57" s="86" t="str">
        <f t="shared" si="7"/>
        <v>Nefakturováno</v>
      </c>
      <c r="N57" s="47">
        <f t="shared" si="8"/>
        <v>0</v>
      </c>
      <c r="O57" s="91">
        <f t="shared" si="9"/>
        <v>-100</v>
      </c>
      <c r="P57" s="39"/>
      <c r="AE57" s="21">
        <v>0</v>
      </c>
    </row>
    <row r="58" spans="1:31" ht="12.75">
      <c r="A58" s="4" t="s">
        <v>38</v>
      </c>
      <c r="B58" s="13"/>
      <c r="C58" s="13" t="s">
        <v>156</v>
      </c>
      <c r="D58" s="125" t="s">
        <v>310</v>
      </c>
      <c r="E58" s="126"/>
      <c r="F58" s="21">
        <f>'Stavební rozpočet'!K89</f>
        <v>0</v>
      </c>
      <c r="G58" s="21">
        <v>0</v>
      </c>
      <c r="H58" s="21">
        <f t="shared" si="5"/>
        <v>0</v>
      </c>
      <c r="I58" s="21">
        <f t="shared" si="6"/>
        <v>0</v>
      </c>
      <c r="J58" s="21">
        <f>'Stavební rozpočet'!G89</f>
        <v>1658.5</v>
      </c>
      <c r="K58" s="21">
        <v>0</v>
      </c>
      <c r="L58" s="78">
        <v>1658.5</v>
      </c>
      <c r="M58" s="85" t="str">
        <f t="shared" si="7"/>
        <v>Nefakturováno</v>
      </c>
      <c r="N58" s="21">
        <f t="shared" si="8"/>
        <v>0</v>
      </c>
      <c r="O58" s="90">
        <f t="shared" si="9"/>
        <v>-100</v>
      </c>
      <c r="P58" s="39"/>
      <c r="AE58" s="21">
        <v>0</v>
      </c>
    </row>
    <row r="59" spans="1:31" ht="12.75">
      <c r="A59" s="4" t="s">
        <v>39</v>
      </c>
      <c r="B59" s="13"/>
      <c r="C59" s="13" t="s">
        <v>157</v>
      </c>
      <c r="D59" s="125" t="s">
        <v>311</v>
      </c>
      <c r="E59" s="126"/>
      <c r="F59" s="21">
        <f>'Stavební rozpočet'!K95</f>
        <v>0</v>
      </c>
      <c r="G59" s="21">
        <v>0</v>
      </c>
      <c r="H59" s="21">
        <f t="shared" si="5"/>
        <v>0</v>
      </c>
      <c r="I59" s="21">
        <f t="shared" si="6"/>
        <v>0</v>
      </c>
      <c r="J59" s="21">
        <f>'Stavební rozpočet'!G95</f>
        <v>640.41</v>
      </c>
      <c r="K59" s="21">
        <v>0</v>
      </c>
      <c r="L59" s="78">
        <v>640.41</v>
      </c>
      <c r="M59" s="85" t="str">
        <f t="shared" si="7"/>
        <v>Nefakturováno</v>
      </c>
      <c r="N59" s="21">
        <f t="shared" si="8"/>
        <v>0</v>
      </c>
      <c r="O59" s="90">
        <f t="shared" si="9"/>
        <v>-100</v>
      </c>
      <c r="P59" s="39"/>
      <c r="AE59" s="21">
        <v>0</v>
      </c>
    </row>
    <row r="60" spans="1:31" ht="12.75">
      <c r="A60" s="75"/>
      <c r="B60" s="14"/>
      <c r="C60" s="14" t="s">
        <v>69</v>
      </c>
      <c r="D60" s="127" t="s">
        <v>312</v>
      </c>
      <c r="E60" s="128"/>
      <c r="F60" s="47">
        <f>SUM(F61:F61)</f>
        <v>0</v>
      </c>
      <c r="G60" s="47">
        <f>SUM(G61:G61)</f>
        <v>0</v>
      </c>
      <c r="H60" s="47">
        <f t="shared" si="5"/>
        <v>0</v>
      </c>
      <c r="I60" s="47">
        <f t="shared" si="6"/>
        <v>0</v>
      </c>
      <c r="J60" s="47">
        <f>SUM(J61:J61)</f>
        <v>99.81</v>
      </c>
      <c r="K60" s="47">
        <f>SUM(K61:K61)</f>
        <v>0</v>
      </c>
      <c r="L60" s="83">
        <f>J60-K60</f>
        <v>99.81</v>
      </c>
      <c r="M60" s="86" t="str">
        <f t="shared" si="7"/>
        <v>Nefakturováno</v>
      </c>
      <c r="N60" s="47">
        <f t="shared" si="8"/>
        <v>0</v>
      </c>
      <c r="O60" s="91">
        <f t="shared" si="9"/>
        <v>-100</v>
      </c>
      <c r="P60" s="39"/>
      <c r="AE60" s="21">
        <v>0</v>
      </c>
    </row>
    <row r="61" spans="1:31" ht="12.75">
      <c r="A61" s="4" t="s">
        <v>40</v>
      </c>
      <c r="B61" s="13"/>
      <c r="C61" s="13" t="s">
        <v>158</v>
      </c>
      <c r="D61" s="125" t="s">
        <v>313</v>
      </c>
      <c r="E61" s="126"/>
      <c r="F61" s="21">
        <f>'Stavební rozpočet'!K97</f>
        <v>0</v>
      </c>
      <c r="G61" s="21">
        <v>0</v>
      </c>
      <c r="H61" s="21">
        <f t="shared" si="5"/>
        <v>0</v>
      </c>
      <c r="I61" s="21">
        <f t="shared" si="6"/>
        <v>0</v>
      </c>
      <c r="J61" s="21">
        <f>'Stavební rozpočet'!G97</f>
        <v>99.81</v>
      </c>
      <c r="K61" s="21">
        <v>0</v>
      </c>
      <c r="L61" s="78">
        <v>99.81</v>
      </c>
      <c r="M61" s="85" t="str">
        <f t="shared" si="7"/>
        <v>Nefakturováno</v>
      </c>
      <c r="N61" s="21">
        <f t="shared" si="8"/>
        <v>0</v>
      </c>
      <c r="O61" s="90">
        <f t="shared" si="9"/>
        <v>-100</v>
      </c>
      <c r="P61" s="39"/>
      <c r="AE61" s="21">
        <v>0</v>
      </c>
    </row>
    <row r="62" spans="1:31" ht="12.75">
      <c r="A62" s="75"/>
      <c r="B62" s="14"/>
      <c r="C62" s="14" t="s">
        <v>159</v>
      </c>
      <c r="D62" s="127" t="s">
        <v>314</v>
      </c>
      <c r="E62" s="128"/>
      <c r="F62" s="47">
        <f>SUM(F63:F65)</f>
        <v>0</v>
      </c>
      <c r="G62" s="47">
        <f>SUM(G63:G65)</f>
        <v>0</v>
      </c>
      <c r="H62" s="47">
        <f t="shared" si="5"/>
        <v>0</v>
      </c>
      <c r="I62" s="47">
        <f t="shared" si="6"/>
        <v>0</v>
      </c>
      <c r="J62" s="47">
        <f>SUM(J63:J65)</f>
        <v>282.38</v>
      </c>
      <c r="K62" s="47">
        <f>SUM(K63:K65)</f>
        <v>0</v>
      </c>
      <c r="L62" s="83">
        <f>J62-K62</f>
        <v>282.38</v>
      </c>
      <c r="M62" s="86" t="str">
        <f t="shared" si="7"/>
        <v>Nefakturováno</v>
      </c>
      <c r="N62" s="47">
        <f t="shared" si="8"/>
        <v>0</v>
      </c>
      <c r="O62" s="91">
        <f t="shared" si="9"/>
        <v>-100</v>
      </c>
      <c r="P62" s="39"/>
      <c r="AE62" s="21">
        <v>0</v>
      </c>
    </row>
    <row r="63" spans="1:31" ht="12.75">
      <c r="A63" s="4" t="s">
        <v>41</v>
      </c>
      <c r="B63" s="13"/>
      <c r="C63" s="13" t="s">
        <v>160</v>
      </c>
      <c r="D63" s="125" t="s">
        <v>315</v>
      </c>
      <c r="E63" s="126"/>
      <c r="F63" s="21">
        <f>'Stavební rozpočet'!K100</f>
        <v>0</v>
      </c>
      <c r="G63" s="21">
        <v>0</v>
      </c>
      <c r="H63" s="21">
        <f t="shared" si="5"/>
        <v>0</v>
      </c>
      <c r="I63" s="21">
        <f t="shared" si="6"/>
        <v>0</v>
      </c>
      <c r="J63" s="21">
        <f>'Stavební rozpočet'!G100</f>
        <v>141.19</v>
      </c>
      <c r="K63" s="21">
        <v>0</v>
      </c>
      <c r="L63" s="78">
        <v>141.19</v>
      </c>
      <c r="M63" s="85" t="str">
        <f t="shared" si="7"/>
        <v>Nefakturováno</v>
      </c>
      <c r="N63" s="21">
        <f t="shared" si="8"/>
        <v>0</v>
      </c>
      <c r="O63" s="90">
        <f t="shared" si="9"/>
        <v>-100</v>
      </c>
      <c r="P63" s="39"/>
      <c r="AE63" s="21">
        <v>0</v>
      </c>
    </row>
    <row r="64" spans="1:31" ht="12.75">
      <c r="A64" s="4" t="s">
        <v>42</v>
      </c>
      <c r="B64" s="13"/>
      <c r="C64" s="13" t="s">
        <v>161</v>
      </c>
      <c r="D64" s="125" t="s">
        <v>316</v>
      </c>
      <c r="E64" s="126"/>
      <c r="F64" s="21">
        <f>'Stavební rozpočet'!K101</f>
        <v>0</v>
      </c>
      <c r="G64" s="21">
        <v>0</v>
      </c>
      <c r="H64" s="21">
        <f t="shared" si="5"/>
        <v>0</v>
      </c>
      <c r="I64" s="21">
        <f t="shared" si="6"/>
        <v>0</v>
      </c>
      <c r="J64" s="21">
        <f>'Stavební rozpočet'!G101</f>
        <v>41.38</v>
      </c>
      <c r="K64" s="21">
        <v>0</v>
      </c>
      <c r="L64" s="78">
        <v>41.38</v>
      </c>
      <c r="M64" s="85" t="str">
        <f t="shared" si="7"/>
        <v>Nefakturováno</v>
      </c>
      <c r="N64" s="21">
        <f t="shared" si="8"/>
        <v>0</v>
      </c>
      <c r="O64" s="90">
        <f t="shared" si="9"/>
        <v>-100</v>
      </c>
      <c r="P64" s="39"/>
      <c r="AE64" s="21">
        <v>0</v>
      </c>
    </row>
    <row r="65" spans="1:31" ht="12.75">
      <c r="A65" s="4" t="s">
        <v>43</v>
      </c>
      <c r="B65" s="13"/>
      <c r="C65" s="13" t="s">
        <v>162</v>
      </c>
      <c r="D65" s="125" t="s">
        <v>317</v>
      </c>
      <c r="E65" s="126"/>
      <c r="F65" s="21">
        <f>'Stavební rozpočet'!K102</f>
        <v>0</v>
      </c>
      <c r="G65" s="21">
        <v>0</v>
      </c>
      <c r="H65" s="21">
        <f t="shared" si="5"/>
        <v>0</v>
      </c>
      <c r="I65" s="21">
        <f t="shared" si="6"/>
        <v>0</v>
      </c>
      <c r="J65" s="21">
        <f>'Stavební rozpočet'!G102</f>
        <v>99.81</v>
      </c>
      <c r="K65" s="21">
        <v>0</v>
      </c>
      <c r="L65" s="78">
        <v>99.81</v>
      </c>
      <c r="M65" s="85" t="str">
        <f t="shared" si="7"/>
        <v>Nefakturováno</v>
      </c>
      <c r="N65" s="21">
        <f t="shared" si="8"/>
        <v>0</v>
      </c>
      <c r="O65" s="90">
        <f t="shared" si="9"/>
        <v>-100</v>
      </c>
      <c r="P65" s="39"/>
      <c r="AE65" s="21">
        <v>0</v>
      </c>
    </row>
    <row r="66" spans="1:31" ht="12.75">
      <c r="A66" s="75"/>
      <c r="B66" s="14"/>
      <c r="C66" s="14" t="s">
        <v>163</v>
      </c>
      <c r="D66" s="127" t="s">
        <v>318</v>
      </c>
      <c r="E66" s="128"/>
      <c r="F66" s="47">
        <f>SUM(F67:F67)</f>
        <v>0</v>
      </c>
      <c r="G66" s="47">
        <f>SUM(G67:G67)</f>
        <v>0</v>
      </c>
      <c r="H66" s="47">
        <f t="shared" si="5"/>
        <v>0</v>
      </c>
      <c r="I66" s="47">
        <f t="shared" si="6"/>
        <v>0</v>
      </c>
      <c r="J66" s="47">
        <f>SUM(J67:J67)</f>
        <v>1</v>
      </c>
      <c r="K66" s="47">
        <f>SUM(K67:K67)</f>
        <v>0</v>
      </c>
      <c r="L66" s="83">
        <f>J66-K66</f>
        <v>1</v>
      </c>
      <c r="M66" s="86" t="str">
        <f t="shared" si="7"/>
        <v>Nefakturováno</v>
      </c>
      <c r="N66" s="47">
        <f t="shared" si="8"/>
        <v>0</v>
      </c>
      <c r="O66" s="91">
        <f t="shared" si="9"/>
        <v>-100</v>
      </c>
      <c r="P66" s="39"/>
      <c r="AE66" s="21">
        <v>0</v>
      </c>
    </row>
    <row r="67" spans="1:31" ht="12.75">
      <c r="A67" s="4" t="s">
        <v>44</v>
      </c>
      <c r="B67" s="13"/>
      <c r="C67" s="13" t="s">
        <v>164</v>
      </c>
      <c r="D67" s="125" t="s">
        <v>319</v>
      </c>
      <c r="E67" s="126"/>
      <c r="F67" s="21">
        <f>'Stavební rozpočet'!K104</f>
        <v>0</v>
      </c>
      <c r="G67" s="21">
        <v>0</v>
      </c>
      <c r="H67" s="21">
        <f t="shared" si="5"/>
        <v>0</v>
      </c>
      <c r="I67" s="21">
        <f t="shared" si="6"/>
        <v>0</v>
      </c>
      <c r="J67" s="21">
        <f>'Stavební rozpočet'!G104</f>
        <v>1</v>
      </c>
      <c r="K67" s="21">
        <v>0</v>
      </c>
      <c r="L67" s="78">
        <v>1</v>
      </c>
      <c r="M67" s="85" t="str">
        <f t="shared" si="7"/>
        <v>Nefakturováno</v>
      </c>
      <c r="N67" s="21">
        <f t="shared" si="8"/>
        <v>0</v>
      </c>
      <c r="O67" s="90">
        <f t="shared" si="9"/>
        <v>-100</v>
      </c>
      <c r="P67" s="39"/>
      <c r="AE67" s="21">
        <v>0</v>
      </c>
    </row>
    <row r="68" spans="1:31" ht="12.75">
      <c r="A68" s="75"/>
      <c r="B68" s="14"/>
      <c r="C68" s="14" t="s">
        <v>165</v>
      </c>
      <c r="D68" s="127" t="s">
        <v>320</v>
      </c>
      <c r="E68" s="128"/>
      <c r="F68" s="47">
        <f>SUM(F69:F69)</f>
        <v>0</v>
      </c>
      <c r="G68" s="47">
        <f>SUM(G69:G69)</f>
        <v>0</v>
      </c>
      <c r="H68" s="47">
        <f t="shared" si="5"/>
        <v>0</v>
      </c>
      <c r="I68" s="47">
        <f t="shared" si="6"/>
        <v>0</v>
      </c>
      <c r="J68" s="47">
        <f>SUM(J69:J69)</f>
        <v>8</v>
      </c>
      <c r="K68" s="47">
        <f>SUM(K69:K69)</f>
        <v>0</v>
      </c>
      <c r="L68" s="83">
        <f>J68-K68</f>
        <v>8</v>
      </c>
      <c r="M68" s="86" t="str">
        <f t="shared" si="7"/>
        <v>Nefakturováno</v>
      </c>
      <c r="N68" s="47">
        <f t="shared" si="8"/>
        <v>0</v>
      </c>
      <c r="O68" s="91">
        <f t="shared" si="9"/>
        <v>-100</v>
      </c>
      <c r="P68" s="39"/>
      <c r="AE68" s="21">
        <v>0</v>
      </c>
    </row>
    <row r="69" spans="1:31" ht="12.75">
      <c r="A69" s="4" t="s">
        <v>45</v>
      </c>
      <c r="B69" s="13"/>
      <c r="C69" s="13" t="s">
        <v>166</v>
      </c>
      <c r="D69" s="125" t="s">
        <v>321</v>
      </c>
      <c r="E69" s="126"/>
      <c r="F69" s="21">
        <f>'Stavební rozpočet'!K107</f>
        <v>0</v>
      </c>
      <c r="G69" s="21">
        <v>0</v>
      </c>
      <c r="H69" s="21">
        <f t="shared" si="5"/>
        <v>0</v>
      </c>
      <c r="I69" s="21">
        <f t="shared" si="6"/>
        <v>0</v>
      </c>
      <c r="J69" s="21">
        <f>'Stavební rozpočet'!G107</f>
        <v>8</v>
      </c>
      <c r="K69" s="21">
        <v>0</v>
      </c>
      <c r="L69" s="78">
        <v>8</v>
      </c>
      <c r="M69" s="85" t="str">
        <f t="shared" si="7"/>
        <v>Nefakturováno</v>
      </c>
      <c r="N69" s="21">
        <f t="shared" si="8"/>
        <v>0</v>
      </c>
      <c r="O69" s="90">
        <f t="shared" si="9"/>
        <v>-100</v>
      </c>
      <c r="P69" s="39"/>
      <c r="AE69" s="21">
        <v>0</v>
      </c>
    </row>
    <row r="70" spans="1:31" ht="12.75">
      <c r="A70" s="75"/>
      <c r="B70" s="14"/>
      <c r="C70" s="14" t="s">
        <v>167</v>
      </c>
      <c r="D70" s="127" t="s">
        <v>322</v>
      </c>
      <c r="E70" s="128"/>
      <c r="F70" s="47">
        <f>SUM(F71:F75)</f>
        <v>0</v>
      </c>
      <c r="G70" s="47">
        <f>SUM(G71:G75)</f>
        <v>0</v>
      </c>
      <c r="H70" s="47">
        <f t="shared" si="5"/>
        <v>0</v>
      </c>
      <c r="I70" s="47">
        <f t="shared" si="6"/>
        <v>0</v>
      </c>
      <c r="J70" s="47">
        <f>SUM(J71:J75)</f>
        <v>2089.68</v>
      </c>
      <c r="K70" s="47">
        <f>SUM(K71:K75)</f>
        <v>0</v>
      </c>
      <c r="L70" s="83">
        <f>J70-K70</f>
        <v>2089.68</v>
      </c>
      <c r="M70" s="86" t="str">
        <f t="shared" si="7"/>
        <v>Nefakturováno</v>
      </c>
      <c r="N70" s="47">
        <f t="shared" si="8"/>
        <v>0</v>
      </c>
      <c r="O70" s="91">
        <f t="shared" si="9"/>
        <v>-100</v>
      </c>
      <c r="P70" s="39"/>
      <c r="AE70" s="21">
        <v>0</v>
      </c>
    </row>
    <row r="71" spans="1:31" ht="12.75">
      <c r="A71" s="4" t="s">
        <v>46</v>
      </c>
      <c r="B71" s="13"/>
      <c r="C71" s="13" t="s">
        <v>168</v>
      </c>
      <c r="D71" s="125" t="s">
        <v>323</v>
      </c>
      <c r="E71" s="126"/>
      <c r="F71" s="21">
        <f>'Stavební rozpočet'!K109</f>
        <v>0</v>
      </c>
      <c r="G71" s="21">
        <v>0</v>
      </c>
      <c r="H71" s="21">
        <f t="shared" si="5"/>
        <v>0</v>
      </c>
      <c r="I71" s="21">
        <f t="shared" si="6"/>
        <v>0</v>
      </c>
      <c r="J71" s="21">
        <f>'Stavební rozpočet'!G109</f>
        <v>961.44</v>
      </c>
      <c r="K71" s="21">
        <v>0</v>
      </c>
      <c r="L71" s="78">
        <v>961.44</v>
      </c>
      <c r="M71" s="85" t="str">
        <f t="shared" si="7"/>
        <v>Nefakturováno</v>
      </c>
      <c r="N71" s="21">
        <f t="shared" si="8"/>
        <v>0</v>
      </c>
      <c r="O71" s="90">
        <f t="shared" si="9"/>
        <v>-100</v>
      </c>
      <c r="P71" s="39"/>
      <c r="AE71" s="21">
        <v>0</v>
      </c>
    </row>
    <row r="72" spans="1:31" ht="12.75">
      <c r="A72" s="4" t="s">
        <v>47</v>
      </c>
      <c r="B72" s="13"/>
      <c r="C72" s="13" t="s">
        <v>169</v>
      </c>
      <c r="D72" s="125" t="s">
        <v>324</v>
      </c>
      <c r="E72" s="126"/>
      <c r="F72" s="21">
        <f>'Stavební rozpočet'!K110</f>
        <v>0</v>
      </c>
      <c r="G72" s="21">
        <v>0</v>
      </c>
      <c r="H72" s="21">
        <f t="shared" si="5"/>
        <v>0</v>
      </c>
      <c r="I72" s="21">
        <f t="shared" si="6"/>
        <v>0</v>
      </c>
      <c r="J72" s="21">
        <f>'Stavební rozpočet'!G110</f>
        <v>961.44</v>
      </c>
      <c r="K72" s="21">
        <v>0</v>
      </c>
      <c r="L72" s="78">
        <v>961.44</v>
      </c>
      <c r="M72" s="85" t="str">
        <f t="shared" si="7"/>
        <v>Nefakturováno</v>
      </c>
      <c r="N72" s="21">
        <f t="shared" si="8"/>
        <v>0</v>
      </c>
      <c r="O72" s="90">
        <f t="shared" si="9"/>
        <v>-100</v>
      </c>
      <c r="P72" s="39"/>
      <c r="AE72" s="21">
        <v>0</v>
      </c>
    </row>
    <row r="73" spans="1:31" ht="12.75">
      <c r="A73" s="4" t="s">
        <v>48</v>
      </c>
      <c r="B73" s="13"/>
      <c r="C73" s="13" t="s">
        <v>170</v>
      </c>
      <c r="D73" s="125" t="s">
        <v>325</v>
      </c>
      <c r="E73" s="126"/>
      <c r="F73" s="21">
        <f>'Stavební rozpočet'!K111</f>
        <v>0</v>
      </c>
      <c r="G73" s="21">
        <v>0</v>
      </c>
      <c r="H73" s="21">
        <f t="shared" si="5"/>
        <v>0</v>
      </c>
      <c r="I73" s="21">
        <f t="shared" si="6"/>
        <v>0</v>
      </c>
      <c r="J73" s="21">
        <f>'Stavební rozpočet'!G111</f>
        <v>12.58</v>
      </c>
      <c r="K73" s="21">
        <v>0</v>
      </c>
      <c r="L73" s="78">
        <v>12.58</v>
      </c>
      <c r="M73" s="85" t="str">
        <f t="shared" si="7"/>
        <v>Nefakturováno</v>
      </c>
      <c r="N73" s="21">
        <f t="shared" si="8"/>
        <v>0</v>
      </c>
      <c r="O73" s="90">
        <f t="shared" si="9"/>
        <v>-100</v>
      </c>
      <c r="P73" s="39"/>
      <c r="AE73" s="21">
        <v>0</v>
      </c>
    </row>
    <row r="74" spans="1:31" ht="12.75">
      <c r="A74" s="4" t="s">
        <v>49</v>
      </c>
      <c r="B74" s="13"/>
      <c r="C74" s="13" t="s">
        <v>171</v>
      </c>
      <c r="D74" s="125" t="s">
        <v>326</v>
      </c>
      <c r="E74" s="126"/>
      <c r="F74" s="21">
        <f>'Stavební rozpočet'!K112</f>
        <v>0</v>
      </c>
      <c r="G74" s="21">
        <v>0</v>
      </c>
      <c r="H74" s="21">
        <f t="shared" si="5"/>
        <v>0</v>
      </c>
      <c r="I74" s="21">
        <f t="shared" si="6"/>
        <v>0</v>
      </c>
      <c r="J74" s="21">
        <f>'Stavební rozpočet'!G112</f>
        <v>154.22</v>
      </c>
      <c r="K74" s="21">
        <v>0</v>
      </c>
      <c r="L74" s="78">
        <v>154.22</v>
      </c>
      <c r="M74" s="85" t="str">
        <f t="shared" si="7"/>
        <v>Nefakturováno</v>
      </c>
      <c r="N74" s="21">
        <f t="shared" si="8"/>
        <v>0</v>
      </c>
      <c r="O74" s="90">
        <f t="shared" si="9"/>
        <v>-100</v>
      </c>
      <c r="P74" s="39"/>
      <c r="AE74" s="21">
        <v>0</v>
      </c>
    </row>
    <row r="75" spans="1:31" ht="12.75">
      <c r="A75" s="4" t="s">
        <v>50</v>
      </c>
      <c r="B75" s="13"/>
      <c r="C75" s="13" t="s">
        <v>172</v>
      </c>
      <c r="D75" s="125" t="s">
        <v>327</v>
      </c>
      <c r="E75" s="126"/>
      <c r="F75" s="21">
        <f>'Stavební rozpočet'!K113</f>
        <v>0</v>
      </c>
      <c r="G75" s="21">
        <v>0</v>
      </c>
      <c r="H75" s="21">
        <f aca="true" t="shared" si="10" ref="H75:H106">G75-F75</f>
        <v>0</v>
      </c>
      <c r="I75" s="21">
        <f aca="true" t="shared" si="11" ref="I75:I106">IF(F75=0,0,H75/F75*100)</f>
        <v>0</v>
      </c>
      <c r="J75" s="21">
        <f>'Stavební rozpočet'!G113</f>
        <v>0</v>
      </c>
      <c r="K75" s="21">
        <v>0</v>
      </c>
      <c r="L75" s="78">
        <v>1</v>
      </c>
      <c r="M75" s="85" t="str">
        <f aca="true" t="shared" si="12" ref="M75:M106">IF(G75=0,"Nefakturováno",AE75)</f>
        <v>Nefakturováno</v>
      </c>
      <c r="N75" s="21">
        <f aca="true" t="shared" si="13" ref="N75:N106">AE75-G75</f>
        <v>0</v>
      </c>
      <c r="O75" s="90">
        <f aca="true" t="shared" si="14" ref="O75:O106">IF(G75&lt;&gt;0,N75/G75*100,-100)</f>
        <v>-100</v>
      </c>
      <c r="P75" s="39"/>
      <c r="AE75" s="21">
        <v>0</v>
      </c>
    </row>
    <row r="76" spans="1:31" ht="12.75">
      <c r="A76" s="75"/>
      <c r="B76" s="14"/>
      <c r="C76" s="14" t="s">
        <v>173</v>
      </c>
      <c r="D76" s="127" t="s">
        <v>328</v>
      </c>
      <c r="E76" s="128"/>
      <c r="F76" s="47">
        <f>SUM(F77:F80)</f>
        <v>0</v>
      </c>
      <c r="G76" s="47">
        <f>SUM(G77:G80)</f>
        <v>0</v>
      </c>
      <c r="H76" s="47">
        <f t="shared" si="10"/>
        <v>0</v>
      </c>
      <c r="I76" s="47">
        <f t="shared" si="11"/>
        <v>0</v>
      </c>
      <c r="J76" s="47">
        <f>SUM(J77:J80)</f>
        <v>1122.96</v>
      </c>
      <c r="K76" s="47">
        <f>SUM(K77:K80)</f>
        <v>0</v>
      </c>
      <c r="L76" s="83">
        <f>J76-K76</f>
        <v>1122.96</v>
      </c>
      <c r="M76" s="86" t="str">
        <f t="shared" si="12"/>
        <v>Nefakturováno</v>
      </c>
      <c r="N76" s="47">
        <f t="shared" si="13"/>
        <v>0</v>
      </c>
      <c r="O76" s="91">
        <f t="shared" si="14"/>
        <v>-100</v>
      </c>
      <c r="P76" s="39"/>
      <c r="AE76" s="21">
        <v>0</v>
      </c>
    </row>
    <row r="77" spans="1:31" ht="12.75">
      <c r="A77" s="4" t="s">
        <v>51</v>
      </c>
      <c r="B77" s="13"/>
      <c r="C77" s="13" t="s">
        <v>174</v>
      </c>
      <c r="D77" s="125" t="s">
        <v>329</v>
      </c>
      <c r="E77" s="126"/>
      <c r="F77" s="21">
        <f>'Stavební rozpočet'!K115</f>
        <v>0</v>
      </c>
      <c r="G77" s="21">
        <v>0</v>
      </c>
      <c r="H77" s="21">
        <f t="shared" si="10"/>
        <v>0</v>
      </c>
      <c r="I77" s="21">
        <f t="shared" si="11"/>
        <v>0</v>
      </c>
      <c r="J77" s="21">
        <f>'Stavební rozpočet'!G115</f>
        <v>961.44</v>
      </c>
      <c r="K77" s="21">
        <v>0</v>
      </c>
      <c r="L77" s="78">
        <v>961.44</v>
      </c>
      <c r="M77" s="85" t="str">
        <f t="shared" si="12"/>
        <v>Nefakturováno</v>
      </c>
      <c r="N77" s="21">
        <f t="shared" si="13"/>
        <v>0</v>
      </c>
      <c r="O77" s="90">
        <f t="shared" si="14"/>
        <v>-100</v>
      </c>
      <c r="P77" s="39"/>
      <c r="AE77" s="21">
        <v>0</v>
      </c>
    </row>
    <row r="78" spans="1:31" ht="12.75">
      <c r="A78" s="4" t="s">
        <v>52</v>
      </c>
      <c r="B78" s="13"/>
      <c r="C78" s="13" t="s">
        <v>175</v>
      </c>
      <c r="D78" s="125" t="s">
        <v>330</v>
      </c>
      <c r="E78" s="126"/>
      <c r="F78" s="21">
        <f>'Stavební rozpočet'!K116</f>
        <v>0</v>
      </c>
      <c r="G78" s="21">
        <v>0</v>
      </c>
      <c r="H78" s="21">
        <f t="shared" si="10"/>
        <v>0</v>
      </c>
      <c r="I78" s="21">
        <f t="shared" si="11"/>
        <v>0</v>
      </c>
      <c r="J78" s="21">
        <f>'Stavební rozpočet'!G116</f>
        <v>42.4</v>
      </c>
      <c r="K78" s="21">
        <v>0</v>
      </c>
      <c r="L78" s="78">
        <v>42.4</v>
      </c>
      <c r="M78" s="85" t="str">
        <f t="shared" si="12"/>
        <v>Nefakturováno</v>
      </c>
      <c r="N78" s="21">
        <f t="shared" si="13"/>
        <v>0</v>
      </c>
      <c r="O78" s="90">
        <f t="shared" si="14"/>
        <v>-100</v>
      </c>
      <c r="P78" s="39"/>
      <c r="AE78" s="21">
        <v>0</v>
      </c>
    </row>
    <row r="79" spans="1:31" ht="12.75">
      <c r="A79" s="4" t="s">
        <v>53</v>
      </c>
      <c r="B79" s="13"/>
      <c r="C79" s="13" t="s">
        <v>176</v>
      </c>
      <c r="D79" s="125" t="s">
        <v>331</v>
      </c>
      <c r="E79" s="126"/>
      <c r="F79" s="21">
        <f>'Stavební rozpočet'!K118</f>
        <v>0</v>
      </c>
      <c r="G79" s="21">
        <v>0</v>
      </c>
      <c r="H79" s="21">
        <f t="shared" si="10"/>
        <v>0</v>
      </c>
      <c r="I79" s="21">
        <f t="shared" si="11"/>
        <v>0</v>
      </c>
      <c r="J79" s="21">
        <f>'Stavební rozpočet'!G118</f>
        <v>118.12</v>
      </c>
      <c r="K79" s="21">
        <v>0</v>
      </c>
      <c r="L79" s="78">
        <v>118.12</v>
      </c>
      <c r="M79" s="85" t="str">
        <f t="shared" si="12"/>
        <v>Nefakturováno</v>
      </c>
      <c r="N79" s="21">
        <f t="shared" si="13"/>
        <v>0</v>
      </c>
      <c r="O79" s="90">
        <f t="shared" si="14"/>
        <v>-100</v>
      </c>
      <c r="P79" s="39"/>
      <c r="AE79" s="21">
        <v>0</v>
      </c>
    </row>
    <row r="80" spans="1:31" ht="12.75">
      <c r="A80" s="4" t="s">
        <v>54</v>
      </c>
      <c r="B80" s="13"/>
      <c r="C80" s="13" t="s">
        <v>177</v>
      </c>
      <c r="D80" s="125" t="s">
        <v>332</v>
      </c>
      <c r="E80" s="126"/>
      <c r="F80" s="21">
        <f>'Stavební rozpočet'!K120</f>
        <v>0</v>
      </c>
      <c r="G80" s="21">
        <v>0</v>
      </c>
      <c r="H80" s="21">
        <f t="shared" si="10"/>
        <v>0</v>
      </c>
      <c r="I80" s="21">
        <f t="shared" si="11"/>
        <v>0</v>
      </c>
      <c r="J80" s="21">
        <f>'Stavební rozpočet'!G120</f>
        <v>1</v>
      </c>
      <c r="K80" s="21">
        <v>0</v>
      </c>
      <c r="L80" s="78">
        <v>1</v>
      </c>
      <c r="M80" s="85" t="str">
        <f t="shared" si="12"/>
        <v>Nefakturováno</v>
      </c>
      <c r="N80" s="21">
        <f t="shared" si="13"/>
        <v>0</v>
      </c>
      <c r="O80" s="90">
        <f t="shared" si="14"/>
        <v>-100</v>
      </c>
      <c r="P80" s="39"/>
      <c r="AE80" s="21">
        <v>0</v>
      </c>
    </row>
    <row r="81" spans="1:31" ht="12.75">
      <c r="A81" s="75"/>
      <c r="B81" s="14"/>
      <c r="C81" s="14" t="s">
        <v>178</v>
      </c>
      <c r="D81" s="127" t="s">
        <v>333</v>
      </c>
      <c r="E81" s="128"/>
      <c r="F81" s="47">
        <f>SUM(F82:F85)</f>
        <v>0</v>
      </c>
      <c r="G81" s="47">
        <f>SUM(G82:G85)</f>
        <v>0</v>
      </c>
      <c r="H81" s="47">
        <f t="shared" si="10"/>
        <v>0</v>
      </c>
      <c r="I81" s="47">
        <f t="shared" si="11"/>
        <v>0</v>
      </c>
      <c r="J81" s="47">
        <f>SUM(J82:J85)</f>
        <v>2190.56</v>
      </c>
      <c r="K81" s="47">
        <f>SUM(K82:K85)</f>
        <v>0</v>
      </c>
      <c r="L81" s="83">
        <f>J81-K81</f>
        <v>2190.56</v>
      </c>
      <c r="M81" s="86" t="str">
        <f t="shared" si="12"/>
        <v>Nefakturováno</v>
      </c>
      <c r="N81" s="47">
        <f t="shared" si="13"/>
        <v>0</v>
      </c>
      <c r="O81" s="91">
        <f t="shared" si="14"/>
        <v>-100</v>
      </c>
      <c r="P81" s="39"/>
      <c r="AE81" s="21">
        <v>0</v>
      </c>
    </row>
    <row r="82" spans="1:31" ht="12.75">
      <c r="A82" s="4" t="s">
        <v>55</v>
      </c>
      <c r="B82" s="13"/>
      <c r="C82" s="13" t="s">
        <v>179</v>
      </c>
      <c r="D82" s="125" t="s">
        <v>334</v>
      </c>
      <c r="E82" s="126"/>
      <c r="F82" s="21">
        <f>'Stavební rozpočet'!K123</f>
        <v>0</v>
      </c>
      <c r="G82" s="21">
        <v>0</v>
      </c>
      <c r="H82" s="21">
        <f t="shared" si="10"/>
        <v>0</v>
      </c>
      <c r="I82" s="21">
        <f t="shared" si="11"/>
        <v>0</v>
      </c>
      <c r="J82" s="21">
        <f>'Stavební rozpočet'!G123</f>
        <v>1153.72</v>
      </c>
      <c r="K82" s="21">
        <v>0</v>
      </c>
      <c r="L82" s="78">
        <v>1153.72</v>
      </c>
      <c r="M82" s="85" t="str">
        <f t="shared" si="12"/>
        <v>Nefakturováno</v>
      </c>
      <c r="N82" s="21">
        <f t="shared" si="13"/>
        <v>0</v>
      </c>
      <c r="O82" s="90">
        <f t="shared" si="14"/>
        <v>-100</v>
      </c>
      <c r="P82" s="39"/>
      <c r="AE82" s="21">
        <v>0</v>
      </c>
    </row>
    <row r="83" spans="1:31" ht="12.75">
      <c r="A83" s="4" t="s">
        <v>56</v>
      </c>
      <c r="B83" s="13"/>
      <c r="C83" s="13" t="s">
        <v>180</v>
      </c>
      <c r="D83" s="125" t="s">
        <v>335</v>
      </c>
      <c r="E83" s="126"/>
      <c r="F83" s="21">
        <f>'Stavební rozpočet'!K125</f>
        <v>0</v>
      </c>
      <c r="G83" s="21">
        <v>0</v>
      </c>
      <c r="H83" s="21">
        <f t="shared" si="10"/>
        <v>0</v>
      </c>
      <c r="I83" s="21">
        <f t="shared" si="11"/>
        <v>0</v>
      </c>
      <c r="J83" s="21">
        <f>'Stavební rozpočet'!G125</f>
        <v>59.06</v>
      </c>
      <c r="K83" s="21">
        <v>0</v>
      </c>
      <c r="L83" s="78">
        <v>59.06</v>
      </c>
      <c r="M83" s="85" t="str">
        <f t="shared" si="12"/>
        <v>Nefakturováno</v>
      </c>
      <c r="N83" s="21">
        <f t="shared" si="13"/>
        <v>0</v>
      </c>
      <c r="O83" s="90">
        <f t="shared" si="14"/>
        <v>-100</v>
      </c>
      <c r="P83" s="39"/>
      <c r="AE83" s="21">
        <v>0</v>
      </c>
    </row>
    <row r="84" spans="1:31" ht="12.75">
      <c r="A84" s="4" t="s">
        <v>57</v>
      </c>
      <c r="B84" s="13"/>
      <c r="C84" s="13" t="s">
        <v>181</v>
      </c>
      <c r="D84" s="125" t="s">
        <v>336</v>
      </c>
      <c r="E84" s="126"/>
      <c r="F84" s="21">
        <f>'Stavební rozpočet'!K126</f>
        <v>0</v>
      </c>
      <c r="G84" s="21">
        <v>0</v>
      </c>
      <c r="H84" s="21">
        <f t="shared" si="10"/>
        <v>0</v>
      </c>
      <c r="I84" s="21">
        <f t="shared" si="11"/>
        <v>0</v>
      </c>
      <c r="J84" s="21">
        <f>'Stavební rozpočet'!G126</f>
        <v>16.34</v>
      </c>
      <c r="K84" s="21">
        <v>0</v>
      </c>
      <c r="L84" s="78">
        <v>16.34</v>
      </c>
      <c r="M84" s="85" t="str">
        <f t="shared" si="12"/>
        <v>Nefakturováno</v>
      </c>
      <c r="N84" s="21">
        <f t="shared" si="13"/>
        <v>0</v>
      </c>
      <c r="O84" s="90">
        <f t="shared" si="14"/>
        <v>-100</v>
      </c>
      <c r="P84" s="39"/>
      <c r="AE84" s="21">
        <v>0</v>
      </c>
    </row>
    <row r="85" spans="1:31" ht="12.75">
      <c r="A85" s="4" t="s">
        <v>58</v>
      </c>
      <c r="B85" s="13"/>
      <c r="C85" s="13" t="s">
        <v>182</v>
      </c>
      <c r="D85" s="125" t="s">
        <v>337</v>
      </c>
      <c r="E85" s="126"/>
      <c r="F85" s="21">
        <f>'Stavební rozpočet'!K127</f>
        <v>0</v>
      </c>
      <c r="G85" s="21">
        <v>0</v>
      </c>
      <c r="H85" s="21">
        <f t="shared" si="10"/>
        <v>0</v>
      </c>
      <c r="I85" s="21">
        <f t="shared" si="11"/>
        <v>0</v>
      </c>
      <c r="J85" s="21">
        <f>'Stavební rozpočet'!G127</f>
        <v>961.44</v>
      </c>
      <c r="K85" s="21">
        <v>0</v>
      </c>
      <c r="L85" s="78">
        <v>961.44</v>
      </c>
      <c r="M85" s="85" t="str">
        <f t="shared" si="12"/>
        <v>Nefakturováno</v>
      </c>
      <c r="N85" s="21">
        <f t="shared" si="13"/>
        <v>0</v>
      </c>
      <c r="O85" s="90">
        <f t="shared" si="14"/>
        <v>-100</v>
      </c>
      <c r="P85" s="39"/>
      <c r="AE85" s="21">
        <v>0</v>
      </c>
    </row>
    <row r="86" spans="1:31" ht="12.75">
      <c r="A86" s="75"/>
      <c r="B86" s="14"/>
      <c r="C86" s="14" t="s">
        <v>183</v>
      </c>
      <c r="D86" s="127" t="s">
        <v>338</v>
      </c>
      <c r="E86" s="128"/>
      <c r="F86" s="47">
        <f>SUM(F87:F88)</f>
        <v>0</v>
      </c>
      <c r="G86" s="47">
        <f>SUM(G87:G88)</f>
        <v>0</v>
      </c>
      <c r="H86" s="47">
        <f t="shared" si="10"/>
        <v>0</v>
      </c>
      <c r="I86" s="47">
        <f t="shared" si="11"/>
        <v>0</v>
      </c>
      <c r="J86" s="47">
        <f>SUM(J87:J88)</f>
        <v>2</v>
      </c>
      <c r="K86" s="47">
        <f>SUM(K87:K88)</f>
        <v>0</v>
      </c>
      <c r="L86" s="83">
        <f>J86-K86</f>
        <v>2</v>
      </c>
      <c r="M86" s="86" t="str">
        <f t="shared" si="12"/>
        <v>Nefakturováno</v>
      </c>
      <c r="N86" s="47">
        <f t="shared" si="13"/>
        <v>0</v>
      </c>
      <c r="O86" s="91">
        <f t="shared" si="14"/>
        <v>-100</v>
      </c>
      <c r="P86" s="39"/>
      <c r="AE86" s="21">
        <v>0</v>
      </c>
    </row>
    <row r="87" spans="1:31" ht="12.75">
      <c r="A87" s="4" t="s">
        <v>59</v>
      </c>
      <c r="B87" s="13"/>
      <c r="C87" s="13" t="s">
        <v>184</v>
      </c>
      <c r="D87" s="125" t="s">
        <v>339</v>
      </c>
      <c r="E87" s="126"/>
      <c r="F87" s="21">
        <f>'Stavební rozpočet'!K129</f>
        <v>0</v>
      </c>
      <c r="G87" s="21">
        <v>0</v>
      </c>
      <c r="H87" s="21">
        <f t="shared" si="10"/>
        <v>0</v>
      </c>
      <c r="I87" s="21">
        <f t="shared" si="11"/>
        <v>0</v>
      </c>
      <c r="J87" s="21">
        <f>'Stavební rozpočet'!G129</f>
        <v>1</v>
      </c>
      <c r="K87" s="21">
        <v>0</v>
      </c>
      <c r="L87" s="78">
        <v>1</v>
      </c>
      <c r="M87" s="85" t="str">
        <f t="shared" si="12"/>
        <v>Nefakturováno</v>
      </c>
      <c r="N87" s="21">
        <f t="shared" si="13"/>
        <v>0</v>
      </c>
      <c r="O87" s="90">
        <f t="shared" si="14"/>
        <v>-100</v>
      </c>
      <c r="P87" s="39"/>
      <c r="AE87" s="21">
        <v>0</v>
      </c>
    </row>
    <row r="88" spans="1:31" ht="12.75">
      <c r="A88" s="4" t="s">
        <v>60</v>
      </c>
      <c r="B88" s="13"/>
      <c r="C88" s="13" t="s">
        <v>185</v>
      </c>
      <c r="D88" s="125" t="s">
        <v>340</v>
      </c>
      <c r="E88" s="126"/>
      <c r="F88" s="21">
        <f>'Stavební rozpočet'!K131</f>
        <v>0</v>
      </c>
      <c r="G88" s="21">
        <v>0</v>
      </c>
      <c r="H88" s="21">
        <f t="shared" si="10"/>
        <v>0</v>
      </c>
      <c r="I88" s="21">
        <f t="shared" si="11"/>
        <v>0</v>
      </c>
      <c r="J88" s="21">
        <f>'Stavební rozpočet'!G131</f>
        <v>1</v>
      </c>
      <c r="K88" s="21">
        <v>0</v>
      </c>
      <c r="L88" s="78">
        <v>1</v>
      </c>
      <c r="M88" s="85" t="str">
        <f t="shared" si="12"/>
        <v>Nefakturováno</v>
      </c>
      <c r="N88" s="21">
        <f t="shared" si="13"/>
        <v>0</v>
      </c>
      <c r="O88" s="90">
        <f t="shared" si="14"/>
        <v>-100</v>
      </c>
      <c r="P88" s="39"/>
      <c r="AE88" s="21">
        <v>0</v>
      </c>
    </row>
    <row r="89" spans="1:31" ht="12.75">
      <c r="A89" s="75"/>
      <c r="B89" s="14"/>
      <c r="C89" s="14" t="s">
        <v>186</v>
      </c>
      <c r="D89" s="127" t="s">
        <v>341</v>
      </c>
      <c r="E89" s="128"/>
      <c r="F89" s="47">
        <f>SUM(F90:F92)</f>
        <v>0</v>
      </c>
      <c r="G89" s="47">
        <f>SUM(G90:G92)</f>
        <v>0</v>
      </c>
      <c r="H89" s="47">
        <f t="shared" si="10"/>
        <v>0</v>
      </c>
      <c r="I89" s="47">
        <f t="shared" si="11"/>
        <v>0</v>
      </c>
      <c r="J89" s="47">
        <f>SUM(J90:J92)</f>
        <v>241</v>
      </c>
      <c r="K89" s="47">
        <f>SUM(K90:K92)</f>
        <v>0</v>
      </c>
      <c r="L89" s="83">
        <f>J89-K89</f>
        <v>241</v>
      </c>
      <c r="M89" s="86" t="str">
        <f t="shared" si="12"/>
        <v>Nefakturováno</v>
      </c>
      <c r="N89" s="47">
        <f t="shared" si="13"/>
        <v>0</v>
      </c>
      <c r="O89" s="91">
        <f t="shared" si="14"/>
        <v>-100</v>
      </c>
      <c r="P89" s="39"/>
      <c r="AE89" s="21">
        <v>0</v>
      </c>
    </row>
    <row r="90" spans="1:31" ht="12.75">
      <c r="A90" s="4" t="s">
        <v>61</v>
      </c>
      <c r="B90" s="13"/>
      <c r="C90" s="13" t="s">
        <v>187</v>
      </c>
      <c r="D90" s="125" t="s">
        <v>342</v>
      </c>
      <c r="E90" s="126"/>
      <c r="F90" s="21">
        <f>'Stavební rozpočet'!K135</f>
        <v>0</v>
      </c>
      <c r="G90" s="21">
        <v>0</v>
      </c>
      <c r="H90" s="21">
        <f t="shared" si="10"/>
        <v>0</v>
      </c>
      <c r="I90" s="21">
        <f t="shared" si="11"/>
        <v>0</v>
      </c>
      <c r="J90" s="21">
        <f>'Stavební rozpočet'!G135</f>
        <v>99.81</v>
      </c>
      <c r="K90" s="21">
        <v>0</v>
      </c>
      <c r="L90" s="78">
        <v>99.81</v>
      </c>
      <c r="M90" s="85" t="str">
        <f t="shared" si="12"/>
        <v>Nefakturováno</v>
      </c>
      <c r="N90" s="21">
        <f t="shared" si="13"/>
        <v>0</v>
      </c>
      <c r="O90" s="90">
        <f t="shared" si="14"/>
        <v>-100</v>
      </c>
      <c r="P90" s="39"/>
      <c r="AE90" s="21">
        <v>0</v>
      </c>
    </row>
    <row r="91" spans="1:31" ht="12.75">
      <c r="A91" s="4" t="s">
        <v>62</v>
      </c>
      <c r="B91" s="13"/>
      <c r="C91" s="13" t="s">
        <v>188</v>
      </c>
      <c r="D91" s="125" t="s">
        <v>343</v>
      </c>
      <c r="E91" s="126"/>
      <c r="F91" s="21">
        <f>'Stavební rozpočet'!K136</f>
        <v>0</v>
      </c>
      <c r="G91" s="21">
        <v>0</v>
      </c>
      <c r="H91" s="21">
        <f t="shared" si="10"/>
        <v>0</v>
      </c>
      <c r="I91" s="21">
        <f t="shared" si="11"/>
        <v>0</v>
      </c>
      <c r="J91" s="21">
        <f>'Stavební rozpočet'!G136</f>
        <v>99.81</v>
      </c>
      <c r="K91" s="21">
        <v>0</v>
      </c>
      <c r="L91" s="78">
        <v>99.81</v>
      </c>
      <c r="M91" s="85" t="str">
        <f t="shared" si="12"/>
        <v>Nefakturováno</v>
      </c>
      <c r="N91" s="21">
        <f t="shared" si="13"/>
        <v>0</v>
      </c>
      <c r="O91" s="90">
        <f t="shared" si="14"/>
        <v>-100</v>
      </c>
      <c r="P91" s="39"/>
      <c r="AE91" s="21">
        <v>0</v>
      </c>
    </row>
    <row r="92" spans="1:31" ht="12.75">
      <c r="A92" s="4" t="s">
        <v>63</v>
      </c>
      <c r="B92" s="13"/>
      <c r="C92" s="13" t="s">
        <v>189</v>
      </c>
      <c r="D92" s="125" t="s">
        <v>344</v>
      </c>
      <c r="E92" s="126"/>
      <c r="F92" s="21">
        <f>'Stavební rozpočet'!K137</f>
        <v>0</v>
      </c>
      <c r="G92" s="21">
        <v>0</v>
      </c>
      <c r="H92" s="21">
        <f t="shared" si="10"/>
        <v>0</v>
      </c>
      <c r="I92" s="21">
        <f t="shared" si="11"/>
        <v>0</v>
      </c>
      <c r="J92" s="21">
        <f>'Stavební rozpočet'!G137</f>
        <v>41.38</v>
      </c>
      <c r="K92" s="21">
        <v>0</v>
      </c>
      <c r="L92" s="78">
        <v>41.38</v>
      </c>
      <c r="M92" s="85" t="str">
        <f t="shared" si="12"/>
        <v>Nefakturováno</v>
      </c>
      <c r="N92" s="21">
        <f t="shared" si="13"/>
        <v>0</v>
      </c>
      <c r="O92" s="90">
        <f t="shared" si="14"/>
        <v>-100</v>
      </c>
      <c r="P92" s="39"/>
      <c r="AE92" s="21">
        <v>0</v>
      </c>
    </row>
    <row r="93" spans="1:31" ht="12.75">
      <c r="A93" s="75"/>
      <c r="B93" s="14"/>
      <c r="C93" s="14" t="s">
        <v>190</v>
      </c>
      <c r="D93" s="127" t="s">
        <v>345</v>
      </c>
      <c r="E93" s="128"/>
      <c r="F93" s="47">
        <f>SUM(F94:F94)</f>
        <v>0</v>
      </c>
      <c r="G93" s="47">
        <f>SUM(G94:G94)</f>
        <v>0</v>
      </c>
      <c r="H93" s="47">
        <f t="shared" si="10"/>
        <v>0</v>
      </c>
      <c r="I93" s="47">
        <f t="shared" si="11"/>
        <v>0</v>
      </c>
      <c r="J93" s="47">
        <f>SUM(J94:J94)</f>
        <v>1</v>
      </c>
      <c r="K93" s="47">
        <f>SUM(K94:K94)</f>
        <v>0</v>
      </c>
      <c r="L93" s="83">
        <f>J93-K93</f>
        <v>1</v>
      </c>
      <c r="M93" s="86" t="str">
        <f t="shared" si="12"/>
        <v>Nefakturováno</v>
      </c>
      <c r="N93" s="47">
        <f t="shared" si="13"/>
        <v>0</v>
      </c>
      <c r="O93" s="91">
        <f t="shared" si="14"/>
        <v>-100</v>
      </c>
      <c r="P93" s="39"/>
      <c r="AE93" s="21">
        <v>0</v>
      </c>
    </row>
    <row r="94" spans="1:31" ht="12.75">
      <c r="A94" s="4" t="s">
        <v>64</v>
      </c>
      <c r="B94" s="13"/>
      <c r="C94" s="13" t="s">
        <v>191</v>
      </c>
      <c r="D94" s="125" t="s">
        <v>346</v>
      </c>
      <c r="E94" s="126"/>
      <c r="F94" s="21">
        <f>'Stavební rozpočet'!K139</f>
        <v>0</v>
      </c>
      <c r="G94" s="21">
        <v>0</v>
      </c>
      <c r="H94" s="21">
        <f t="shared" si="10"/>
        <v>0</v>
      </c>
      <c r="I94" s="21">
        <f t="shared" si="11"/>
        <v>0</v>
      </c>
      <c r="J94" s="21">
        <f>'Stavební rozpočet'!G139</f>
        <v>1</v>
      </c>
      <c r="K94" s="21">
        <v>0</v>
      </c>
      <c r="L94" s="78">
        <v>1</v>
      </c>
      <c r="M94" s="85" t="str">
        <f t="shared" si="12"/>
        <v>Nefakturováno</v>
      </c>
      <c r="N94" s="21">
        <f t="shared" si="13"/>
        <v>0</v>
      </c>
      <c r="O94" s="90">
        <f t="shared" si="14"/>
        <v>-100</v>
      </c>
      <c r="P94" s="39"/>
      <c r="AE94" s="21">
        <v>0</v>
      </c>
    </row>
    <row r="95" spans="1:31" ht="12.75">
      <c r="A95" s="75"/>
      <c r="B95" s="14"/>
      <c r="C95" s="14" t="s">
        <v>192</v>
      </c>
      <c r="D95" s="127" t="s">
        <v>347</v>
      </c>
      <c r="E95" s="128"/>
      <c r="F95" s="47">
        <f>SUM(F96:F98)</f>
        <v>0</v>
      </c>
      <c r="G95" s="47">
        <f>SUM(G96:G98)</f>
        <v>0</v>
      </c>
      <c r="H95" s="47">
        <f t="shared" si="10"/>
        <v>0</v>
      </c>
      <c r="I95" s="47">
        <f t="shared" si="11"/>
        <v>0</v>
      </c>
      <c r="J95" s="47">
        <f>SUM(J96:J98)</f>
        <v>4975.5</v>
      </c>
      <c r="K95" s="47">
        <f>SUM(K96:K98)</f>
        <v>0</v>
      </c>
      <c r="L95" s="83">
        <f>J95-K95</f>
        <v>4975.5</v>
      </c>
      <c r="M95" s="86" t="str">
        <f t="shared" si="12"/>
        <v>Nefakturováno</v>
      </c>
      <c r="N95" s="47">
        <f t="shared" si="13"/>
        <v>0</v>
      </c>
      <c r="O95" s="91">
        <f t="shared" si="14"/>
        <v>-100</v>
      </c>
      <c r="P95" s="39"/>
      <c r="AE95" s="21">
        <v>0</v>
      </c>
    </row>
    <row r="96" spans="1:31" ht="12.75">
      <c r="A96" s="4" t="s">
        <v>65</v>
      </c>
      <c r="B96" s="13"/>
      <c r="C96" s="13" t="s">
        <v>193</v>
      </c>
      <c r="D96" s="125" t="s">
        <v>348</v>
      </c>
      <c r="E96" s="126"/>
      <c r="F96" s="21">
        <f>'Stavební rozpočet'!K142</f>
        <v>0</v>
      </c>
      <c r="G96" s="21">
        <v>0</v>
      </c>
      <c r="H96" s="21">
        <f t="shared" si="10"/>
        <v>0</v>
      </c>
      <c r="I96" s="21">
        <f t="shared" si="11"/>
        <v>0</v>
      </c>
      <c r="J96" s="21">
        <f>'Stavební rozpočet'!G142</f>
        <v>1658.5</v>
      </c>
      <c r="K96" s="21">
        <v>0</v>
      </c>
      <c r="L96" s="78">
        <v>1658.5</v>
      </c>
      <c r="M96" s="85" t="str">
        <f t="shared" si="12"/>
        <v>Nefakturováno</v>
      </c>
      <c r="N96" s="21">
        <f t="shared" si="13"/>
        <v>0</v>
      </c>
      <c r="O96" s="90">
        <f t="shared" si="14"/>
        <v>-100</v>
      </c>
      <c r="P96" s="39"/>
      <c r="AE96" s="21">
        <v>0</v>
      </c>
    </row>
    <row r="97" spans="1:31" ht="12.75">
      <c r="A97" s="4" t="s">
        <v>66</v>
      </c>
      <c r="B97" s="13"/>
      <c r="C97" s="13" t="s">
        <v>194</v>
      </c>
      <c r="D97" s="125" t="s">
        <v>349</v>
      </c>
      <c r="E97" s="126"/>
      <c r="F97" s="21">
        <f>'Stavební rozpočet'!K143</f>
        <v>0</v>
      </c>
      <c r="G97" s="21">
        <v>0</v>
      </c>
      <c r="H97" s="21">
        <f t="shared" si="10"/>
        <v>0</v>
      </c>
      <c r="I97" s="21">
        <f t="shared" si="11"/>
        <v>0</v>
      </c>
      <c r="J97" s="21">
        <f>'Stavební rozpočet'!G143</f>
        <v>1658.5</v>
      </c>
      <c r="K97" s="21">
        <v>0</v>
      </c>
      <c r="L97" s="78">
        <v>1658.5</v>
      </c>
      <c r="M97" s="85" t="str">
        <f t="shared" si="12"/>
        <v>Nefakturováno</v>
      </c>
      <c r="N97" s="21">
        <f t="shared" si="13"/>
        <v>0</v>
      </c>
      <c r="O97" s="90">
        <f t="shared" si="14"/>
        <v>-100</v>
      </c>
      <c r="P97" s="39"/>
      <c r="AE97" s="21">
        <v>0</v>
      </c>
    </row>
    <row r="98" spans="1:31" ht="12.75">
      <c r="A98" s="4" t="s">
        <v>67</v>
      </c>
      <c r="B98" s="13"/>
      <c r="C98" s="13" t="s">
        <v>195</v>
      </c>
      <c r="D98" s="125" t="s">
        <v>350</v>
      </c>
      <c r="E98" s="126"/>
      <c r="F98" s="21">
        <f>'Stavební rozpočet'!K148</f>
        <v>0</v>
      </c>
      <c r="G98" s="21">
        <v>0</v>
      </c>
      <c r="H98" s="21">
        <f t="shared" si="10"/>
        <v>0</v>
      </c>
      <c r="I98" s="21">
        <f t="shared" si="11"/>
        <v>0</v>
      </c>
      <c r="J98" s="21">
        <f>'Stavební rozpočet'!G148</f>
        <v>1658.5</v>
      </c>
      <c r="K98" s="21">
        <v>0</v>
      </c>
      <c r="L98" s="78">
        <v>1658.5</v>
      </c>
      <c r="M98" s="85" t="str">
        <f t="shared" si="12"/>
        <v>Nefakturováno</v>
      </c>
      <c r="N98" s="21">
        <f t="shared" si="13"/>
        <v>0</v>
      </c>
      <c r="O98" s="90">
        <f t="shared" si="14"/>
        <v>-100</v>
      </c>
      <c r="P98" s="39"/>
      <c r="AE98" s="21">
        <v>0</v>
      </c>
    </row>
    <row r="99" spans="1:31" ht="12.75">
      <c r="A99" s="75"/>
      <c r="B99" s="14"/>
      <c r="C99" s="14" t="s">
        <v>89</v>
      </c>
      <c r="D99" s="127" t="s">
        <v>351</v>
      </c>
      <c r="E99" s="128"/>
      <c r="F99" s="47">
        <f>SUM(F100:F101)</f>
        <v>0</v>
      </c>
      <c r="G99" s="47">
        <f>SUM(G100:G101)</f>
        <v>0</v>
      </c>
      <c r="H99" s="47">
        <f t="shared" si="10"/>
        <v>0</v>
      </c>
      <c r="I99" s="47">
        <f t="shared" si="11"/>
        <v>0</v>
      </c>
      <c r="J99" s="47">
        <f>SUM(J100:J101)</f>
        <v>201.17000000000002</v>
      </c>
      <c r="K99" s="47">
        <f>SUM(K100:K101)</f>
        <v>0</v>
      </c>
      <c r="L99" s="83">
        <f>J99-K99</f>
        <v>201.17000000000002</v>
      </c>
      <c r="M99" s="86" t="str">
        <f t="shared" si="12"/>
        <v>Nefakturováno</v>
      </c>
      <c r="N99" s="47">
        <f t="shared" si="13"/>
        <v>0</v>
      </c>
      <c r="O99" s="91">
        <f t="shared" si="14"/>
        <v>-100</v>
      </c>
      <c r="P99" s="39"/>
      <c r="AE99" s="21">
        <v>0</v>
      </c>
    </row>
    <row r="100" spans="1:31" ht="12.75">
      <c r="A100" s="4" t="s">
        <v>68</v>
      </c>
      <c r="B100" s="13"/>
      <c r="C100" s="13" t="s">
        <v>196</v>
      </c>
      <c r="D100" s="125" t="s">
        <v>352</v>
      </c>
      <c r="E100" s="126"/>
      <c r="F100" s="21">
        <f>'Stavební rozpočet'!K154</f>
        <v>0</v>
      </c>
      <c r="G100" s="21">
        <v>0</v>
      </c>
      <c r="H100" s="21">
        <f t="shared" si="10"/>
        <v>0</v>
      </c>
      <c r="I100" s="21">
        <f t="shared" si="11"/>
        <v>0</v>
      </c>
      <c r="J100" s="21">
        <f>'Stavební rozpočet'!G154</f>
        <v>84.59</v>
      </c>
      <c r="K100" s="21">
        <v>0</v>
      </c>
      <c r="L100" s="78">
        <v>84.59</v>
      </c>
      <c r="M100" s="85" t="str">
        <f t="shared" si="12"/>
        <v>Nefakturováno</v>
      </c>
      <c r="N100" s="21">
        <f t="shared" si="13"/>
        <v>0</v>
      </c>
      <c r="O100" s="90">
        <f t="shared" si="14"/>
        <v>-100</v>
      </c>
      <c r="P100" s="39"/>
      <c r="AE100" s="21">
        <v>0</v>
      </c>
    </row>
    <row r="101" spans="1:31" ht="12.75">
      <c r="A101" s="4" t="s">
        <v>69</v>
      </c>
      <c r="B101" s="13"/>
      <c r="C101" s="13" t="s">
        <v>197</v>
      </c>
      <c r="D101" s="125" t="s">
        <v>353</v>
      </c>
      <c r="E101" s="126"/>
      <c r="F101" s="21">
        <f>'Stavební rozpočet'!K156</f>
        <v>0</v>
      </c>
      <c r="G101" s="21">
        <v>0</v>
      </c>
      <c r="H101" s="21">
        <f t="shared" si="10"/>
        <v>0</v>
      </c>
      <c r="I101" s="21">
        <f t="shared" si="11"/>
        <v>0</v>
      </c>
      <c r="J101" s="21">
        <f>'Stavební rozpočet'!G156</f>
        <v>116.58</v>
      </c>
      <c r="K101" s="21">
        <v>0</v>
      </c>
      <c r="L101" s="78">
        <v>116.58</v>
      </c>
      <c r="M101" s="85" t="str">
        <f t="shared" si="12"/>
        <v>Nefakturováno</v>
      </c>
      <c r="N101" s="21">
        <f t="shared" si="13"/>
        <v>0</v>
      </c>
      <c r="O101" s="90">
        <f t="shared" si="14"/>
        <v>-100</v>
      </c>
      <c r="P101" s="39"/>
      <c r="AE101" s="21">
        <v>0</v>
      </c>
    </row>
    <row r="102" spans="1:31" ht="12.75">
      <c r="A102" s="75"/>
      <c r="B102" s="14"/>
      <c r="C102" s="14" t="s">
        <v>93</v>
      </c>
      <c r="D102" s="127" t="s">
        <v>354</v>
      </c>
      <c r="E102" s="128"/>
      <c r="F102" s="47">
        <f>SUM(F103:F103)</f>
        <v>0</v>
      </c>
      <c r="G102" s="47">
        <f>SUM(G103:G103)</f>
        <v>0</v>
      </c>
      <c r="H102" s="47">
        <f t="shared" si="10"/>
        <v>0</v>
      </c>
      <c r="I102" s="47">
        <f t="shared" si="11"/>
        <v>0</v>
      </c>
      <c r="J102" s="47">
        <f>SUM(J103:J103)</f>
        <v>49.2</v>
      </c>
      <c r="K102" s="47">
        <f>SUM(K103:K103)</f>
        <v>0</v>
      </c>
      <c r="L102" s="83">
        <f>J102-K102</f>
        <v>49.2</v>
      </c>
      <c r="M102" s="86" t="str">
        <f t="shared" si="12"/>
        <v>Nefakturováno</v>
      </c>
      <c r="N102" s="47">
        <f t="shared" si="13"/>
        <v>0</v>
      </c>
      <c r="O102" s="91">
        <f t="shared" si="14"/>
        <v>-100</v>
      </c>
      <c r="P102" s="39"/>
      <c r="AE102" s="21">
        <v>0</v>
      </c>
    </row>
    <row r="103" spans="1:31" ht="12.75">
      <c r="A103" s="4" t="s">
        <v>70</v>
      </c>
      <c r="B103" s="13"/>
      <c r="C103" s="13" t="s">
        <v>198</v>
      </c>
      <c r="D103" s="125" t="s">
        <v>355</v>
      </c>
      <c r="E103" s="126"/>
      <c r="F103" s="21">
        <f>'Stavební rozpočet'!K159</f>
        <v>0</v>
      </c>
      <c r="G103" s="21">
        <v>0</v>
      </c>
      <c r="H103" s="21">
        <f t="shared" si="10"/>
        <v>0</v>
      </c>
      <c r="I103" s="21">
        <f t="shared" si="11"/>
        <v>0</v>
      </c>
      <c r="J103" s="21">
        <f>'Stavební rozpočet'!G159</f>
        <v>49.2</v>
      </c>
      <c r="K103" s="21">
        <v>0</v>
      </c>
      <c r="L103" s="78">
        <v>49.2</v>
      </c>
      <c r="M103" s="85" t="str">
        <f t="shared" si="12"/>
        <v>Nefakturováno</v>
      </c>
      <c r="N103" s="21">
        <f t="shared" si="13"/>
        <v>0</v>
      </c>
      <c r="O103" s="90">
        <f t="shared" si="14"/>
        <v>-100</v>
      </c>
      <c r="P103" s="39"/>
      <c r="AE103" s="21">
        <v>0</v>
      </c>
    </row>
    <row r="104" spans="1:31" ht="12.75">
      <c r="A104" s="75"/>
      <c r="B104" s="14"/>
      <c r="C104" s="14" t="s">
        <v>95</v>
      </c>
      <c r="D104" s="127" t="s">
        <v>356</v>
      </c>
      <c r="E104" s="128"/>
      <c r="F104" s="47">
        <f>SUM(F105:F106)</f>
        <v>0</v>
      </c>
      <c r="G104" s="47">
        <f>SUM(G105:G106)</f>
        <v>0</v>
      </c>
      <c r="H104" s="47">
        <f t="shared" si="10"/>
        <v>0</v>
      </c>
      <c r="I104" s="47">
        <f t="shared" si="11"/>
        <v>0</v>
      </c>
      <c r="J104" s="47">
        <f>SUM(J105:J106)</f>
        <v>225.17</v>
      </c>
      <c r="K104" s="47">
        <f>SUM(K105:K106)</f>
        <v>0</v>
      </c>
      <c r="L104" s="83">
        <f>J104-K104</f>
        <v>225.17</v>
      </c>
      <c r="M104" s="86" t="str">
        <f t="shared" si="12"/>
        <v>Nefakturováno</v>
      </c>
      <c r="N104" s="47">
        <f t="shared" si="13"/>
        <v>0</v>
      </c>
      <c r="O104" s="91">
        <f t="shared" si="14"/>
        <v>-100</v>
      </c>
      <c r="P104" s="39"/>
      <c r="AE104" s="21">
        <v>0</v>
      </c>
    </row>
    <row r="105" spans="1:31" ht="12.75">
      <c r="A105" s="4" t="s">
        <v>71</v>
      </c>
      <c r="B105" s="13"/>
      <c r="C105" s="13" t="s">
        <v>199</v>
      </c>
      <c r="D105" s="125" t="s">
        <v>357</v>
      </c>
      <c r="E105" s="126"/>
      <c r="F105" s="21">
        <f>'Stavební rozpočet'!K161</f>
        <v>0</v>
      </c>
      <c r="G105" s="21">
        <v>0</v>
      </c>
      <c r="H105" s="21">
        <f t="shared" si="10"/>
        <v>0</v>
      </c>
      <c r="I105" s="21">
        <f t="shared" si="11"/>
        <v>0</v>
      </c>
      <c r="J105" s="21">
        <f>'Stavební rozpočet'!G161</f>
        <v>24</v>
      </c>
      <c r="K105" s="21">
        <v>0</v>
      </c>
      <c r="L105" s="78">
        <v>2</v>
      </c>
      <c r="M105" s="85" t="str">
        <f t="shared" si="12"/>
        <v>Nefakturováno</v>
      </c>
      <c r="N105" s="21">
        <f t="shared" si="13"/>
        <v>0</v>
      </c>
      <c r="O105" s="90">
        <f t="shared" si="14"/>
        <v>-100</v>
      </c>
      <c r="P105" s="39"/>
      <c r="AE105" s="21">
        <v>0</v>
      </c>
    </row>
    <row r="106" spans="1:31" ht="12.75">
      <c r="A106" s="4" t="s">
        <v>72</v>
      </c>
      <c r="B106" s="13"/>
      <c r="C106" s="13" t="s">
        <v>200</v>
      </c>
      <c r="D106" s="125" t="s">
        <v>358</v>
      </c>
      <c r="E106" s="126"/>
      <c r="F106" s="21">
        <f>'Stavební rozpočet'!K163</f>
        <v>0</v>
      </c>
      <c r="G106" s="21">
        <v>0</v>
      </c>
      <c r="H106" s="21">
        <f t="shared" si="10"/>
        <v>0</v>
      </c>
      <c r="I106" s="21">
        <f t="shared" si="11"/>
        <v>0</v>
      </c>
      <c r="J106" s="21">
        <f>'Stavební rozpočet'!G163</f>
        <v>201.17</v>
      </c>
      <c r="K106" s="21">
        <v>0</v>
      </c>
      <c r="L106" s="78">
        <v>201.17</v>
      </c>
      <c r="M106" s="85" t="str">
        <f t="shared" si="12"/>
        <v>Nefakturováno</v>
      </c>
      <c r="N106" s="21">
        <f t="shared" si="13"/>
        <v>0</v>
      </c>
      <c r="O106" s="90">
        <f t="shared" si="14"/>
        <v>-100</v>
      </c>
      <c r="P106" s="39"/>
      <c r="AE106" s="21">
        <v>0</v>
      </c>
    </row>
    <row r="107" spans="1:31" ht="12.75">
      <c r="A107" s="75"/>
      <c r="B107" s="14"/>
      <c r="C107" s="14" t="s">
        <v>100</v>
      </c>
      <c r="D107" s="127" t="s">
        <v>359</v>
      </c>
      <c r="E107" s="128"/>
      <c r="F107" s="47">
        <f>SUM(F108:F111)</f>
        <v>0</v>
      </c>
      <c r="G107" s="47">
        <f>SUM(G108:G111)</f>
        <v>0</v>
      </c>
      <c r="H107" s="47">
        <f aca="true" t="shared" si="15" ref="H107:H138">G107-F107</f>
        <v>0</v>
      </c>
      <c r="I107" s="47">
        <f aca="true" t="shared" si="16" ref="I107:I138">IF(F107=0,0,H107/F107*100)</f>
        <v>0</v>
      </c>
      <c r="J107" s="47">
        <f>SUM(J108:J111)</f>
        <v>4235.2300000000005</v>
      </c>
      <c r="K107" s="47">
        <f>SUM(K108:K111)</f>
        <v>0</v>
      </c>
      <c r="L107" s="83">
        <f>J107-K107</f>
        <v>4235.2300000000005</v>
      </c>
      <c r="M107" s="86" t="str">
        <f aca="true" t="shared" si="17" ref="M107:M138">IF(G107=0,"Nefakturováno",AE107)</f>
        <v>Nefakturováno</v>
      </c>
      <c r="N107" s="47">
        <f aca="true" t="shared" si="18" ref="N107:N138">AE107-G107</f>
        <v>0</v>
      </c>
      <c r="O107" s="91">
        <f aca="true" t="shared" si="19" ref="O107:O138">IF(G107&lt;&gt;0,N107/G107*100,-100)</f>
        <v>-100</v>
      </c>
      <c r="P107" s="39"/>
      <c r="AE107" s="21">
        <v>0</v>
      </c>
    </row>
    <row r="108" spans="1:31" ht="12.75">
      <c r="A108" s="4" t="s">
        <v>73</v>
      </c>
      <c r="B108" s="13"/>
      <c r="C108" s="13" t="s">
        <v>201</v>
      </c>
      <c r="D108" s="125" t="s">
        <v>360</v>
      </c>
      <c r="E108" s="126"/>
      <c r="F108" s="21">
        <f>'Stavební rozpočet'!K165</f>
        <v>0</v>
      </c>
      <c r="G108" s="21">
        <v>0</v>
      </c>
      <c r="H108" s="21">
        <f t="shared" si="15"/>
        <v>0</v>
      </c>
      <c r="I108" s="21">
        <f t="shared" si="16"/>
        <v>0</v>
      </c>
      <c r="J108" s="21">
        <f>'Stavební rozpočet'!G165</f>
        <v>716.86</v>
      </c>
      <c r="K108" s="21">
        <v>0</v>
      </c>
      <c r="L108" s="78">
        <v>716.86</v>
      </c>
      <c r="M108" s="85" t="str">
        <f t="shared" si="17"/>
        <v>Nefakturováno</v>
      </c>
      <c r="N108" s="21">
        <f t="shared" si="18"/>
        <v>0</v>
      </c>
      <c r="O108" s="90">
        <f t="shared" si="19"/>
        <v>-100</v>
      </c>
      <c r="P108" s="39"/>
      <c r="AE108" s="21">
        <v>0</v>
      </c>
    </row>
    <row r="109" spans="1:31" ht="12.75">
      <c r="A109" s="4" t="s">
        <v>74</v>
      </c>
      <c r="B109" s="13"/>
      <c r="C109" s="13" t="s">
        <v>202</v>
      </c>
      <c r="D109" s="125" t="s">
        <v>361</v>
      </c>
      <c r="E109" s="126"/>
      <c r="F109" s="21">
        <f>'Stavební rozpočet'!K168</f>
        <v>0</v>
      </c>
      <c r="G109" s="21">
        <v>0</v>
      </c>
      <c r="H109" s="21">
        <f t="shared" si="15"/>
        <v>0</v>
      </c>
      <c r="I109" s="21">
        <f t="shared" si="16"/>
        <v>0</v>
      </c>
      <c r="J109" s="21">
        <f>'Stavební rozpočet'!G168</f>
        <v>2150.58</v>
      </c>
      <c r="K109" s="21">
        <v>0</v>
      </c>
      <c r="L109" s="78">
        <v>2150.58</v>
      </c>
      <c r="M109" s="85" t="str">
        <f t="shared" si="17"/>
        <v>Nefakturováno</v>
      </c>
      <c r="N109" s="21">
        <f t="shared" si="18"/>
        <v>0</v>
      </c>
      <c r="O109" s="90">
        <f t="shared" si="19"/>
        <v>-100</v>
      </c>
      <c r="P109" s="39"/>
      <c r="AE109" s="21">
        <v>0</v>
      </c>
    </row>
    <row r="110" spans="1:31" ht="12.75">
      <c r="A110" s="4" t="s">
        <v>75</v>
      </c>
      <c r="B110" s="13"/>
      <c r="C110" s="13" t="s">
        <v>203</v>
      </c>
      <c r="D110" s="125" t="s">
        <v>362</v>
      </c>
      <c r="E110" s="126"/>
      <c r="F110" s="21">
        <f>'Stavební rozpočet'!K170</f>
        <v>0</v>
      </c>
      <c r="G110" s="21">
        <v>0</v>
      </c>
      <c r="H110" s="21">
        <f t="shared" si="15"/>
        <v>0</v>
      </c>
      <c r="I110" s="21">
        <f t="shared" si="16"/>
        <v>0</v>
      </c>
      <c r="J110" s="21">
        <f>'Stavební rozpočet'!G170</f>
        <v>716.86</v>
      </c>
      <c r="K110" s="21">
        <v>0</v>
      </c>
      <c r="L110" s="78">
        <v>716.86</v>
      </c>
      <c r="M110" s="85" t="str">
        <f t="shared" si="17"/>
        <v>Nefakturováno</v>
      </c>
      <c r="N110" s="21">
        <f t="shared" si="18"/>
        <v>0</v>
      </c>
      <c r="O110" s="90">
        <f t="shared" si="19"/>
        <v>-100</v>
      </c>
      <c r="P110" s="39"/>
      <c r="AE110" s="21">
        <v>0</v>
      </c>
    </row>
    <row r="111" spans="1:31" ht="12.75">
      <c r="A111" s="4" t="s">
        <v>76</v>
      </c>
      <c r="B111" s="13"/>
      <c r="C111" s="13" t="s">
        <v>204</v>
      </c>
      <c r="D111" s="125" t="s">
        <v>363</v>
      </c>
      <c r="E111" s="126"/>
      <c r="F111" s="21">
        <f>'Stavební rozpočet'!K171</f>
        <v>0</v>
      </c>
      <c r="G111" s="21">
        <v>0</v>
      </c>
      <c r="H111" s="21">
        <f t="shared" si="15"/>
        <v>0</v>
      </c>
      <c r="I111" s="21">
        <f t="shared" si="16"/>
        <v>0</v>
      </c>
      <c r="J111" s="21">
        <f>'Stavební rozpočet'!G171</f>
        <v>650.93</v>
      </c>
      <c r="K111" s="21">
        <v>0</v>
      </c>
      <c r="L111" s="78">
        <v>650.93</v>
      </c>
      <c r="M111" s="85" t="str">
        <f t="shared" si="17"/>
        <v>Nefakturováno</v>
      </c>
      <c r="N111" s="21">
        <f t="shared" si="18"/>
        <v>0</v>
      </c>
      <c r="O111" s="90">
        <f t="shared" si="19"/>
        <v>-100</v>
      </c>
      <c r="P111" s="39"/>
      <c r="AE111" s="21">
        <v>0</v>
      </c>
    </row>
    <row r="112" spans="1:31" ht="12.75">
      <c r="A112" s="75"/>
      <c r="B112" s="14"/>
      <c r="C112" s="14" t="s">
        <v>101</v>
      </c>
      <c r="D112" s="127" t="s">
        <v>364</v>
      </c>
      <c r="E112" s="128"/>
      <c r="F112" s="47">
        <f>SUM(F113:F113)</f>
        <v>0</v>
      </c>
      <c r="G112" s="47">
        <f>SUM(G113:G113)</f>
        <v>0</v>
      </c>
      <c r="H112" s="47">
        <f t="shared" si="15"/>
        <v>0</v>
      </c>
      <c r="I112" s="47">
        <f t="shared" si="16"/>
        <v>0</v>
      </c>
      <c r="J112" s="47">
        <f>SUM(J113:J113)</f>
        <v>650.93</v>
      </c>
      <c r="K112" s="47">
        <f>SUM(K113:K113)</f>
        <v>0</v>
      </c>
      <c r="L112" s="83">
        <f>J112-K112</f>
        <v>650.93</v>
      </c>
      <c r="M112" s="86" t="str">
        <f t="shared" si="17"/>
        <v>Nefakturováno</v>
      </c>
      <c r="N112" s="47">
        <f t="shared" si="18"/>
        <v>0</v>
      </c>
      <c r="O112" s="91">
        <f t="shared" si="19"/>
        <v>-100</v>
      </c>
      <c r="P112" s="39"/>
      <c r="AE112" s="21">
        <v>0</v>
      </c>
    </row>
    <row r="113" spans="1:31" ht="12.75">
      <c r="A113" s="4" t="s">
        <v>77</v>
      </c>
      <c r="B113" s="13"/>
      <c r="C113" s="13" t="s">
        <v>205</v>
      </c>
      <c r="D113" s="125" t="s">
        <v>365</v>
      </c>
      <c r="E113" s="126"/>
      <c r="F113" s="21">
        <f>'Stavební rozpočet'!K174</f>
        <v>0</v>
      </c>
      <c r="G113" s="21">
        <v>0</v>
      </c>
      <c r="H113" s="21">
        <f t="shared" si="15"/>
        <v>0</v>
      </c>
      <c r="I113" s="21">
        <f t="shared" si="16"/>
        <v>0</v>
      </c>
      <c r="J113" s="21">
        <f>'Stavební rozpočet'!G174</f>
        <v>650.93</v>
      </c>
      <c r="K113" s="21">
        <v>0</v>
      </c>
      <c r="L113" s="78">
        <v>650.93</v>
      </c>
      <c r="M113" s="85" t="str">
        <f t="shared" si="17"/>
        <v>Nefakturováno</v>
      </c>
      <c r="N113" s="21">
        <f t="shared" si="18"/>
        <v>0</v>
      </c>
      <c r="O113" s="90">
        <f t="shared" si="19"/>
        <v>-100</v>
      </c>
      <c r="P113" s="39"/>
      <c r="AE113" s="21">
        <v>0</v>
      </c>
    </row>
    <row r="114" spans="1:31" ht="12.75">
      <c r="A114" s="75"/>
      <c r="B114" s="14"/>
      <c r="C114" s="14" t="s">
        <v>102</v>
      </c>
      <c r="D114" s="127" t="s">
        <v>366</v>
      </c>
      <c r="E114" s="128"/>
      <c r="F114" s="47">
        <f>SUM(F115:F115)</f>
        <v>0</v>
      </c>
      <c r="G114" s="47">
        <f>SUM(G115:G115)</f>
        <v>0</v>
      </c>
      <c r="H114" s="47">
        <f t="shared" si="15"/>
        <v>0</v>
      </c>
      <c r="I114" s="47">
        <f t="shared" si="16"/>
        <v>0</v>
      </c>
      <c r="J114" s="47">
        <f>SUM(J115:J115)</f>
        <v>1</v>
      </c>
      <c r="K114" s="47">
        <f>SUM(K115:K115)</f>
        <v>0</v>
      </c>
      <c r="L114" s="83">
        <f>J114-K114</f>
        <v>1</v>
      </c>
      <c r="M114" s="86" t="str">
        <f t="shared" si="17"/>
        <v>Nefakturováno</v>
      </c>
      <c r="N114" s="47">
        <f t="shared" si="18"/>
        <v>0</v>
      </c>
      <c r="O114" s="91">
        <f t="shared" si="19"/>
        <v>-100</v>
      </c>
      <c r="P114" s="39"/>
      <c r="AE114" s="21">
        <v>0</v>
      </c>
    </row>
    <row r="115" spans="1:31" ht="12.75">
      <c r="A115" s="4" t="s">
        <v>78</v>
      </c>
      <c r="B115" s="13"/>
      <c r="C115" s="13" t="s">
        <v>206</v>
      </c>
      <c r="D115" s="125" t="s">
        <v>367</v>
      </c>
      <c r="E115" s="126"/>
      <c r="F115" s="21">
        <f>'Stavební rozpočet'!K176</f>
        <v>0</v>
      </c>
      <c r="G115" s="21">
        <v>0</v>
      </c>
      <c r="H115" s="21">
        <f t="shared" si="15"/>
        <v>0</v>
      </c>
      <c r="I115" s="21">
        <f t="shared" si="16"/>
        <v>0</v>
      </c>
      <c r="J115" s="21">
        <f>'Stavební rozpočet'!G176</f>
        <v>1</v>
      </c>
      <c r="K115" s="21">
        <v>0</v>
      </c>
      <c r="L115" s="78">
        <v>1</v>
      </c>
      <c r="M115" s="85" t="str">
        <f t="shared" si="17"/>
        <v>Nefakturováno</v>
      </c>
      <c r="N115" s="21">
        <f t="shared" si="18"/>
        <v>0</v>
      </c>
      <c r="O115" s="90">
        <f t="shared" si="19"/>
        <v>-100</v>
      </c>
      <c r="P115" s="39"/>
      <c r="AE115" s="21">
        <v>0</v>
      </c>
    </row>
    <row r="116" spans="1:31" ht="12.75">
      <c r="A116" s="75"/>
      <c r="B116" s="14"/>
      <c r="C116" s="14" t="s">
        <v>103</v>
      </c>
      <c r="D116" s="127" t="s">
        <v>368</v>
      </c>
      <c r="E116" s="128"/>
      <c r="F116" s="47">
        <f>SUM(F117:F121)</f>
        <v>0</v>
      </c>
      <c r="G116" s="47">
        <f>SUM(G117:G121)</f>
        <v>0</v>
      </c>
      <c r="H116" s="47">
        <f t="shared" si="15"/>
        <v>0</v>
      </c>
      <c r="I116" s="47">
        <f t="shared" si="16"/>
        <v>0</v>
      </c>
      <c r="J116" s="47">
        <f>SUM(J117:J121)</f>
        <v>1869.56</v>
      </c>
      <c r="K116" s="47">
        <f>SUM(K117:K121)</f>
        <v>0</v>
      </c>
      <c r="L116" s="83">
        <f>J116-K116</f>
        <v>1869.56</v>
      </c>
      <c r="M116" s="86" t="str">
        <f t="shared" si="17"/>
        <v>Nefakturováno</v>
      </c>
      <c r="N116" s="47">
        <f t="shared" si="18"/>
        <v>0</v>
      </c>
      <c r="O116" s="91">
        <f t="shared" si="19"/>
        <v>-100</v>
      </c>
      <c r="P116" s="39"/>
      <c r="AE116" s="21">
        <v>0</v>
      </c>
    </row>
    <row r="117" spans="1:31" ht="12.75">
      <c r="A117" s="4" t="s">
        <v>79</v>
      </c>
      <c r="B117" s="13"/>
      <c r="C117" s="13" t="s">
        <v>207</v>
      </c>
      <c r="D117" s="125" t="s">
        <v>369</v>
      </c>
      <c r="E117" s="126"/>
      <c r="F117" s="21">
        <f>'Stavební rozpočet'!K179</f>
        <v>0</v>
      </c>
      <c r="G117" s="21">
        <v>0</v>
      </c>
      <c r="H117" s="21">
        <f t="shared" si="15"/>
        <v>0</v>
      </c>
      <c r="I117" s="21">
        <f t="shared" si="16"/>
        <v>0</v>
      </c>
      <c r="J117" s="21">
        <f>'Stavební rozpočet'!G179</f>
        <v>647.08</v>
      </c>
      <c r="K117" s="21">
        <v>0</v>
      </c>
      <c r="L117" s="78">
        <v>647.08</v>
      </c>
      <c r="M117" s="85" t="str">
        <f t="shared" si="17"/>
        <v>Nefakturováno</v>
      </c>
      <c r="N117" s="21">
        <f t="shared" si="18"/>
        <v>0</v>
      </c>
      <c r="O117" s="90">
        <f t="shared" si="19"/>
        <v>-100</v>
      </c>
      <c r="P117" s="39"/>
      <c r="AE117" s="21">
        <v>0</v>
      </c>
    </row>
    <row r="118" spans="1:31" ht="12.75">
      <c r="A118" s="4" t="s">
        <v>80</v>
      </c>
      <c r="B118" s="13"/>
      <c r="C118" s="13" t="s">
        <v>208</v>
      </c>
      <c r="D118" s="125" t="s">
        <v>370</v>
      </c>
      <c r="E118" s="126"/>
      <c r="F118" s="21">
        <f>'Stavební rozpočet'!K180</f>
        <v>0</v>
      </c>
      <c r="G118" s="21">
        <v>0</v>
      </c>
      <c r="H118" s="21">
        <f t="shared" si="15"/>
        <v>0</v>
      </c>
      <c r="I118" s="21">
        <f t="shared" si="16"/>
        <v>0</v>
      </c>
      <c r="J118" s="21">
        <f>'Stavební rozpočet'!G180</f>
        <v>371.01</v>
      </c>
      <c r="K118" s="21">
        <v>0</v>
      </c>
      <c r="L118" s="78">
        <v>371.01</v>
      </c>
      <c r="M118" s="85" t="str">
        <f t="shared" si="17"/>
        <v>Nefakturováno</v>
      </c>
      <c r="N118" s="21">
        <f t="shared" si="18"/>
        <v>0</v>
      </c>
      <c r="O118" s="90">
        <f t="shared" si="19"/>
        <v>-100</v>
      </c>
      <c r="P118" s="39"/>
      <c r="AE118" s="21">
        <v>0</v>
      </c>
    </row>
    <row r="119" spans="1:31" ht="12.75">
      <c r="A119" s="4" t="s">
        <v>81</v>
      </c>
      <c r="B119" s="13"/>
      <c r="C119" s="13" t="s">
        <v>209</v>
      </c>
      <c r="D119" s="125" t="s">
        <v>371</v>
      </c>
      <c r="E119" s="126"/>
      <c r="F119" s="21">
        <f>'Stavební rozpočet'!K181</f>
        <v>0</v>
      </c>
      <c r="G119" s="21">
        <v>0</v>
      </c>
      <c r="H119" s="21">
        <f t="shared" si="15"/>
        <v>0</v>
      </c>
      <c r="I119" s="21">
        <f t="shared" si="16"/>
        <v>0</v>
      </c>
      <c r="J119" s="21">
        <f>'Stavební rozpočet'!G181</f>
        <v>640.41</v>
      </c>
      <c r="K119" s="21">
        <v>0</v>
      </c>
      <c r="L119" s="78">
        <v>640.41</v>
      </c>
      <c r="M119" s="85" t="str">
        <f t="shared" si="17"/>
        <v>Nefakturováno</v>
      </c>
      <c r="N119" s="21">
        <f t="shared" si="18"/>
        <v>0</v>
      </c>
      <c r="O119" s="90">
        <f t="shared" si="19"/>
        <v>-100</v>
      </c>
      <c r="P119" s="39"/>
      <c r="AE119" s="21">
        <v>0</v>
      </c>
    </row>
    <row r="120" spans="1:31" ht="12.75">
      <c r="A120" s="4" t="s">
        <v>82</v>
      </c>
      <c r="B120" s="13"/>
      <c r="C120" s="13" t="s">
        <v>210</v>
      </c>
      <c r="D120" s="125" t="s">
        <v>372</v>
      </c>
      <c r="E120" s="126"/>
      <c r="F120" s="21">
        <f>'Stavební rozpočet'!K182</f>
        <v>0</v>
      </c>
      <c r="G120" s="21">
        <v>0</v>
      </c>
      <c r="H120" s="21">
        <f t="shared" si="15"/>
        <v>0</v>
      </c>
      <c r="I120" s="21">
        <f t="shared" si="16"/>
        <v>0</v>
      </c>
      <c r="J120" s="21">
        <f>'Stavební rozpočet'!G182</f>
        <v>12.54</v>
      </c>
      <c r="K120" s="21">
        <v>0</v>
      </c>
      <c r="L120" s="78">
        <v>12.54</v>
      </c>
      <c r="M120" s="85" t="str">
        <f t="shared" si="17"/>
        <v>Nefakturováno</v>
      </c>
      <c r="N120" s="21">
        <f t="shared" si="18"/>
        <v>0</v>
      </c>
      <c r="O120" s="90">
        <f t="shared" si="19"/>
        <v>-100</v>
      </c>
      <c r="P120" s="39"/>
      <c r="AE120" s="21">
        <v>0</v>
      </c>
    </row>
    <row r="121" spans="1:31" ht="12.75">
      <c r="A121" s="4" t="s">
        <v>83</v>
      </c>
      <c r="B121" s="13"/>
      <c r="C121" s="13" t="s">
        <v>211</v>
      </c>
      <c r="D121" s="125" t="s">
        <v>373</v>
      </c>
      <c r="E121" s="126"/>
      <c r="F121" s="21">
        <f>'Stavební rozpočet'!K184</f>
        <v>0</v>
      </c>
      <c r="G121" s="21">
        <v>0</v>
      </c>
      <c r="H121" s="21">
        <f t="shared" si="15"/>
        <v>0</v>
      </c>
      <c r="I121" s="21">
        <f t="shared" si="16"/>
        <v>0</v>
      </c>
      <c r="J121" s="21">
        <f>'Stavební rozpočet'!G184</f>
        <v>198.52</v>
      </c>
      <c r="K121" s="21">
        <v>0</v>
      </c>
      <c r="L121" s="78">
        <v>198.52</v>
      </c>
      <c r="M121" s="85" t="str">
        <f t="shared" si="17"/>
        <v>Nefakturováno</v>
      </c>
      <c r="N121" s="21">
        <f t="shared" si="18"/>
        <v>0</v>
      </c>
      <c r="O121" s="90">
        <f t="shared" si="19"/>
        <v>-100</v>
      </c>
      <c r="P121" s="39"/>
      <c r="AE121" s="21">
        <v>0</v>
      </c>
    </row>
    <row r="122" spans="1:31" ht="12.75">
      <c r="A122" s="75"/>
      <c r="B122" s="14"/>
      <c r="C122" s="14" t="s">
        <v>104</v>
      </c>
      <c r="D122" s="127" t="s">
        <v>374</v>
      </c>
      <c r="E122" s="128"/>
      <c r="F122" s="47">
        <f>SUM(F123:F125)</f>
        <v>0</v>
      </c>
      <c r="G122" s="47">
        <f>SUM(G123:G125)</f>
        <v>0</v>
      </c>
      <c r="H122" s="47">
        <f t="shared" si="15"/>
        <v>0</v>
      </c>
      <c r="I122" s="47">
        <f t="shared" si="16"/>
        <v>0</v>
      </c>
      <c r="J122" s="47">
        <f>SUM(J123:J125)</f>
        <v>221.95999999999998</v>
      </c>
      <c r="K122" s="47">
        <f>SUM(K123:K125)</f>
        <v>0</v>
      </c>
      <c r="L122" s="83">
        <f>J122-K122</f>
        <v>221.95999999999998</v>
      </c>
      <c r="M122" s="86" t="str">
        <f t="shared" si="17"/>
        <v>Nefakturováno</v>
      </c>
      <c r="N122" s="47">
        <f t="shared" si="18"/>
        <v>0</v>
      </c>
      <c r="O122" s="91">
        <f t="shared" si="19"/>
        <v>-100</v>
      </c>
      <c r="P122" s="39"/>
      <c r="AE122" s="21">
        <v>0</v>
      </c>
    </row>
    <row r="123" spans="1:31" ht="12.75">
      <c r="A123" s="4" t="s">
        <v>84</v>
      </c>
      <c r="B123" s="13"/>
      <c r="C123" s="13" t="s">
        <v>212</v>
      </c>
      <c r="D123" s="125" t="s">
        <v>375</v>
      </c>
      <c r="E123" s="126"/>
      <c r="F123" s="21">
        <f>'Stavební rozpočet'!K187</f>
        <v>0</v>
      </c>
      <c r="G123" s="21">
        <v>0</v>
      </c>
      <c r="H123" s="21">
        <f t="shared" si="15"/>
        <v>0</v>
      </c>
      <c r="I123" s="21">
        <f t="shared" si="16"/>
        <v>0</v>
      </c>
      <c r="J123" s="21">
        <f>'Stavební rozpočet'!G187</f>
        <v>40.23</v>
      </c>
      <c r="K123" s="21">
        <v>0</v>
      </c>
      <c r="L123" s="78">
        <v>40.23</v>
      </c>
      <c r="M123" s="85" t="str">
        <f t="shared" si="17"/>
        <v>Nefakturováno</v>
      </c>
      <c r="N123" s="21">
        <f t="shared" si="18"/>
        <v>0</v>
      </c>
      <c r="O123" s="90">
        <f t="shared" si="19"/>
        <v>-100</v>
      </c>
      <c r="P123" s="39"/>
      <c r="AE123" s="21">
        <v>0</v>
      </c>
    </row>
    <row r="124" spans="1:31" ht="12.75">
      <c r="A124" s="4" t="s">
        <v>85</v>
      </c>
      <c r="B124" s="13"/>
      <c r="C124" s="13" t="s">
        <v>213</v>
      </c>
      <c r="D124" s="125" t="s">
        <v>376</v>
      </c>
      <c r="E124" s="126"/>
      <c r="F124" s="21">
        <f>'Stavební rozpočet'!K191</f>
        <v>0</v>
      </c>
      <c r="G124" s="21">
        <v>0</v>
      </c>
      <c r="H124" s="21">
        <f t="shared" si="15"/>
        <v>0</v>
      </c>
      <c r="I124" s="21">
        <f t="shared" si="16"/>
        <v>0</v>
      </c>
      <c r="J124" s="21">
        <f>'Stavební rozpočet'!G191</f>
        <v>161.35</v>
      </c>
      <c r="K124" s="21">
        <v>0</v>
      </c>
      <c r="L124" s="78">
        <v>161.35</v>
      </c>
      <c r="M124" s="85" t="str">
        <f t="shared" si="17"/>
        <v>Nefakturováno</v>
      </c>
      <c r="N124" s="21">
        <f t="shared" si="18"/>
        <v>0</v>
      </c>
      <c r="O124" s="90">
        <f t="shared" si="19"/>
        <v>-100</v>
      </c>
      <c r="P124" s="39"/>
      <c r="AE124" s="21">
        <v>0</v>
      </c>
    </row>
    <row r="125" spans="1:31" ht="12.75">
      <c r="A125" s="4" t="s">
        <v>86</v>
      </c>
      <c r="B125" s="13"/>
      <c r="C125" s="13" t="s">
        <v>214</v>
      </c>
      <c r="D125" s="125" t="s">
        <v>377</v>
      </c>
      <c r="E125" s="126"/>
      <c r="F125" s="21">
        <f>'Stavební rozpočet'!K201</f>
        <v>0</v>
      </c>
      <c r="G125" s="21">
        <v>0</v>
      </c>
      <c r="H125" s="21">
        <f t="shared" si="15"/>
        <v>0</v>
      </c>
      <c r="I125" s="21">
        <f t="shared" si="16"/>
        <v>0</v>
      </c>
      <c r="J125" s="21">
        <f>'Stavební rozpočet'!G201</f>
        <v>20.38</v>
      </c>
      <c r="K125" s="21">
        <v>0</v>
      </c>
      <c r="L125" s="78">
        <v>20.38</v>
      </c>
      <c r="M125" s="85" t="str">
        <f t="shared" si="17"/>
        <v>Nefakturováno</v>
      </c>
      <c r="N125" s="21">
        <f t="shared" si="18"/>
        <v>0</v>
      </c>
      <c r="O125" s="90">
        <f t="shared" si="19"/>
        <v>-100</v>
      </c>
      <c r="P125" s="39"/>
      <c r="AE125" s="21">
        <v>0</v>
      </c>
    </row>
    <row r="126" spans="1:31" ht="12.75">
      <c r="A126" s="75"/>
      <c r="B126" s="14"/>
      <c r="C126" s="14" t="s">
        <v>215</v>
      </c>
      <c r="D126" s="127" t="s">
        <v>378</v>
      </c>
      <c r="E126" s="128"/>
      <c r="F126" s="47">
        <f>SUM(F127:F127)</f>
        <v>0</v>
      </c>
      <c r="G126" s="47">
        <f>SUM(G127:G127)</f>
        <v>0</v>
      </c>
      <c r="H126" s="47">
        <f t="shared" si="15"/>
        <v>0</v>
      </c>
      <c r="I126" s="47">
        <f t="shared" si="16"/>
        <v>0</v>
      </c>
      <c r="J126" s="47">
        <f>SUM(J127:J127)</f>
        <v>284.87</v>
      </c>
      <c r="K126" s="47">
        <f>SUM(K127:K127)</f>
        <v>0</v>
      </c>
      <c r="L126" s="83">
        <f>J126-K126</f>
        <v>284.87</v>
      </c>
      <c r="M126" s="86" t="str">
        <f t="shared" si="17"/>
        <v>Nefakturováno</v>
      </c>
      <c r="N126" s="47">
        <f t="shared" si="18"/>
        <v>0</v>
      </c>
      <c r="O126" s="91">
        <f t="shared" si="19"/>
        <v>-100</v>
      </c>
      <c r="P126" s="39"/>
      <c r="AE126" s="21">
        <v>0</v>
      </c>
    </row>
    <row r="127" spans="1:31" ht="12.75">
      <c r="A127" s="4" t="s">
        <v>87</v>
      </c>
      <c r="B127" s="13"/>
      <c r="C127" s="13" t="s">
        <v>216</v>
      </c>
      <c r="D127" s="125" t="s">
        <v>379</v>
      </c>
      <c r="E127" s="126"/>
      <c r="F127" s="21">
        <f>'Stavební rozpočet'!K204</f>
        <v>0</v>
      </c>
      <c r="G127" s="21">
        <v>0</v>
      </c>
      <c r="H127" s="21">
        <f t="shared" si="15"/>
        <v>0</v>
      </c>
      <c r="I127" s="21">
        <f t="shared" si="16"/>
        <v>0</v>
      </c>
      <c r="J127" s="21">
        <f>'Stavební rozpočet'!G204</f>
        <v>284.87</v>
      </c>
      <c r="K127" s="21">
        <v>0</v>
      </c>
      <c r="L127" s="78">
        <v>284.87</v>
      </c>
      <c r="M127" s="85" t="str">
        <f t="shared" si="17"/>
        <v>Nefakturováno</v>
      </c>
      <c r="N127" s="21">
        <f t="shared" si="18"/>
        <v>0</v>
      </c>
      <c r="O127" s="90">
        <f t="shared" si="19"/>
        <v>-100</v>
      </c>
      <c r="P127" s="39"/>
      <c r="AE127" s="21">
        <v>0</v>
      </c>
    </row>
    <row r="128" spans="1:31" ht="12.75">
      <c r="A128" s="75"/>
      <c r="B128" s="14"/>
      <c r="C128" s="14" t="s">
        <v>217</v>
      </c>
      <c r="D128" s="127" t="s">
        <v>320</v>
      </c>
      <c r="E128" s="128"/>
      <c r="F128" s="47">
        <f>SUM(F129:F129)</f>
        <v>0</v>
      </c>
      <c r="G128" s="47">
        <f>SUM(G129:G129)</f>
        <v>0</v>
      </c>
      <c r="H128" s="47">
        <f t="shared" si="15"/>
        <v>0</v>
      </c>
      <c r="I128" s="47">
        <f t="shared" si="16"/>
        <v>0</v>
      </c>
      <c r="J128" s="47">
        <f>SUM(J129:J129)</f>
        <v>5294</v>
      </c>
      <c r="K128" s="47">
        <f>SUM(K129:K129)</f>
        <v>0</v>
      </c>
      <c r="L128" s="83">
        <f>J128-K128</f>
        <v>5294</v>
      </c>
      <c r="M128" s="86" t="str">
        <f t="shared" si="17"/>
        <v>Nefakturováno</v>
      </c>
      <c r="N128" s="47">
        <f t="shared" si="18"/>
        <v>0</v>
      </c>
      <c r="O128" s="91">
        <f t="shared" si="19"/>
        <v>-100</v>
      </c>
      <c r="P128" s="39"/>
      <c r="AE128" s="21">
        <v>0</v>
      </c>
    </row>
    <row r="129" spans="1:31" ht="12.75">
      <c r="A129" s="4" t="s">
        <v>88</v>
      </c>
      <c r="B129" s="13"/>
      <c r="C129" s="13" t="s">
        <v>218</v>
      </c>
      <c r="D129" s="125" t="s">
        <v>380</v>
      </c>
      <c r="E129" s="126"/>
      <c r="F129" s="21">
        <f>'Stavební rozpočet'!K206</f>
        <v>0</v>
      </c>
      <c r="G129" s="21">
        <v>0</v>
      </c>
      <c r="H129" s="21">
        <f t="shared" si="15"/>
        <v>0</v>
      </c>
      <c r="I129" s="21">
        <f t="shared" si="16"/>
        <v>0</v>
      </c>
      <c r="J129" s="21">
        <f>'Stavební rozpočet'!G206</f>
        <v>5294</v>
      </c>
      <c r="K129" s="21">
        <v>0</v>
      </c>
      <c r="L129" s="78">
        <v>5294</v>
      </c>
      <c r="M129" s="85" t="str">
        <f t="shared" si="17"/>
        <v>Nefakturováno</v>
      </c>
      <c r="N129" s="21">
        <f t="shared" si="18"/>
        <v>0</v>
      </c>
      <c r="O129" s="90">
        <f t="shared" si="19"/>
        <v>-100</v>
      </c>
      <c r="P129" s="39"/>
      <c r="AE129" s="21">
        <v>0</v>
      </c>
    </row>
    <row r="130" spans="1:31" ht="12.75">
      <c r="A130" s="75"/>
      <c r="B130" s="14"/>
      <c r="C130" s="14" t="s">
        <v>219</v>
      </c>
      <c r="D130" s="127" t="s">
        <v>328</v>
      </c>
      <c r="E130" s="128"/>
      <c r="F130" s="47">
        <f>SUM(F131:F131)</f>
        <v>0</v>
      </c>
      <c r="G130" s="47">
        <f>SUM(G131:G131)</f>
        <v>0</v>
      </c>
      <c r="H130" s="47">
        <f t="shared" si="15"/>
        <v>0</v>
      </c>
      <c r="I130" s="47">
        <f t="shared" si="16"/>
        <v>0</v>
      </c>
      <c r="J130" s="47">
        <f>SUM(J131:J131)</f>
        <v>3.54</v>
      </c>
      <c r="K130" s="47">
        <f>SUM(K131:K131)</f>
        <v>0</v>
      </c>
      <c r="L130" s="83">
        <f>J130-K130</f>
        <v>3.54</v>
      </c>
      <c r="M130" s="86" t="str">
        <f t="shared" si="17"/>
        <v>Nefakturováno</v>
      </c>
      <c r="N130" s="47">
        <f t="shared" si="18"/>
        <v>0</v>
      </c>
      <c r="O130" s="91">
        <f t="shared" si="19"/>
        <v>-100</v>
      </c>
      <c r="P130" s="39"/>
      <c r="AE130" s="21">
        <v>0</v>
      </c>
    </row>
    <row r="131" spans="1:31" ht="12.75">
      <c r="A131" s="4" t="s">
        <v>89</v>
      </c>
      <c r="B131" s="13"/>
      <c r="C131" s="13" t="s">
        <v>220</v>
      </c>
      <c r="D131" s="125" t="s">
        <v>381</v>
      </c>
      <c r="E131" s="126"/>
      <c r="F131" s="21">
        <f>'Stavební rozpočet'!K208</f>
        <v>0</v>
      </c>
      <c r="G131" s="21">
        <v>0</v>
      </c>
      <c r="H131" s="21">
        <f t="shared" si="15"/>
        <v>0</v>
      </c>
      <c r="I131" s="21">
        <f t="shared" si="16"/>
        <v>0</v>
      </c>
      <c r="J131" s="21">
        <f>'Stavební rozpočet'!G208</f>
        <v>3.54</v>
      </c>
      <c r="K131" s="21">
        <v>0</v>
      </c>
      <c r="L131" s="78">
        <v>3.54</v>
      </c>
      <c r="M131" s="85" t="str">
        <f t="shared" si="17"/>
        <v>Nefakturováno</v>
      </c>
      <c r="N131" s="21">
        <f t="shared" si="18"/>
        <v>0</v>
      </c>
      <c r="O131" s="90">
        <f t="shared" si="19"/>
        <v>-100</v>
      </c>
      <c r="P131" s="39"/>
      <c r="AE131" s="21">
        <v>0</v>
      </c>
    </row>
    <row r="132" spans="1:31" ht="12.75">
      <c r="A132" s="75"/>
      <c r="B132" s="14"/>
      <c r="C132" s="14" t="s">
        <v>221</v>
      </c>
      <c r="D132" s="127" t="s">
        <v>338</v>
      </c>
      <c r="E132" s="128"/>
      <c r="F132" s="47">
        <f>SUM(F133:F133)</f>
        <v>0</v>
      </c>
      <c r="G132" s="47">
        <f>SUM(G133:G133)</f>
        <v>0</v>
      </c>
      <c r="H132" s="47">
        <f t="shared" si="15"/>
        <v>0</v>
      </c>
      <c r="I132" s="47">
        <f t="shared" si="16"/>
        <v>0</v>
      </c>
      <c r="J132" s="47">
        <f>SUM(J133:J133)</f>
        <v>3524</v>
      </c>
      <c r="K132" s="47">
        <f>SUM(K133:K133)</f>
        <v>0</v>
      </c>
      <c r="L132" s="83">
        <f>J132-K132</f>
        <v>3524</v>
      </c>
      <c r="M132" s="86" t="str">
        <f t="shared" si="17"/>
        <v>Nefakturováno</v>
      </c>
      <c r="N132" s="47">
        <f t="shared" si="18"/>
        <v>0</v>
      </c>
      <c r="O132" s="91">
        <f t="shared" si="19"/>
        <v>-100</v>
      </c>
      <c r="P132" s="39"/>
      <c r="AE132" s="21">
        <v>0</v>
      </c>
    </row>
    <row r="133" spans="1:31" ht="12.75">
      <c r="A133" s="4" t="s">
        <v>90</v>
      </c>
      <c r="B133" s="13"/>
      <c r="C133" s="13" t="s">
        <v>222</v>
      </c>
      <c r="D133" s="125" t="s">
        <v>382</v>
      </c>
      <c r="E133" s="126"/>
      <c r="F133" s="21">
        <f>'Stavební rozpočet'!K210</f>
        <v>0</v>
      </c>
      <c r="G133" s="21">
        <v>0</v>
      </c>
      <c r="H133" s="21">
        <f t="shared" si="15"/>
        <v>0</v>
      </c>
      <c r="I133" s="21">
        <f t="shared" si="16"/>
        <v>0</v>
      </c>
      <c r="J133" s="21">
        <f>'Stavební rozpočet'!G210</f>
        <v>3524</v>
      </c>
      <c r="K133" s="21">
        <v>0</v>
      </c>
      <c r="L133" s="78">
        <v>3524</v>
      </c>
      <c r="M133" s="85" t="str">
        <f t="shared" si="17"/>
        <v>Nefakturováno</v>
      </c>
      <c r="N133" s="21">
        <f t="shared" si="18"/>
        <v>0</v>
      </c>
      <c r="O133" s="90">
        <f t="shared" si="19"/>
        <v>-100</v>
      </c>
      <c r="P133" s="39"/>
      <c r="AE133" s="21">
        <v>0</v>
      </c>
    </row>
    <row r="134" spans="1:31" ht="12.75">
      <c r="A134" s="75"/>
      <c r="B134" s="14"/>
      <c r="C134" s="14" t="s">
        <v>223</v>
      </c>
      <c r="D134" s="127" t="s">
        <v>383</v>
      </c>
      <c r="E134" s="128"/>
      <c r="F134" s="47">
        <f>SUM(F135:F137)</f>
        <v>0</v>
      </c>
      <c r="G134" s="47">
        <f>SUM(G135:G137)</f>
        <v>0</v>
      </c>
      <c r="H134" s="47">
        <f t="shared" si="15"/>
        <v>0</v>
      </c>
      <c r="I134" s="47">
        <f t="shared" si="16"/>
        <v>0</v>
      </c>
      <c r="J134" s="47">
        <f>SUM(J135:J137)</f>
        <v>762.9300000000001</v>
      </c>
      <c r="K134" s="47">
        <f>SUM(K135:K137)</f>
        <v>0</v>
      </c>
      <c r="L134" s="83">
        <f>J134-K134</f>
        <v>762.9300000000001</v>
      </c>
      <c r="M134" s="86" t="str">
        <f t="shared" si="17"/>
        <v>Nefakturováno</v>
      </c>
      <c r="N134" s="47">
        <f t="shared" si="18"/>
        <v>0</v>
      </c>
      <c r="O134" s="91">
        <f t="shared" si="19"/>
        <v>-100</v>
      </c>
      <c r="P134" s="39"/>
      <c r="AE134" s="21">
        <v>0</v>
      </c>
    </row>
    <row r="135" spans="1:31" ht="12.75">
      <c r="A135" s="4" t="s">
        <v>91</v>
      </c>
      <c r="B135" s="13"/>
      <c r="C135" s="13" t="s">
        <v>224</v>
      </c>
      <c r="D135" s="125" t="s">
        <v>384</v>
      </c>
      <c r="E135" s="126"/>
      <c r="F135" s="21">
        <f>'Stavební rozpočet'!K212</f>
        <v>0</v>
      </c>
      <c r="G135" s="21">
        <v>0</v>
      </c>
      <c r="H135" s="21">
        <f t="shared" si="15"/>
        <v>0</v>
      </c>
      <c r="I135" s="21">
        <f t="shared" si="16"/>
        <v>0</v>
      </c>
      <c r="J135" s="21">
        <f>'Stavební rozpočet'!G212</f>
        <v>155.73</v>
      </c>
      <c r="K135" s="21">
        <v>0</v>
      </c>
      <c r="L135" s="78">
        <v>155.73</v>
      </c>
      <c r="M135" s="85" t="str">
        <f t="shared" si="17"/>
        <v>Nefakturováno</v>
      </c>
      <c r="N135" s="21">
        <f t="shared" si="18"/>
        <v>0</v>
      </c>
      <c r="O135" s="90">
        <f t="shared" si="19"/>
        <v>-100</v>
      </c>
      <c r="P135" s="39"/>
      <c r="AE135" s="21">
        <v>0</v>
      </c>
    </row>
    <row r="136" spans="1:31" ht="12.75">
      <c r="A136" s="4" t="s">
        <v>92</v>
      </c>
      <c r="B136" s="13"/>
      <c r="C136" s="13" t="s">
        <v>225</v>
      </c>
      <c r="D136" s="125" t="s">
        <v>385</v>
      </c>
      <c r="E136" s="126"/>
      <c r="F136" s="21">
        <f>'Stavební rozpočet'!K217</f>
        <v>0</v>
      </c>
      <c r="G136" s="21">
        <v>0</v>
      </c>
      <c r="H136" s="21">
        <f t="shared" si="15"/>
        <v>0</v>
      </c>
      <c r="I136" s="21">
        <f t="shared" si="16"/>
        <v>0</v>
      </c>
      <c r="J136" s="21">
        <f>'Stavební rozpočet'!G217</f>
        <v>552</v>
      </c>
      <c r="K136" s="21">
        <v>0</v>
      </c>
      <c r="L136" s="78">
        <v>552</v>
      </c>
      <c r="M136" s="85" t="str">
        <f t="shared" si="17"/>
        <v>Nefakturováno</v>
      </c>
      <c r="N136" s="21">
        <f t="shared" si="18"/>
        <v>0</v>
      </c>
      <c r="O136" s="90">
        <f t="shared" si="19"/>
        <v>-100</v>
      </c>
      <c r="P136" s="39"/>
      <c r="AE136" s="21">
        <v>0</v>
      </c>
    </row>
    <row r="137" spans="1:31" ht="12.75">
      <c r="A137" s="4" t="s">
        <v>93</v>
      </c>
      <c r="B137" s="13"/>
      <c r="C137" s="13" t="s">
        <v>226</v>
      </c>
      <c r="D137" s="125" t="s">
        <v>386</v>
      </c>
      <c r="E137" s="126"/>
      <c r="F137" s="21">
        <f>'Stavební rozpočet'!K218</f>
        <v>0</v>
      </c>
      <c r="G137" s="21">
        <v>0</v>
      </c>
      <c r="H137" s="21">
        <f t="shared" si="15"/>
        <v>0</v>
      </c>
      <c r="I137" s="21">
        <f t="shared" si="16"/>
        <v>0</v>
      </c>
      <c r="J137" s="21">
        <f>'Stavební rozpočet'!G218</f>
        <v>55.2</v>
      </c>
      <c r="K137" s="21">
        <v>0</v>
      </c>
      <c r="L137" s="78">
        <v>55.2</v>
      </c>
      <c r="M137" s="85" t="str">
        <f t="shared" si="17"/>
        <v>Nefakturováno</v>
      </c>
      <c r="N137" s="21">
        <f t="shared" si="18"/>
        <v>0</v>
      </c>
      <c r="O137" s="90">
        <f t="shared" si="19"/>
        <v>-100</v>
      </c>
      <c r="P137" s="39"/>
      <c r="AE137" s="21">
        <v>0</v>
      </c>
    </row>
    <row r="138" spans="1:31" ht="12.75">
      <c r="A138" s="75"/>
      <c r="B138" s="14"/>
      <c r="C138" s="14" t="s">
        <v>227</v>
      </c>
      <c r="D138" s="127" t="s">
        <v>387</v>
      </c>
      <c r="E138" s="128"/>
      <c r="F138" s="47">
        <f>SUM(F139:F148)</f>
        <v>0</v>
      </c>
      <c r="G138" s="47">
        <f>SUM(G139:G148)</f>
        <v>0</v>
      </c>
      <c r="H138" s="47">
        <f t="shared" si="15"/>
        <v>0</v>
      </c>
      <c r="I138" s="47">
        <f t="shared" si="16"/>
        <v>0</v>
      </c>
      <c r="J138" s="47">
        <f>SUM(J139:J148)</f>
        <v>12928.76</v>
      </c>
      <c r="K138" s="47">
        <f>SUM(K139:K148)</f>
        <v>0</v>
      </c>
      <c r="L138" s="83">
        <f>J138-K138</f>
        <v>12928.76</v>
      </c>
      <c r="M138" s="86" t="str">
        <f t="shared" si="17"/>
        <v>Nefakturováno</v>
      </c>
      <c r="N138" s="47">
        <f t="shared" si="18"/>
        <v>0</v>
      </c>
      <c r="O138" s="91">
        <f t="shared" si="19"/>
        <v>-100</v>
      </c>
      <c r="P138" s="39"/>
      <c r="AE138" s="21">
        <v>0</v>
      </c>
    </row>
    <row r="139" spans="1:31" ht="12.75">
      <c r="A139" s="4" t="s">
        <v>94</v>
      </c>
      <c r="B139" s="13"/>
      <c r="C139" s="13" t="s">
        <v>228</v>
      </c>
      <c r="D139" s="125" t="s">
        <v>388</v>
      </c>
      <c r="E139" s="126"/>
      <c r="F139" s="21">
        <f>'Stavební rozpočet'!K221</f>
        <v>0</v>
      </c>
      <c r="G139" s="21">
        <v>0</v>
      </c>
      <c r="H139" s="21">
        <f aca="true" t="shared" si="20" ref="H139:H170">G139-F139</f>
        <v>0</v>
      </c>
      <c r="I139" s="21">
        <f aca="true" t="shared" si="21" ref="I139:I170">IF(F139=0,0,H139/F139*100)</f>
        <v>0</v>
      </c>
      <c r="J139" s="21">
        <f>'Stavební rozpočet'!G221</f>
        <v>21.55</v>
      </c>
      <c r="K139" s="21">
        <v>0</v>
      </c>
      <c r="L139" s="78">
        <v>21.55</v>
      </c>
      <c r="M139" s="85" t="str">
        <f aca="true" t="shared" si="22" ref="M139:M171">IF(G139=0,"Nefakturováno",AE139)</f>
        <v>Nefakturováno</v>
      </c>
      <c r="N139" s="21">
        <f aca="true" t="shared" si="23" ref="N139:N171">AE139-G139</f>
        <v>0</v>
      </c>
      <c r="O139" s="90">
        <f aca="true" t="shared" si="24" ref="O139:O170">IF(G139&lt;&gt;0,N139/G139*100,-100)</f>
        <v>-100</v>
      </c>
      <c r="P139" s="39"/>
      <c r="AE139" s="21">
        <v>0</v>
      </c>
    </row>
    <row r="140" spans="1:31" ht="12.75">
      <c r="A140" s="4" t="s">
        <v>95</v>
      </c>
      <c r="B140" s="13"/>
      <c r="C140" s="13" t="s">
        <v>229</v>
      </c>
      <c r="D140" s="125" t="s">
        <v>389</v>
      </c>
      <c r="E140" s="126"/>
      <c r="F140" s="21">
        <f>'Stavební rozpočet'!K223</f>
        <v>0</v>
      </c>
      <c r="G140" s="21">
        <v>0</v>
      </c>
      <c r="H140" s="21">
        <f t="shared" si="20"/>
        <v>0</v>
      </c>
      <c r="I140" s="21">
        <f t="shared" si="21"/>
        <v>0</v>
      </c>
      <c r="J140" s="21">
        <f>'Stavební rozpočet'!G223</f>
        <v>497.26</v>
      </c>
      <c r="K140" s="21">
        <v>0</v>
      </c>
      <c r="L140" s="78">
        <v>497.26</v>
      </c>
      <c r="M140" s="85" t="str">
        <f t="shared" si="22"/>
        <v>Nefakturováno</v>
      </c>
      <c r="N140" s="21">
        <f t="shared" si="23"/>
        <v>0</v>
      </c>
      <c r="O140" s="90">
        <f t="shared" si="24"/>
        <v>-100</v>
      </c>
      <c r="P140" s="39"/>
      <c r="AE140" s="21">
        <v>0</v>
      </c>
    </row>
    <row r="141" spans="1:31" ht="12.75">
      <c r="A141" s="4" t="s">
        <v>96</v>
      </c>
      <c r="B141" s="13"/>
      <c r="C141" s="13" t="s">
        <v>230</v>
      </c>
      <c r="D141" s="125" t="s">
        <v>390</v>
      </c>
      <c r="E141" s="126"/>
      <c r="F141" s="21">
        <f>'Stavební rozpočet'!K225</f>
        <v>0</v>
      </c>
      <c r="G141" s="21">
        <v>0</v>
      </c>
      <c r="H141" s="21">
        <f t="shared" si="20"/>
        <v>0</v>
      </c>
      <c r="I141" s="21">
        <f t="shared" si="21"/>
        <v>0</v>
      </c>
      <c r="J141" s="21">
        <f>'Stavební rozpočet'!G225</f>
        <v>9945.2</v>
      </c>
      <c r="K141" s="21">
        <v>0</v>
      </c>
      <c r="L141" s="78">
        <v>9945.2</v>
      </c>
      <c r="M141" s="85" t="str">
        <f t="shared" si="22"/>
        <v>Nefakturováno</v>
      </c>
      <c r="N141" s="21">
        <f t="shared" si="23"/>
        <v>0</v>
      </c>
      <c r="O141" s="90">
        <f t="shared" si="24"/>
        <v>-100</v>
      </c>
      <c r="P141" s="39"/>
      <c r="AE141" s="21">
        <v>0</v>
      </c>
    </row>
    <row r="142" spans="1:31" ht="12.75">
      <c r="A142" s="4" t="s">
        <v>97</v>
      </c>
      <c r="B142" s="13"/>
      <c r="C142" s="13" t="s">
        <v>231</v>
      </c>
      <c r="D142" s="125" t="s">
        <v>391</v>
      </c>
      <c r="E142" s="126"/>
      <c r="F142" s="21">
        <f>'Stavební rozpočet'!K227</f>
        <v>0</v>
      </c>
      <c r="G142" s="21">
        <v>0</v>
      </c>
      <c r="H142" s="21">
        <f t="shared" si="20"/>
        <v>0</v>
      </c>
      <c r="I142" s="21">
        <f t="shared" si="21"/>
        <v>0</v>
      </c>
      <c r="J142" s="21">
        <f>'Stavební rozpočet'!G227</f>
        <v>497.26</v>
      </c>
      <c r="K142" s="21">
        <v>0</v>
      </c>
      <c r="L142" s="78">
        <v>497.26</v>
      </c>
      <c r="M142" s="85" t="str">
        <f t="shared" si="22"/>
        <v>Nefakturováno</v>
      </c>
      <c r="N142" s="21">
        <f t="shared" si="23"/>
        <v>0</v>
      </c>
      <c r="O142" s="90">
        <f t="shared" si="24"/>
        <v>-100</v>
      </c>
      <c r="P142" s="39"/>
      <c r="AE142" s="21">
        <v>0</v>
      </c>
    </row>
    <row r="143" spans="1:31" ht="12.75">
      <c r="A143" s="4" t="s">
        <v>98</v>
      </c>
      <c r="B143" s="13"/>
      <c r="C143" s="13" t="s">
        <v>232</v>
      </c>
      <c r="D143" s="125" t="s">
        <v>392</v>
      </c>
      <c r="E143" s="126"/>
      <c r="F143" s="21">
        <f>'Stavební rozpočet'!K228</f>
        <v>0</v>
      </c>
      <c r="G143" s="21">
        <v>0</v>
      </c>
      <c r="H143" s="21">
        <f t="shared" si="20"/>
        <v>0</v>
      </c>
      <c r="I143" s="21">
        <f t="shared" si="21"/>
        <v>0</v>
      </c>
      <c r="J143" s="21">
        <f>'Stavební rozpočet'!G228</f>
        <v>497.26</v>
      </c>
      <c r="K143" s="21">
        <v>0</v>
      </c>
      <c r="L143" s="78">
        <v>497.26</v>
      </c>
      <c r="M143" s="85" t="str">
        <f t="shared" si="22"/>
        <v>Nefakturováno</v>
      </c>
      <c r="N143" s="21">
        <f t="shared" si="23"/>
        <v>0</v>
      </c>
      <c r="O143" s="90">
        <f t="shared" si="24"/>
        <v>-100</v>
      </c>
      <c r="P143" s="39"/>
      <c r="AE143" s="21">
        <v>0</v>
      </c>
    </row>
    <row r="144" spans="1:31" ht="12.75">
      <c r="A144" s="4" t="s">
        <v>99</v>
      </c>
      <c r="B144" s="13"/>
      <c r="C144" s="13" t="s">
        <v>233</v>
      </c>
      <c r="D144" s="125" t="s">
        <v>393</v>
      </c>
      <c r="E144" s="126"/>
      <c r="F144" s="21">
        <f>'Stavební rozpočet'!K229</f>
        <v>0</v>
      </c>
      <c r="G144" s="21">
        <v>0</v>
      </c>
      <c r="H144" s="21">
        <f t="shared" si="20"/>
        <v>0</v>
      </c>
      <c r="I144" s="21">
        <f t="shared" si="21"/>
        <v>0</v>
      </c>
      <c r="J144" s="21">
        <f>'Stavební rozpočet'!G229</f>
        <v>24.55</v>
      </c>
      <c r="K144" s="21">
        <v>0</v>
      </c>
      <c r="L144" s="78">
        <v>24.55</v>
      </c>
      <c r="M144" s="85" t="str">
        <f t="shared" si="22"/>
        <v>Nefakturováno</v>
      </c>
      <c r="N144" s="21">
        <f t="shared" si="23"/>
        <v>0</v>
      </c>
      <c r="O144" s="90">
        <f t="shared" si="24"/>
        <v>-100</v>
      </c>
      <c r="P144" s="39"/>
      <c r="AE144" s="21">
        <v>0</v>
      </c>
    </row>
    <row r="145" spans="1:31" ht="12.75">
      <c r="A145" s="4" t="s">
        <v>100</v>
      </c>
      <c r="B145" s="13"/>
      <c r="C145" s="13" t="s">
        <v>234</v>
      </c>
      <c r="D145" s="125" t="s">
        <v>394</v>
      </c>
      <c r="E145" s="126"/>
      <c r="F145" s="21">
        <f>'Stavební rozpočet'!K231</f>
        <v>0</v>
      </c>
      <c r="G145" s="21">
        <v>0</v>
      </c>
      <c r="H145" s="21">
        <f t="shared" si="20"/>
        <v>0</v>
      </c>
      <c r="I145" s="21">
        <f t="shared" si="21"/>
        <v>0</v>
      </c>
      <c r="J145" s="21">
        <f>'Stavební rozpočet'!G231</f>
        <v>336.01</v>
      </c>
      <c r="K145" s="21">
        <v>0</v>
      </c>
      <c r="L145" s="78">
        <v>336.01</v>
      </c>
      <c r="M145" s="85" t="str">
        <f t="shared" si="22"/>
        <v>Nefakturováno</v>
      </c>
      <c r="N145" s="21">
        <f t="shared" si="23"/>
        <v>0</v>
      </c>
      <c r="O145" s="90">
        <f t="shared" si="24"/>
        <v>-100</v>
      </c>
      <c r="P145" s="39"/>
      <c r="AE145" s="21">
        <v>0</v>
      </c>
    </row>
    <row r="146" spans="1:31" ht="12.75">
      <c r="A146" s="4" t="s">
        <v>101</v>
      </c>
      <c r="B146" s="13"/>
      <c r="C146" s="13" t="s">
        <v>235</v>
      </c>
      <c r="D146" s="125" t="s">
        <v>395</v>
      </c>
      <c r="E146" s="126"/>
      <c r="F146" s="21">
        <f>'Stavební rozpočet'!K233</f>
        <v>0</v>
      </c>
      <c r="G146" s="21">
        <v>0</v>
      </c>
      <c r="H146" s="21">
        <f t="shared" si="20"/>
        <v>0</v>
      </c>
      <c r="I146" s="21">
        <f t="shared" si="21"/>
        <v>0</v>
      </c>
      <c r="J146" s="21">
        <f>'Stavební rozpočet'!G233</f>
        <v>115.15</v>
      </c>
      <c r="K146" s="21">
        <v>0</v>
      </c>
      <c r="L146" s="78">
        <v>115.15</v>
      </c>
      <c r="M146" s="85" t="str">
        <f t="shared" si="22"/>
        <v>Nefakturováno</v>
      </c>
      <c r="N146" s="21">
        <f t="shared" si="23"/>
        <v>0</v>
      </c>
      <c r="O146" s="90">
        <f t="shared" si="24"/>
        <v>-100</v>
      </c>
      <c r="P146" s="39"/>
      <c r="AE146" s="21">
        <v>0</v>
      </c>
    </row>
    <row r="147" spans="1:31" ht="12.75">
      <c r="A147" s="4" t="s">
        <v>102</v>
      </c>
      <c r="B147" s="13"/>
      <c r="C147" s="13" t="s">
        <v>236</v>
      </c>
      <c r="D147" s="125" t="s">
        <v>396</v>
      </c>
      <c r="E147" s="126"/>
      <c r="F147" s="21">
        <f>'Stavební rozpočet'!K235</f>
        <v>0</v>
      </c>
      <c r="G147" s="21">
        <v>0</v>
      </c>
      <c r="H147" s="21">
        <f t="shared" si="20"/>
        <v>0</v>
      </c>
      <c r="I147" s="21">
        <f t="shared" si="21"/>
        <v>0</v>
      </c>
      <c r="J147" s="21">
        <f>'Stavební rozpočet'!G235</f>
        <v>497.26</v>
      </c>
      <c r="K147" s="21">
        <v>0</v>
      </c>
      <c r="L147" s="78">
        <v>497.26</v>
      </c>
      <c r="M147" s="85" t="str">
        <f t="shared" si="22"/>
        <v>Nefakturováno</v>
      </c>
      <c r="N147" s="21">
        <f t="shared" si="23"/>
        <v>0</v>
      </c>
      <c r="O147" s="90">
        <f t="shared" si="24"/>
        <v>-100</v>
      </c>
      <c r="P147" s="39"/>
      <c r="AE147" s="21">
        <v>0</v>
      </c>
    </row>
    <row r="148" spans="1:31" ht="12.75">
      <c r="A148" s="4" t="s">
        <v>103</v>
      </c>
      <c r="B148" s="13"/>
      <c r="C148" s="13" t="s">
        <v>237</v>
      </c>
      <c r="D148" s="125" t="s">
        <v>397</v>
      </c>
      <c r="E148" s="126"/>
      <c r="F148" s="21">
        <f>'Stavební rozpočet'!K236</f>
        <v>0</v>
      </c>
      <c r="G148" s="21">
        <v>0</v>
      </c>
      <c r="H148" s="21">
        <f t="shared" si="20"/>
        <v>0</v>
      </c>
      <c r="I148" s="21">
        <f t="shared" si="21"/>
        <v>0</v>
      </c>
      <c r="J148" s="21">
        <f>'Stavební rozpočet'!G236</f>
        <v>497.26</v>
      </c>
      <c r="K148" s="21">
        <v>0</v>
      </c>
      <c r="L148" s="78">
        <v>497.26</v>
      </c>
      <c r="M148" s="85" t="str">
        <f t="shared" si="22"/>
        <v>Nefakturováno</v>
      </c>
      <c r="N148" s="21">
        <f t="shared" si="23"/>
        <v>0</v>
      </c>
      <c r="O148" s="90">
        <f t="shared" si="24"/>
        <v>-100</v>
      </c>
      <c r="P148" s="39"/>
      <c r="AE148" s="21">
        <v>0</v>
      </c>
    </row>
    <row r="149" spans="1:31" ht="12.75">
      <c r="A149" s="75"/>
      <c r="B149" s="14"/>
      <c r="C149" s="14"/>
      <c r="D149" s="127" t="s">
        <v>398</v>
      </c>
      <c r="E149" s="128"/>
      <c r="F149" s="47">
        <f>SUM(F150:F162)</f>
        <v>0</v>
      </c>
      <c r="G149" s="47">
        <f>SUM(G150:G162)</f>
        <v>0</v>
      </c>
      <c r="H149" s="47">
        <f t="shared" si="20"/>
        <v>0</v>
      </c>
      <c r="I149" s="47">
        <f t="shared" si="21"/>
        <v>0</v>
      </c>
      <c r="J149" s="47">
        <f>SUM(J150:J162)</f>
        <v>766.749</v>
      </c>
      <c r="K149" s="47">
        <f>SUM(K150:K162)</f>
        <v>0</v>
      </c>
      <c r="L149" s="83">
        <f>J149-K149</f>
        <v>766.749</v>
      </c>
      <c r="M149" s="86" t="str">
        <f t="shared" si="22"/>
        <v>Nefakturováno</v>
      </c>
      <c r="N149" s="47">
        <f t="shared" si="23"/>
        <v>0</v>
      </c>
      <c r="O149" s="91">
        <f t="shared" si="24"/>
        <v>-100</v>
      </c>
      <c r="P149" s="39"/>
      <c r="AE149" s="21">
        <v>0</v>
      </c>
    </row>
    <row r="150" spans="1:31" ht="12.75">
      <c r="A150" s="6" t="s">
        <v>104</v>
      </c>
      <c r="B150" s="15"/>
      <c r="C150" s="15" t="s">
        <v>238</v>
      </c>
      <c r="D150" s="135" t="s">
        <v>399</v>
      </c>
      <c r="E150" s="136"/>
      <c r="F150" s="22">
        <f>'Stavební rozpočet'!K238</f>
        <v>0</v>
      </c>
      <c r="G150" s="22">
        <v>0</v>
      </c>
      <c r="H150" s="22">
        <f t="shared" si="20"/>
        <v>0</v>
      </c>
      <c r="I150" s="22">
        <f t="shared" si="21"/>
        <v>0</v>
      </c>
      <c r="J150" s="22">
        <f>'Stavební rozpočet'!G238</f>
        <v>49.2</v>
      </c>
      <c r="K150" s="22">
        <v>0</v>
      </c>
      <c r="L150" s="79">
        <v>49.2</v>
      </c>
      <c r="M150" s="87" t="str">
        <f t="shared" si="22"/>
        <v>Nefakturováno</v>
      </c>
      <c r="N150" s="22">
        <f t="shared" si="23"/>
        <v>0</v>
      </c>
      <c r="O150" s="92">
        <f t="shared" si="24"/>
        <v>-100</v>
      </c>
      <c r="P150" s="39"/>
      <c r="AE150" s="22">
        <v>0</v>
      </c>
    </row>
    <row r="151" spans="1:31" ht="12.75">
      <c r="A151" s="6" t="s">
        <v>105</v>
      </c>
      <c r="B151" s="15"/>
      <c r="C151" s="15" t="s">
        <v>239</v>
      </c>
      <c r="D151" s="135" t="s">
        <v>400</v>
      </c>
      <c r="E151" s="136"/>
      <c r="F151" s="22">
        <f>'Stavební rozpočet'!K239</f>
        <v>0</v>
      </c>
      <c r="G151" s="22">
        <v>0</v>
      </c>
      <c r="H151" s="22">
        <f t="shared" si="20"/>
        <v>0</v>
      </c>
      <c r="I151" s="22">
        <f t="shared" si="21"/>
        <v>0</v>
      </c>
      <c r="J151" s="22">
        <f>'Stavební rozpočet'!G239</f>
        <v>2</v>
      </c>
      <c r="K151" s="22">
        <v>0</v>
      </c>
      <c r="L151" s="79">
        <v>2</v>
      </c>
      <c r="M151" s="87" t="str">
        <f t="shared" si="22"/>
        <v>Nefakturováno</v>
      </c>
      <c r="N151" s="22">
        <f t="shared" si="23"/>
        <v>0</v>
      </c>
      <c r="O151" s="92">
        <f t="shared" si="24"/>
        <v>-100</v>
      </c>
      <c r="P151" s="39"/>
      <c r="AE151" s="22">
        <v>0</v>
      </c>
    </row>
    <row r="152" spans="1:31" ht="12.75">
      <c r="A152" s="6" t="s">
        <v>106</v>
      </c>
      <c r="B152" s="15"/>
      <c r="C152" s="15" t="s">
        <v>240</v>
      </c>
      <c r="D152" s="135" t="s">
        <v>401</v>
      </c>
      <c r="E152" s="136"/>
      <c r="F152" s="22">
        <f>'Stavební rozpočet'!K240</f>
        <v>0</v>
      </c>
      <c r="G152" s="22">
        <v>0</v>
      </c>
      <c r="H152" s="22">
        <f t="shared" si="20"/>
        <v>0</v>
      </c>
      <c r="I152" s="22">
        <f t="shared" si="21"/>
        <v>0</v>
      </c>
      <c r="J152" s="22">
        <f>'Stavební rozpočet'!G240</f>
        <v>2</v>
      </c>
      <c r="K152" s="22">
        <v>0</v>
      </c>
      <c r="L152" s="79">
        <v>4</v>
      </c>
      <c r="M152" s="87" t="str">
        <f t="shared" si="22"/>
        <v>Nefakturováno</v>
      </c>
      <c r="N152" s="22">
        <f t="shared" si="23"/>
        <v>0</v>
      </c>
      <c r="O152" s="92">
        <f t="shared" si="24"/>
        <v>-100</v>
      </c>
      <c r="P152" s="39"/>
      <c r="AE152" s="22">
        <v>0</v>
      </c>
    </row>
    <row r="153" spans="1:31" ht="12.75">
      <c r="A153" s="6" t="s">
        <v>107</v>
      </c>
      <c r="B153" s="15"/>
      <c r="C153" s="15" t="s">
        <v>241</v>
      </c>
      <c r="D153" s="135" t="s">
        <v>402</v>
      </c>
      <c r="E153" s="136"/>
      <c r="F153" s="22">
        <f>'Stavební rozpočet'!K250</f>
        <v>0</v>
      </c>
      <c r="G153" s="22">
        <v>0</v>
      </c>
      <c r="H153" s="22">
        <f t="shared" si="20"/>
        <v>0</v>
      </c>
      <c r="I153" s="22">
        <f t="shared" si="21"/>
        <v>0</v>
      </c>
      <c r="J153" s="22">
        <f>'Stavební rozpočet'!G250</f>
        <v>4</v>
      </c>
      <c r="K153" s="22">
        <v>0</v>
      </c>
      <c r="L153" s="79">
        <v>4</v>
      </c>
      <c r="M153" s="87" t="str">
        <f t="shared" si="22"/>
        <v>Nefakturováno</v>
      </c>
      <c r="N153" s="22">
        <f t="shared" si="23"/>
        <v>0</v>
      </c>
      <c r="O153" s="92">
        <f t="shared" si="24"/>
        <v>-100</v>
      </c>
      <c r="P153" s="39"/>
      <c r="AE153" s="22">
        <v>0</v>
      </c>
    </row>
    <row r="154" spans="1:31" ht="12.75">
      <c r="A154" s="6" t="s">
        <v>108</v>
      </c>
      <c r="B154" s="15"/>
      <c r="C154" s="15" t="s">
        <v>242</v>
      </c>
      <c r="D154" s="135" t="s">
        <v>403</v>
      </c>
      <c r="E154" s="136"/>
      <c r="F154" s="22">
        <f>'Stavební rozpočet'!K252</f>
        <v>0</v>
      </c>
      <c r="G154" s="22">
        <v>0</v>
      </c>
      <c r="H154" s="22">
        <f t="shared" si="20"/>
        <v>0</v>
      </c>
      <c r="I154" s="22">
        <f t="shared" si="21"/>
        <v>0</v>
      </c>
      <c r="J154" s="22">
        <f>'Stavební rozpočet'!G252</f>
        <v>1</v>
      </c>
      <c r="K154" s="22">
        <v>0</v>
      </c>
      <c r="L154" s="79">
        <v>1</v>
      </c>
      <c r="M154" s="87" t="str">
        <f t="shared" si="22"/>
        <v>Nefakturováno</v>
      </c>
      <c r="N154" s="22">
        <f t="shared" si="23"/>
        <v>0</v>
      </c>
      <c r="O154" s="92">
        <f t="shared" si="24"/>
        <v>-100</v>
      </c>
      <c r="P154" s="39"/>
      <c r="AE154" s="22">
        <v>0</v>
      </c>
    </row>
    <row r="155" spans="1:31" ht="12.75">
      <c r="A155" s="6" t="s">
        <v>109</v>
      </c>
      <c r="B155" s="15"/>
      <c r="C155" s="15" t="s">
        <v>243</v>
      </c>
      <c r="D155" s="135" t="s">
        <v>404</v>
      </c>
      <c r="E155" s="136"/>
      <c r="F155" s="22">
        <f>'Stavební rozpočet'!K254</f>
        <v>0</v>
      </c>
      <c r="G155" s="22">
        <v>0</v>
      </c>
      <c r="H155" s="22">
        <f t="shared" si="20"/>
        <v>0</v>
      </c>
      <c r="I155" s="22">
        <f t="shared" si="21"/>
        <v>0</v>
      </c>
      <c r="J155" s="22">
        <f>'Stavební rozpočet'!G254</f>
        <v>28</v>
      </c>
      <c r="K155" s="22">
        <v>0</v>
      </c>
      <c r="L155" s="79">
        <v>28</v>
      </c>
      <c r="M155" s="87" t="str">
        <f t="shared" si="22"/>
        <v>Nefakturováno</v>
      </c>
      <c r="N155" s="22">
        <f t="shared" si="23"/>
        <v>0</v>
      </c>
      <c r="O155" s="92">
        <f t="shared" si="24"/>
        <v>-100</v>
      </c>
      <c r="P155" s="39"/>
      <c r="AE155" s="22">
        <v>0</v>
      </c>
    </row>
    <row r="156" spans="1:31" ht="12.75">
      <c r="A156" s="6" t="s">
        <v>110</v>
      </c>
      <c r="B156" s="15"/>
      <c r="C156" s="15" t="s">
        <v>244</v>
      </c>
      <c r="D156" s="135" t="s">
        <v>405</v>
      </c>
      <c r="E156" s="136"/>
      <c r="F156" s="22">
        <f>'Stavební rozpočet'!K255</f>
        <v>0</v>
      </c>
      <c r="G156" s="22">
        <v>0</v>
      </c>
      <c r="H156" s="22">
        <f t="shared" si="20"/>
        <v>0</v>
      </c>
      <c r="I156" s="22">
        <f t="shared" si="21"/>
        <v>0</v>
      </c>
      <c r="J156" s="22">
        <f>'Stavební rozpočet'!G255</f>
        <v>98.74</v>
      </c>
      <c r="K156" s="22">
        <v>0</v>
      </c>
      <c r="L156" s="79">
        <v>98.74</v>
      </c>
      <c r="M156" s="87" t="str">
        <f t="shared" si="22"/>
        <v>Nefakturováno</v>
      </c>
      <c r="N156" s="22">
        <f t="shared" si="23"/>
        <v>0</v>
      </c>
      <c r="O156" s="92">
        <f t="shared" si="24"/>
        <v>-100</v>
      </c>
      <c r="P156" s="39"/>
      <c r="AE156" s="22">
        <v>0</v>
      </c>
    </row>
    <row r="157" spans="1:31" ht="12.75">
      <c r="A157" s="6" t="s">
        <v>111</v>
      </c>
      <c r="B157" s="15"/>
      <c r="C157" s="15" t="s">
        <v>245</v>
      </c>
      <c r="D157" s="135" t="s">
        <v>406</v>
      </c>
      <c r="E157" s="136"/>
      <c r="F157" s="22">
        <f>'Stavební rozpočet'!K256</f>
        <v>0</v>
      </c>
      <c r="G157" s="22">
        <v>0</v>
      </c>
      <c r="H157" s="22">
        <f t="shared" si="20"/>
        <v>0</v>
      </c>
      <c r="I157" s="22">
        <f t="shared" si="21"/>
        <v>0</v>
      </c>
      <c r="J157" s="22">
        <f>'Stavební rozpočet'!G256</f>
        <v>8</v>
      </c>
      <c r="K157" s="22">
        <v>0</v>
      </c>
      <c r="L157" s="79">
        <v>8</v>
      </c>
      <c r="M157" s="87" t="str">
        <f t="shared" si="22"/>
        <v>Nefakturováno</v>
      </c>
      <c r="N157" s="22">
        <f t="shared" si="23"/>
        <v>0</v>
      </c>
      <c r="O157" s="92">
        <f t="shared" si="24"/>
        <v>-100</v>
      </c>
      <c r="P157" s="39"/>
      <c r="AE157" s="22">
        <v>0</v>
      </c>
    </row>
    <row r="158" spans="1:31" ht="12.75">
      <c r="A158" s="6" t="s">
        <v>112</v>
      </c>
      <c r="B158" s="15"/>
      <c r="C158" s="15" t="s">
        <v>246</v>
      </c>
      <c r="D158" s="135" t="s">
        <v>407</v>
      </c>
      <c r="E158" s="136"/>
      <c r="F158" s="22">
        <f>'Stavební rozpočet'!K257</f>
        <v>0</v>
      </c>
      <c r="G158" s="22">
        <v>0</v>
      </c>
      <c r="H158" s="22">
        <f t="shared" si="20"/>
        <v>0</v>
      </c>
      <c r="I158" s="22">
        <f t="shared" si="21"/>
        <v>0</v>
      </c>
      <c r="J158" s="22">
        <f>'Stavební rozpočet'!G257</f>
        <v>118.12</v>
      </c>
      <c r="K158" s="22">
        <v>0</v>
      </c>
      <c r="L158" s="79">
        <v>118.12</v>
      </c>
      <c r="M158" s="87" t="str">
        <f t="shared" si="22"/>
        <v>Nefakturováno</v>
      </c>
      <c r="N158" s="22">
        <f t="shared" si="23"/>
        <v>0</v>
      </c>
      <c r="O158" s="92">
        <f t="shared" si="24"/>
        <v>-100</v>
      </c>
      <c r="P158" s="39"/>
      <c r="AE158" s="22">
        <v>0</v>
      </c>
    </row>
    <row r="159" spans="1:31" ht="12.75">
      <c r="A159" s="6" t="s">
        <v>113</v>
      </c>
      <c r="B159" s="15"/>
      <c r="C159" s="15" t="s">
        <v>247</v>
      </c>
      <c r="D159" s="135" t="s">
        <v>408</v>
      </c>
      <c r="E159" s="136"/>
      <c r="F159" s="22">
        <f>'Stavební rozpočet'!K258</f>
        <v>0</v>
      </c>
      <c r="G159" s="22">
        <v>0</v>
      </c>
      <c r="H159" s="22">
        <f t="shared" si="20"/>
        <v>0</v>
      </c>
      <c r="I159" s="22">
        <f t="shared" si="21"/>
        <v>0</v>
      </c>
      <c r="J159" s="22">
        <f>'Stavební rozpočet'!G258</f>
        <v>119.77</v>
      </c>
      <c r="K159" s="22">
        <v>0</v>
      </c>
      <c r="L159" s="79">
        <v>119.77</v>
      </c>
      <c r="M159" s="87" t="str">
        <f t="shared" si="22"/>
        <v>Nefakturováno</v>
      </c>
      <c r="N159" s="22">
        <f t="shared" si="23"/>
        <v>0</v>
      </c>
      <c r="O159" s="92">
        <f t="shared" si="24"/>
        <v>-100</v>
      </c>
      <c r="P159" s="39"/>
      <c r="AE159" s="22">
        <v>0</v>
      </c>
    </row>
    <row r="160" spans="1:31" ht="12.75">
      <c r="A160" s="6" t="s">
        <v>114</v>
      </c>
      <c r="B160" s="15"/>
      <c r="C160" s="15" t="s">
        <v>248</v>
      </c>
      <c r="D160" s="135" t="s">
        <v>409</v>
      </c>
      <c r="E160" s="136"/>
      <c r="F160" s="22">
        <f>'Stavební rozpočet'!K260</f>
        <v>0</v>
      </c>
      <c r="G160" s="22">
        <v>0</v>
      </c>
      <c r="H160" s="22">
        <f t="shared" si="20"/>
        <v>0</v>
      </c>
      <c r="I160" s="22">
        <f t="shared" si="21"/>
        <v>0</v>
      </c>
      <c r="J160" s="22">
        <f>'Stavební rozpočet'!G260</f>
        <v>165.52</v>
      </c>
      <c r="K160" s="22">
        <v>0</v>
      </c>
      <c r="L160" s="79">
        <v>165.52</v>
      </c>
      <c r="M160" s="87" t="str">
        <f t="shared" si="22"/>
        <v>Nefakturováno</v>
      </c>
      <c r="N160" s="22">
        <f t="shared" si="23"/>
        <v>0</v>
      </c>
      <c r="O160" s="92">
        <f t="shared" si="24"/>
        <v>-100</v>
      </c>
      <c r="P160" s="39"/>
      <c r="AE160" s="22">
        <v>0</v>
      </c>
    </row>
    <row r="161" spans="1:31" ht="12.75">
      <c r="A161" s="6" t="s">
        <v>115</v>
      </c>
      <c r="B161" s="15"/>
      <c r="C161" s="15" t="s">
        <v>249</v>
      </c>
      <c r="D161" s="135" t="s">
        <v>410</v>
      </c>
      <c r="E161" s="136"/>
      <c r="F161" s="22">
        <f>'Stavební rozpočet'!K261</f>
        <v>0</v>
      </c>
      <c r="G161" s="22">
        <v>0</v>
      </c>
      <c r="H161" s="22">
        <f t="shared" si="20"/>
        <v>0</v>
      </c>
      <c r="I161" s="22">
        <f t="shared" si="21"/>
        <v>0</v>
      </c>
      <c r="J161" s="22">
        <f>'Stavební rozpočet'!G261</f>
        <v>0.979</v>
      </c>
      <c r="K161" s="22">
        <v>0</v>
      </c>
      <c r="L161" s="79">
        <v>0.979</v>
      </c>
      <c r="M161" s="87" t="str">
        <f t="shared" si="22"/>
        <v>Nefakturováno</v>
      </c>
      <c r="N161" s="22">
        <f t="shared" si="23"/>
        <v>0</v>
      </c>
      <c r="O161" s="92">
        <f t="shared" si="24"/>
        <v>-100</v>
      </c>
      <c r="P161" s="39"/>
      <c r="AE161" s="22">
        <v>0</v>
      </c>
    </row>
    <row r="162" spans="1:31" ht="12.75">
      <c r="A162" s="6" t="s">
        <v>116</v>
      </c>
      <c r="B162" s="15"/>
      <c r="C162" s="15" t="s">
        <v>250</v>
      </c>
      <c r="D162" s="135" t="s">
        <v>411</v>
      </c>
      <c r="E162" s="136"/>
      <c r="F162" s="22">
        <f>'Stavební rozpočet'!K262</f>
        <v>0</v>
      </c>
      <c r="G162" s="22">
        <v>0</v>
      </c>
      <c r="H162" s="22">
        <f t="shared" si="20"/>
        <v>0</v>
      </c>
      <c r="I162" s="22">
        <f t="shared" si="21"/>
        <v>0</v>
      </c>
      <c r="J162" s="22">
        <f>'Stavební rozpočet'!G262</f>
        <v>169.42</v>
      </c>
      <c r="K162" s="22">
        <v>0</v>
      </c>
      <c r="L162" s="79">
        <v>169.42</v>
      </c>
      <c r="M162" s="87" t="str">
        <f t="shared" si="22"/>
        <v>Nefakturováno</v>
      </c>
      <c r="N162" s="22">
        <f t="shared" si="23"/>
        <v>0</v>
      </c>
      <c r="O162" s="92">
        <f t="shared" si="24"/>
        <v>-100</v>
      </c>
      <c r="P162" s="39"/>
      <c r="AE162" s="22">
        <v>0</v>
      </c>
    </row>
    <row r="163" spans="1:31" ht="12.75">
      <c r="A163" s="75"/>
      <c r="B163" s="14"/>
      <c r="C163" s="14"/>
      <c r="D163" s="127" t="s">
        <v>412</v>
      </c>
      <c r="E163" s="128"/>
      <c r="F163" s="47">
        <f>SUM(F162:F164)</f>
        <v>0</v>
      </c>
      <c r="G163" s="47">
        <f>SUM(G162:G164)</f>
        <v>0</v>
      </c>
      <c r="H163" s="47">
        <f t="shared" si="20"/>
        <v>0</v>
      </c>
      <c r="I163" s="47">
        <f t="shared" si="21"/>
        <v>0</v>
      </c>
      <c r="J163" s="47">
        <f>SUM(J162:J164)</f>
        <v>0</v>
      </c>
      <c r="K163" s="47">
        <f>SUM(K162:K164)</f>
        <v>0</v>
      </c>
      <c r="L163" s="83">
        <f>J163-K163</f>
        <v>0</v>
      </c>
      <c r="M163" s="86" t="str">
        <f t="shared" si="22"/>
        <v>Nefakturováno</v>
      </c>
      <c r="N163" s="47">
        <f t="shared" si="23"/>
        <v>0</v>
      </c>
      <c r="O163" s="91">
        <f t="shared" si="24"/>
        <v>-100</v>
      </c>
      <c r="P163" s="39"/>
      <c r="AE163" s="22">
        <v>0</v>
      </c>
    </row>
    <row r="164" spans="1:31" ht="12.75">
      <c r="A164" s="75"/>
      <c r="B164" s="14"/>
      <c r="C164" s="14" t="s">
        <v>251</v>
      </c>
      <c r="D164" s="127" t="s">
        <v>413</v>
      </c>
      <c r="E164" s="128"/>
      <c r="F164" s="47">
        <f>SUM(F165:F167)</f>
        <v>0</v>
      </c>
      <c r="G164" s="47">
        <f>SUM(G165:G167)</f>
        <v>0</v>
      </c>
      <c r="H164" s="47">
        <f t="shared" si="20"/>
        <v>0</v>
      </c>
      <c r="I164" s="47">
        <f t="shared" si="21"/>
        <v>0</v>
      </c>
      <c r="J164" s="47">
        <f>SUM(J165:J167)</f>
        <v>3</v>
      </c>
      <c r="K164" s="47">
        <f>SUM(K165:K167)</f>
        <v>0</v>
      </c>
      <c r="L164" s="83">
        <f>J164-K164</f>
        <v>3</v>
      </c>
      <c r="M164" s="86" t="str">
        <f t="shared" si="22"/>
        <v>Nefakturováno</v>
      </c>
      <c r="N164" s="47">
        <f t="shared" si="23"/>
        <v>0</v>
      </c>
      <c r="O164" s="91">
        <f t="shared" si="24"/>
        <v>-100</v>
      </c>
      <c r="P164" s="39"/>
      <c r="AE164" s="22">
        <v>0</v>
      </c>
    </row>
    <row r="165" spans="1:31" ht="12.75">
      <c r="A165" s="4" t="s">
        <v>117</v>
      </c>
      <c r="B165" s="13"/>
      <c r="C165" s="13" t="s">
        <v>252</v>
      </c>
      <c r="D165" s="125" t="s">
        <v>413</v>
      </c>
      <c r="E165" s="126"/>
      <c r="F165" s="21">
        <f>'Stavební rozpočet'!K266</f>
        <v>0</v>
      </c>
      <c r="G165" s="21">
        <v>0</v>
      </c>
      <c r="H165" s="21">
        <f t="shared" si="20"/>
        <v>0</v>
      </c>
      <c r="I165" s="21">
        <f t="shared" si="21"/>
        <v>0</v>
      </c>
      <c r="J165" s="21">
        <f>'Stavební rozpočet'!G266</f>
        <v>1</v>
      </c>
      <c r="K165" s="21">
        <v>0</v>
      </c>
      <c r="L165" s="78">
        <v>1</v>
      </c>
      <c r="M165" s="85" t="str">
        <f t="shared" si="22"/>
        <v>Nefakturováno</v>
      </c>
      <c r="N165" s="21">
        <f t="shared" si="23"/>
        <v>0</v>
      </c>
      <c r="O165" s="90">
        <f t="shared" si="24"/>
        <v>-100</v>
      </c>
      <c r="P165" s="39"/>
      <c r="AE165" s="21">
        <v>0</v>
      </c>
    </row>
    <row r="166" spans="1:31" ht="12.75">
      <c r="A166" s="4" t="s">
        <v>118</v>
      </c>
      <c r="B166" s="13"/>
      <c r="C166" s="13" t="s">
        <v>253</v>
      </c>
      <c r="D166" s="125" t="s">
        <v>414</v>
      </c>
      <c r="E166" s="126"/>
      <c r="F166" s="21">
        <f>'Stavební rozpočet'!K267</f>
        <v>0</v>
      </c>
      <c r="G166" s="21">
        <v>0</v>
      </c>
      <c r="H166" s="21">
        <f t="shared" si="20"/>
        <v>0</v>
      </c>
      <c r="I166" s="21">
        <f t="shared" si="21"/>
        <v>0</v>
      </c>
      <c r="J166" s="21">
        <f>'Stavební rozpočet'!G267</f>
        <v>1</v>
      </c>
      <c r="K166" s="21">
        <v>0</v>
      </c>
      <c r="L166" s="78">
        <v>1</v>
      </c>
      <c r="M166" s="85" t="str">
        <f t="shared" si="22"/>
        <v>Nefakturováno</v>
      </c>
      <c r="N166" s="21">
        <f t="shared" si="23"/>
        <v>0</v>
      </c>
      <c r="O166" s="90">
        <f t="shared" si="24"/>
        <v>-100</v>
      </c>
      <c r="P166" s="39"/>
      <c r="AE166" s="21">
        <v>0</v>
      </c>
    </row>
    <row r="167" spans="1:31" ht="12.75">
      <c r="A167" s="4" t="s">
        <v>119</v>
      </c>
      <c r="B167" s="13"/>
      <c r="C167" s="13" t="s">
        <v>254</v>
      </c>
      <c r="D167" s="125" t="s">
        <v>415</v>
      </c>
      <c r="E167" s="126"/>
      <c r="F167" s="21">
        <f>'Stavební rozpočet'!K268</f>
        <v>0</v>
      </c>
      <c r="G167" s="21">
        <v>0</v>
      </c>
      <c r="H167" s="21">
        <f t="shared" si="20"/>
        <v>0</v>
      </c>
      <c r="I167" s="21">
        <f t="shared" si="21"/>
        <v>0</v>
      </c>
      <c r="J167" s="21">
        <f>'Stavební rozpočet'!G268</f>
        <v>1</v>
      </c>
      <c r="K167" s="21">
        <v>0</v>
      </c>
      <c r="L167" s="78">
        <v>1</v>
      </c>
      <c r="M167" s="85" t="str">
        <f t="shared" si="22"/>
        <v>Nefakturováno</v>
      </c>
      <c r="N167" s="21">
        <f t="shared" si="23"/>
        <v>0</v>
      </c>
      <c r="O167" s="90">
        <f t="shared" si="24"/>
        <v>-100</v>
      </c>
      <c r="P167" s="39"/>
      <c r="AE167" s="21">
        <v>0</v>
      </c>
    </row>
    <row r="168" spans="1:31" ht="12.75">
      <c r="A168" s="75"/>
      <c r="B168" s="14"/>
      <c r="C168" s="14" t="s">
        <v>255</v>
      </c>
      <c r="D168" s="127" t="s">
        <v>416</v>
      </c>
      <c r="E168" s="128"/>
      <c r="F168" s="47">
        <f>SUM(F169:F169)</f>
        <v>0</v>
      </c>
      <c r="G168" s="47">
        <f>SUM(G169:G169)</f>
        <v>0</v>
      </c>
      <c r="H168" s="47">
        <f t="shared" si="20"/>
        <v>0</v>
      </c>
      <c r="I168" s="47">
        <f t="shared" si="21"/>
        <v>0</v>
      </c>
      <c r="J168" s="47">
        <f>SUM(J169:J169)</f>
        <v>1</v>
      </c>
      <c r="K168" s="47">
        <f>SUM(K169:K169)</f>
        <v>0</v>
      </c>
      <c r="L168" s="83">
        <f>J168-K168</f>
        <v>1</v>
      </c>
      <c r="M168" s="86" t="str">
        <f t="shared" si="22"/>
        <v>Nefakturováno</v>
      </c>
      <c r="N168" s="47">
        <f t="shared" si="23"/>
        <v>0</v>
      </c>
      <c r="O168" s="91">
        <f t="shared" si="24"/>
        <v>-100</v>
      </c>
      <c r="P168" s="39"/>
      <c r="AE168" s="21">
        <v>0</v>
      </c>
    </row>
    <row r="169" spans="1:31" ht="12.75">
      <c r="A169" s="4" t="s">
        <v>120</v>
      </c>
      <c r="B169" s="13"/>
      <c r="C169" s="13" t="s">
        <v>256</v>
      </c>
      <c r="D169" s="125" t="s">
        <v>417</v>
      </c>
      <c r="E169" s="126"/>
      <c r="F169" s="21">
        <f>'Stavební rozpočet'!K270</f>
        <v>0</v>
      </c>
      <c r="G169" s="21">
        <v>0</v>
      </c>
      <c r="H169" s="21">
        <f t="shared" si="20"/>
        <v>0</v>
      </c>
      <c r="I169" s="21">
        <f t="shared" si="21"/>
        <v>0</v>
      </c>
      <c r="J169" s="21">
        <f>'Stavební rozpočet'!G270</f>
        <v>1</v>
      </c>
      <c r="K169" s="21">
        <v>0</v>
      </c>
      <c r="L169" s="78">
        <v>1</v>
      </c>
      <c r="M169" s="85" t="str">
        <f t="shared" si="22"/>
        <v>Nefakturováno</v>
      </c>
      <c r="N169" s="21">
        <f t="shared" si="23"/>
        <v>0</v>
      </c>
      <c r="O169" s="90">
        <f t="shared" si="24"/>
        <v>-100</v>
      </c>
      <c r="P169" s="39"/>
      <c r="AE169" s="21">
        <v>0</v>
      </c>
    </row>
    <row r="170" spans="1:31" ht="12.75">
      <c r="A170" s="75"/>
      <c r="B170" s="14"/>
      <c r="C170" s="14" t="s">
        <v>257</v>
      </c>
      <c r="D170" s="127" t="s">
        <v>418</v>
      </c>
      <c r="E170" s="128"/>
      <c r="F170" s="47">
        <f>SUM(F171:F171)</f>
        <v>0</v>
      </c>
      <c r="G170" s="47">
        <f>SUM(G171:G171)</f>
        <v>0</v>
      </c>
      <c r="H170" s="47">
        <f t="shared" si="20"/>
        <v>0</v>
      </c>
      <c r="I170" s="47">
        <f t="shared" si="21"/>
        <v>0</v>
      </c>
      <c r="J170" s="47">
        <f>SUM(J171:J171)</f>
        <v>1</v>
      </c>
      <c r="K170" s="47">
        <f>SUM(K171:K171)</f>
        <v>0</v>
      </c>
      <c r="L170" s="83">
        <f>J170-K170</f>
        <v>1</v>
      </c>
      <c r="M170" s="86" t="str">
        <f t="shared" si="22"/>
        <v>Nefakturováno</v>
      </c>
      <c r="N170" s="47">
        <f t="shared" si="23"/>
        <v>0</v>
      </c>
      <c r="O170" s="91">
        <f t="shared" si="24"/>
        <v>-100</v>
      </c>
      <c r="P170" s="39"/>
      <c r="AE170" s="21">
        <v>0</v>
      </c>
    </row>
    <row r="171" spans="1:31" ht="12.75">
      <c r="A171" s="7" t="s">
        <v>121</v>
      </c>
      <c r="B171" s="16"/>
      <c r="C171" s="16" t="s">
        <v>258</v>
      </c>
      <c r="D171" s="129" t="s">
        <v>419</v>
      </c>
      <c r="E171" s="130"/>
      <c r="F171" s="23">
        <f>'Stavební rozpočet'!K272</f>
        <v>0</v>
      </c>
      <c r="G171" s="23">
        <v>0</v>
      </c>
      <c r="H171" s="23">
        <f>G171-F171</f>
        <v>0</v>
      </c>
      <c r="I171" s="23">
        <f>IF(F171=0,0,H171/F171*100)</f>
        <v>0</v>
      </c>
      <c r="J171" s="23">
        <f>'Stavební rozpočet'!G272</f>
        <v>1</v>
      </c>
      <c r="K171" s="23">
        <v>0</v>
      </c>
      <c r="L171" s="80">
        <v>1</v>
      </c>
      <c r="M171" s="88" t="str">
        <f t="shared" si="22"/>
        <v>Nefakturováno</v>
      </c>
      <c r="N171" s="23">
        <f t="shared" si="23"/>
        <v>0</v>
      </c>
      <c r="O171" s="93">
        <f>IF(G171&lt;&gt;0,N171/G171*100,-100)</f>
        <v>-100</v>
      </c>
      <c r="P171" s="39"/>
      <c r="AE171" s="21">
        <v>0</v>
      </c>
    </row>
    <row r="172" spans="1:15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ht="11.25" customHeight="1">
      <c r="A173" s="9" t="s">
        <v>122</v>
      </c>
    </row>
    <row r="174" spans="1:10" ht="12.75">
      <c r="A174" s="133"/>
      <c r="B174" s="134"/>
      <c r="C174" s="134"/>
      <c r="D174" s="134"/>
      <c r="E174" s="134"/>
      <c r="F174" s="134"/>
      <c r="G174" s="134"/>
      <c r="H174" s="134"/>
      <c r="I174" s="134"/>
      <c r="J174" s="134"/>
    </row>
  </sheetData>
  <sheetProtection/>
  <mergeCells count="188">
    <mergeCell ref="A1:O1"/>
    <mergeCell ref="A2:A3"/>
    <mergeCell ref="B2:D3"/>
    <mergeCell ref="E2:E3"/>
    <mergeCell ref="F2:F3"/>
    <mergeCell ref="G2:G3"/>
    <mergeCell ref="H2:O3"/>
    <mergeCell ref="A4:A5"/>
    <mergeCell ref="B4:D5"/>
    <mergeCell ref="E4:E5"/>
    <mergeCell ref="F4:F5"/>
    <mergeCell ref="G4:G5"/>
    <mergeCell ref="H4:O5"/>
    <mergeCell ref="A6:A7"/>
    <mergeCell ref="B6:D7"/>
    <mergeCell ref="E6:E7"/>
    <mergeCell ref="F6:F7"/>
    <mergeCell ref="G6:G7"/>
    <mergeCell ref="H6:O7"/>
    <mergeCell ref="A8:A9"/>
    <mergeCell ref="B8:D9"/>
    <mergeCell ref="E8:E9"/>
    <mergeCell ref="F8:F9"/>
    <mergeCell ref="G8:G9"/>
    <mergeCell ref="H8:O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A174:J174"/>
    <mergeCell ref="D166:E166"/>
    <mergeCell ref="D167:E167"/>
    <mergeCell ref="D168:E168"/>
    <mergeCell ref="D169:E169"/>
    <mergeCell ref="D170:E170"/>
    <mergeCell ref="D171:E171"/>
  </mergeCells>
  <printOptions/>
  <pageMargins left="0.394" right="0.394" top="0.591" bottom="0.591" header="0.5" footer="0.5"/>
  <pageSetup fitToHeight="0" fitToWidth="1"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0">
      <selection activeCell="C30" sqref="C30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108"/>
      <c r="B1" s="94"/>
      <c r="C1" s="195" t="s">
        <v>566</v>
      </c>
      <c r="D1" s="155"/>
      <c r="E1" s="155"/>
      <c r="F1" s="155"/>
      <c r="G1" s="155"/>
      <c r="H1" s="155"/>
      <c r="I1" s="155"/>
    </row>
    <row r="2" spans="1:10" ht="12.75">
      <c r="A2" s="156" t="s">
        <v>1</v>
      </c>
      <c r="B2" s="157"/>
      <c r="C2" s="158" t="str">
        <f>'Stavební rozpočet'!D2</f>
        <v>Stavební úprava technického a společenského zázemí obce II.Etapa</v>
      </c>
      <c r="D2" s="132"/>
      <c r="E2" s="161" t="s">
        <v>438</v>
      </c>
      <c r="F2" s="161" t="str">
        <f>'Stavební rozpočet'!J2</f>
        <v> </v>
      </c>
      <c r="G2" s="157"/>
      <c r="H2" s="161" t="s">
        <v>588</v>
      </c>
      <c r="I2" s="196"/>
      <c r="J2" s="39"/>
    </row>
    <row r="3" spans="1:10" ht="25.5" customHeight="1">
      <c r="A3" s="153"/>
      <c r="B3" s="134"/>
      <c r="C3" s="159"/>
      <c r="D3" s="159"/>
      <c r="E3" s="134"/>
      <c r="F3" s="134"/>
      <c r="G3" s="134"/>
      <c r="H3" s="134"/>
      <c r="I3" s="151"/>
      <c r="J3" s="39"/>
    </row>
    <row r="4" spans="1:10" ht="12.75">
      <c r="A4" s="147" t="s">
        <v>2</v>
      </c>
      <c r="B4" s="134"/>
      <c r="C4" s="133" t="str">
        <f>'Stavební rozpočet'!D4</f>
        <v>Stavební práce</v>
      </c>
      <c r="D4" s="134"/>
      <c r="E4" s="133" t="s">
        <v>439</v>
      </c>
      <c r="F4" s="133" t="str">
        <f>'Stavební rozpočet'!J4</f>
        <v> </v>
      </c>
      <c r="G4" s="134"/>
      <c r="H4" s="133" t="s">
        <v>588</v>
      </c>
      <c r="I4" s="194"/>
      <c r="J4" s="39"/>
    </row>
    <row r="5" spans="1:10" ht="12.75">
      <c r="A5" s="153"/>
      <c r="B5" s="134"/>
      <c r="C5" s="134"/>
      <c r="D5" s="134"/>
      <c r="E5" s="134"/>
      <c r="F5" s="134"/>
      <c r="G5" s="134"/>
      <c r="H5" s="134"/>
      <c r="I5" s="151"/>
      <c r="J5" s="39"/>
    </row>
    <row r="6" spans="1:10" ht="12.75">
      <c r="A6" s="147" t="s">
        <v>3</v>
      </c>
      <c r="B6" s="134"/>
      <c r="C6" s="133" t="str">
        <f>'Stavební rozpočet'!D6</f>
        <v>Obec Dukovany k.ú. Dukovany (633810)</v>
      </c>
      <c r="D6" s="134"/>
      <c r="E6" s="133" t="s">
        <v>440</v>
      </c>
      <c r="F6" s="133" t="str">
        <f>'Stavební rozpočet'!J6</f>
        <v> </v>
      </c>
      <c r="G6" s="134"/>
      <c r="H6" s="133" t="s">
        <v>588</v>
      </c>
      <c r="I6" s="194"/>
      <c r="J6" s="39"/>
    </row>
    <row r="7" spans="1:10" ht="12.75">
      <c r="A7" s="153"/>
      <c r="B7" s="134"/>
      <c r="C7" s="134"/>
      <c r="D7" s="134"/>
      <c r="E7" s="134"/>
      <c r="F7" s="134"/>
      <c r="G7" s="134"/>
      <c r="H7" s="134"/>
      <c r="I7" s="151"/>
      <c r="J7" s="39"/>
    </row>
    <row r="8" spans="1:10" ht="12.75">
      <c r="A8" s="147" t="s">
        <v>421</v>
      </c>
      <c r="B8" s="134"/>
      <c r="C8" s="133" t="str">
        <f>'Stavební rozpočet'!H4</f>
        <v>20.10.2021</v>
      </c>
      <c r="D8" s="134"/>
      <c r="E8" s="133" t="s">
        <v>422</v>
      </c>
      <c r="F8" s="133" t="str">
        <f>'Stavební rozpočet'!H6</f>
        <v> </v>
      </c>
      <c r="G8" s="134"/>
      <c r="H8" s="150" t="s">
        <v>589</v>
      </c>
      <c r="I8" s="194" t="s">
        <v>751</v>
      </c>
      <c r="J8" s="39"/>
    </row>
    <row r="9" spans="1:10" ht="12.75">
      <c r="A9" s="153"/>
      <c r="B9" s="134"/>
      <c r="C9" s="134"/>
      <c r="D9" s="134"/>
      <c r="E9" s="134"/>
      <c r="F9" s="134"/>
      <c r="G9" s="134"/>
      <c r="H9" s="134"/>
      <c r="I9" s="151"/>
      <c r="J9" s="39"/>
    </row>
    <row r="10" spans="1:10" ht="12.75">
      <c r="A10" s="147" t="s">
        <v>4</v>
      </c>
      <c r="B10" s="134"/>
      <c r="C10" s="133" t="str">
        <f>'Stavební rozpočet'!D8</f>
        <v> </v>
      </c>
      <c r="D10" s="134"/>
      <c r="E10" s="133" t="s">
        <v>441</v>
      </c>
      <c r="F10" s="133" t="str">
        <f>'Stavební rozpočet'!J8</f>
        <v> </v>
      </c>
      <c r="G10" s="134"/>
      <c r="H10" s="150" t="s">
        <v>590</v>
      </c>
      <c r="I10" s="163" t="str">
        <f>'Stavební rozpočet'!H8</f>
        <v>20.10.2021</v>
      </c>
      <c r="J10" s="39"/>
    </row>
    <row r="11" spans="1:10" ht="12.75">
      <c r="A11" s="170"/>
      <c r="B11" s="171"/>
      <c r="C11" s="171"/>
      <c r="D11" s="171"/>
      <c r="E11" s="171"/>
      <c r="F11" s="171"/>
      <c r="G11" s="171"/>
      <c r="H11" s="171"/>
      <c r="I11" s="172"/>
      <c r="J11" s="39"/>
    </row>
    <row r="12" spans="1:9" ht="23.25" customHeight="1">
      <c r="A12" s="190" t="s">
        <v>552</v>
      </c>
      <c r="B12" s="191"/>
      <c r="C12" s="191"/>
      <c r="D12" s="191"/>
      <c r="E12" s="191"/>
      <c r="F12" s="191"/>
      <c r="G12" s="191"/>
      <c r="H12" s="191"/>
      <c r="I12" s="191"/>
    </row>
    <row r="13" spans="1:10" ht="26.25" customHeight="1">
      <c r="A13" s="95" t="s">
        <v>553</v>
      </c>
      <c r="B13" s="192" t="s">
        <v>564</v>
      </c>
      <c r="C13" s="193"/>
      <c r="D13" s="95" t="s">
        <v>567</v>
      </c>
      <c r="E13" s="192" t="s">
        <v>576</v>
      </c>
      <c r="F13" s="193"/>
      <c r="G13" s="95" t="s">
        <v>577</v>
      </c>
      <c r="H13" s="192" t="s">
        <v>591</v>
      </c>
      <c r="I13" s="193"/>
      <c r="J13" s="39"/>
    </row>
    <row r="14" spans="1:10" ht="15" customHeight="1">
      <c r="A14" s="96" t="s">
        <v>554</v>
      </c>
      <c r="B14" s="99" t="s">
        <v>565</v>
      </c>
      <c r="C14" s="102">
        <f>SUM('Stavební rozpočet'!AB12:AB272)</f>
        <v>0</v>
      </c>
      <c r="D14" s="188" t="s">
        <v>568</v>
      </c>
      <c r="E14" s="189"/>
      <c r="F14" s="102">
        <v>0</v>
      </c>
      <c r="G14" s="188" t="s">
        <v>413</v>
      </c>
      <c r="H14" s="189"/>
      <c r="I14" s="103" t="s">
        <v>125</v>
      </c>
      <c r="J14" s="39"/>
    </row>
    <row r="15" spans="1:10" ht="15" customHeight="1">
      <c r="A15" s="97"/>
      <c r="B15" s="99" t="s">
        <v>446</v>
      </c>
      <c r="C15" s="102">
        <f>SUM('Stavební rozpočet'!AC12:AC272)</f>
        <v>0</v>
      </c>
      <c r="D15" s="188" t="s">
        <v>569</v>
      </c>
      <c r="E15" s="189"/>
      <c r="F15" s="102">
        <v>0</v>
      </c>
      <c r="G15" s="188" t="s">
        <v>578</v>
      </c>
      <c r="H15" s="189"/>
      <c r="I15" s="103" t="s">
        <v>125</v>
      </c>
      <c r="J15" s="39"/>
    </row>
    <row r="16" spans="1:10" ht="15" customHeight="1">
      <c r="A16" s="96" t="s">
        <v>555</v>
      </c>
      <c r="B16" s="99" t="s">
        <v>565</v>
      </c>
      <c r="C16" s="102">
        <f>SUM('Stavební rozpočet'!AD12:AD272)</f>
        <v>0</v>
      </c>
      <c r="D16" s="188" t="s">
        <v>570</v>
      </c>
      <c r="E16" s="189"/>
      <c r="F16" s="102">
        <v>0</v>
      </c>
      <c r="G16" s="188" t="s">
        <v>416</v>
      </c>
      <c r="H16" s="189"/>
      <c r="I16" s="103" t="s">
        <v>125</v>
      </c>
      <c r="J16" s="39"/>
    </row>
    <row r="17" spans="1:10" ht="15" customHeight="1">
      <c r="A17" s="97"/>
      <c r="B17" s="99" t="s">
        <v>446</v>
      </c>
      <c r="C17" s="102">
        <f>SUM('Stavební rozpočet'!AE12:AE272)</f>
        <v>0</v>
      </c>
      <c r="D17" s="188"/>
      <c r="E17" s="189"/>
      <c r="F17" s="103"/>
      <c r="G17" s="188" t="s">
        <v>418</v>
      </c>
      <c r="H17" s="189"/>
      <c r="I17" s="103" t="s">
        <v>125</v>
      </c>
      <c r="J17" s="39"/>
    </row>
    <row r="18" spans="1:10" ht="15" customHeight="1">
      <c r="A18" s="96" t="s">
        <v>556</v>
      </c>
      <c r="B18" s="99" t="s">
        <v>565</v>
      </c>
      <c r="C18" s="102">
        <f>SUM('Stavební rozpočet'!AF12:AF272)</f>
        <v>0</v>
      </c>
      <c r="D18" s="188"/>
      <c r="E18" s="189"/>
      <c r="F18" s="103"/>
      <c r="G18" s="188" t="s">
        <v>579</v>
      </c>
      <c r="H18" s="189"/>
      <c r="I18" s="103" t="s">
        <v>125</v>
      </c>
      <c r="J18" s="39"/>
    </row>
    <row r="19" spans="1:10" ht="15" customHeight="1">
      <c r="A19" s="97"/>
      <c r="B19" s="99" t="s">
        <v>446</v>
      </c>
      <c r="C19" s="102">
        <f>SUM('Stavební rozpočet'!AG12:AG272)</f>
        <v>0</v>
      </c>
      <c r="D19" s="188"/>
      <c r="E19" s="189"/>
      <c r="F19" s="103"/>
      <c r="G19" s="188" t="s">
        <v>580</v>
      </c>
      <c r="H19" s="189"/>
      <c r="I19" s="103" t="s">
        <v>125</v>
      </c>
      <c r="J19" s="39"/>
    </row>
    <row r="20" spans="1:10" ht="15" customHeight="1">
      <c r="A20" s="186" t="s">
        <v>398</v>
      </c>
      <c r="B20" s="187"/>
      <c r="C20" s="102">
        <f>SUM('Stavební rozpočet'!K237:K237)</f>
        <v>0</v>
      </c>
      <c r="D20" s="188"/>
      <c r="E20" s="189"/>
      <c r="F20" s="103"/>
      <c r="G20" s="188"/>
      <c r="H20" s="189"/>
      <c r="I20" s="103"/>
      <c r="J20" s="39"/>
    </row>
    <row r="21" spans="1:10" ht="15" customHeight="1">
      <c r="A21" s="186" t="s">
        <v>557</v>
      </c>
      <c r="B21" s="187"/>
      <c r="C21" s="102">
        <f>SUM('Stavební rozpočet'!K220:K220)</f>
        <v>0</v>
      </c>
      <c r="D21" s="188"/>
      <c r="E21" s="189"/>
      <c r="F21" s="103"/>
      <c r="G21" s="188"/>
      <c r="H21" s="189"/>
      <c r="I21" s="103"/>
      <c r="J21" s="39"/>
    </row>
    <row r="22" spans="1:10" ht="16.5" customHeight="1">
      <c r="A22" s="186" t="s">
        <v>558</v>
      </c>
      <c r="B22" s="187"/>
      <c r="C22" s="102">
        <f>SUM(C14:C21)</f>
        <v>0</v>
      </c>
      <c r="D22" s="186" t="s">
        <v>571</v>
      </c>
      <c r="E22" s="187"/>
      <c r="F22" s="102">
        <f>SUM(F14:F21)</f>
        <v>0</v>
      </c>
      <c r="G22" s="186" t="s">
        <v>581</v>
      </c>
      <c r="H22" s="187"/>
      <c r="I22" s="102">
        <f>SUM(I14:I21)</f>
        <v>0</v>
      </c>
      <c r="J22" s="39"/>
    </row>
    <row r="23" spans="1:10" ht="15" customHeight="1">
      <c r="A23" s="8"/>
      <c r="B23" s="8"/>
      <c r="C23" s="100"/>
      <c r="D23" s="186" t="s">
        <v>572</v>
      </c>
      <c r="E23" s="187"/>
      <c r="F23" s="104">
        <v>0</v>
      </c>
      <c r="G23" s="186" t="s">
        <v>582</v>
      </c>
      <c r="H23" s="187"/>
      <c r="I23" s="102">
        <v>0</v>
      </c>
      <c r="J23" s="39"/>
    </row>
    <row r="24" spans="4:10" ht="15" customHeight="1">
      <c r="D24" s="8"/>
      <c r="E24" s="8"/>
      <c r="F24" s="105"/>
      <c r="G24" s="186" t="s">
        <v>583</v>
      </c>
      <c r="H24" s="187"/>
      <c r="I24" s="102">
        <v>0</v>
      </c>
      <c r="J24" s="39"/>
    </row>
    <row r="25" spans="6:10" ht="15" customHeight="1">
      <c r="F25" s="106"/>
      <c r="G25" s="186" t="s">
        <v>584</v>
      </c>
      <c r="H25" s="187"/>
      <c r="I25" s="102">
        <v>0</v>
      </c>
      <c r="J25" s="39"/>
    </row>
    <row r="26" spans="1:9" ht="12.75">
      <c r="A26" s="94"/>
      <c r="B26" s="94"/>
      <c r="C26" s="94"/>
      <c r="G26" s="8"/>
      <c r="H26" s="8"/>
      <c r="I26" s="8"/>
    </row>
    <row r="27" spans="1:9" ht="15" customHeight="1">
      <c r="A27" s="181" t="s">
        <v>559</v>
      </c>
      <c r="B27" s="182"/>
      <c r="C27" s="107">
        <f>SUM('Stavební rozpočet'!AJ12:AJ272)</f>
        <v>0</v>
      </c>
      <c r="D27" s="101"/>
      <c r="E27" s="94"/>
      <c r="F27" s="94"/>
      <c r="G27" s="94"/>
      <c r="H27" s="94"/>
      <c r="I27" s="94"/>
    </row>
    <row r="28" spans="1:10" ht="15" customHeight="1">
      <c r="A28" s="181" t="s">
        <v>560</v>
      </c>
      <c r="B28" s="182"/>
      <c r="C28" s="107">
        <f>SUM('Stavební rozpočet'!AK12:AK272)</f>
        <v>0</v>
      </c>
      <c r="D28" s="181" t="s">
        <v>573</v>
      </c>
      <c r="E28" s="182"/>
      <c r="F28" s="107">
        <f>ROUND(C28*(15/100),2)</f>
        <v>0</v>
      </c>
      <c r="G28" s="181" t="s">
        <v>585</v>
      </c>
      <c r="H28" s="182"/>
      <c r="I28" s="107">
        <f>SUM(C27:C29)</f>
        <v>0</v>
      </c>
      <c r="J28" s="39"/>
    </row>
    <row r="29" spans="1:10" ht="15" customHeight="1">
      <c r="A29" s="181" t="s">
        <v>561</v>
      </c>
      <c r="B29" s="182"/>
      <c r="C29" s="107">
        <f>SUM('Stavební rozpočet'!K273:K273)</f>
        <v>0</v>
      </c>
      <c r="D29" s="181" t="s">
        <v>574</v>
      </c>
      <c r="E29" s="182"/>
      <c r="F29" s="107">
        <f>ROUND(C29*(21/100),2)</f>
        <v>0</v>
      </c>
      <c r="G29" s="181" t="s">
        <v>586</v>
      </c>
      <c r="H29" s="182"/>
      <c r="I29" s="107">
        <f>SUM(F28:F29)+I28</f>
        <v>0</v>
      </c>
      <c r="J29" s="39"/>
    </row>
    <row r="30" spans="1:9" ht="12.75">
      <c r="A30" s="98"/>
      <c r="B30" s="98"/>
      <c r="C30" s="98"/>
      <c r="D30" s="98"/>
      <c r="E30" s="98"/>
      <c r="F30" s="98"/>
      <c r="G30" s="98"/>
      <c r="H30" s="98"/>
      <c r="I30" s="98"/>
    </row>
    <row r="31" spans="1:10" ht="14.25" customHeight="1">
      <c r="A31" s="183" t="s">
        <v>562</v>
      </c>
      <c r="B31" s="184"/>
      <c r="C31" s="185"/>
      <c r="D31" s="183" t="s">
        <v>575</v>
      </c>
      <c r="E31" s="184"/>
      <c r="F31" s="185"/>
      <c r="G31" s="183" t="s">
        <v>587</v>
      </c>
      <c r="H31" s="184"/>
      <c r="I31" s="185"/>
      <c r="J31" s="40"/>
    </row>
    <row r="32" spans="1:10" ht="14.25" customHeight="1">
      <c r="A32" s="175"/>
      <c r="B32" s="176"/>
      <c r="C32" s="177"/>
      <c r="D32" s="175"/>
      <c r="E32" s="176"/>
      <c r="F32" s="177"/>
      <c r="G32" s="175"/>
      <c r="H32" s="176"/>
      <c r="I32" s="177"/>
      <c r="J32" s="40"/>
    </row>
    <row r="33" spans="1:10" ht="14.25" customHeight="1">
      <c r="A33" s="175"/>
      <c r="B33" s="176"/>
      <c r="C33" s="177"/>
      <c r="D33" s="175"/>
      <c r="E33" s="176"/>
      <c r="F33" s="177"/>
      <c r="G33" s="175"/>
      <c r="H33" s="176"/>
      <c r="I33" s="177"/>
      <c r="J33" s="40"/>
    </row>
    <row r="34" spans="1:10" ht="14.25" customHeight="1">
      <c r="A34" s="175"/>
      <c r="B34" s="176"/>
      <c r="C34" s="177"/>
      <c r="D34" s="175"/>
      <c r="E34" s="176"/>
      <c r="F34" s="177"/>
      <c r="G34" s="175"/>
      <c r="H34" s="176"/>
      <c r="I34" s="177"/>
      <c r="J34" s="40"/>
    </row>
    <row r="35" spans="1:10" ht="14.25" customHeight="1">
      <c r="A35" s="178" t="s">
        <v>563</v>
      </c>
      <c r="B35" s="179"/>
      <c r="C35" s="180"/>
      <c r="D35" s="178" t="s">
        <v>563</v>
      </c>
      <c r="E35" s="179"/>
      <c r="F35" s="180"/>
      <c r="G35" s="178" t="s">
        <v>563</v>
      </c>
      <c r="H35" s="179"/>
      <c r="I35" s="180"/>
      <c r="J35" s="40"/>
    </row>
    <row r="36" spans="1:9" ht="11.25" customHeight="1">
      <c r="A36" s="70" t="s">
        <v>122</v>
      </c>
      <c r="B36" s="72"/>
      <c r="C36" s="72"/>
      <c r="D36" s="72"/>
      <c r="E36" s="72"/>
      <c r="F36" s="72"/>
      <c r="G36" s="72"/>
      <c r="H36" s="72"/>
      <c r="I36" s="72"/>
    </row>
    <row r="37" spans="1:9" ht="12.75">
      <c r="A37" s="133"/>
      <c r="B37" s="134"/>
      <c r="C37" s="134"/>
      <c r="D37" s="134"/>
      <c r="E37" s="134"/>
      <c r="F37" s="134"/>
      <c r="G37" s="134"/>
      <c r="H37" s="134"/>
      <c r="I37" s="134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kriva</dc:creator>
  <cp:keywords/>
  <dc:description/>
  <cp:lastModifiedBy>Radek Hlaváček</cp:lastModifiedBy>
  <cp:lastPrinted>2021-10-24T13:46:20Z</cp:lastPrinted>
  <dcterms:created xsi:type="dcterms:W3CDTF">2021-10-24T13:47:28Z</dcterms:created>
  <dcterms:modified xsi:type="dcterms:W3CDTF">2022-01-18T09:38:31Z</dcterms:modified>
  <cp:category/>
  <cp:version/>
  <cp:contentType/>
  <cp:contentStatus/>
</cp:coreProperties>
</file>