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6_03_10 - PŘÍSTAVBA A ..." sheetId="2" r:id="rId2"/>
  </sheets>
  <definedNames>
    <definedName name="_xlnm.Print_Titles" localSheetId="1">'2016_03_10 - PŘÍSTAVBA A ...'!$137:$137</definedName>
    <definedName name="_xlnm.Print_Titles" localSheetId="0">'Rekapitulace stavby'!$85:$85</definedName>
    <definedName name="_xlnm.Print_Area" localSheetId="1">'2016_03_10 - PŘÍSTAVBA A ...'!$C$4:$Q$70,'2016_03_10 - PŘÍSTAVBA A ...'!$C$76:$Q$122,'2016_03_10 - PŘÍSTAVBA A ...'!$C$128:$Q$297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<sst xmlns="http://schemas.openxmlformats.org/spreadsheetml/2006/main" count="2028" uniqueCount="560">
  <si>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</si>
  <si>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</si>
  <si>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</si>
  <si>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</si>
  <si>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</si>
  <si>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</si>
  <si>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</si>
  <si>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</si>
  <si>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</si>
  <si>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</si>
  <si>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</si>
  <si>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</si>
  <si>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</si>
  <si>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</si>
  <si>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2016_03_10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</si>
  <si>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</si>
  <si>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</si>
  <si>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PŘÍSTAVBA A STAVENÍ ÚPRAVY HALY-truhlářská provozovna Central v Pacově</t>
  </si>
  <si>
    <t>0,1</t>
  </si>
  <si>
    <t>JKSO:</t>
  </si>
  <si>
    <t>CC-CZ:</t>
  </si>
  <si>
    <t>1</t>
  </si>
  <si>
    <t>Místo:</t>
  </si>
  <si>
    <t>Pacov</t>
  </si>
  <si>
    <t>Datum:</t>
  </si>
  <si>
    <t>10.03.2016</t>
  </si>
  <si>
    <t>10</t>
  </si>
  <si>
    <t>100</t>
  </si>
  <si>
    <t>Objednavatel:</t>
  </si>
  <si>
    <t>IČ:</t>
  </si>
  <si>
    <t xml:space="preserve">280 91 833 </t>
  </si>
  <si>
    <t xml:space="preserve">CAP CENTRAL s.r.o. </t>
  </si>
  <si>
    <t>DIČ:</t>
  </si>
  <si>
    <t xml:space="preserve">CZ28091833 </t>
  </si>
  <si>
    <t>Zhotovitel:</t>
  </si>
  <si>
    <t>Vyplň údaj</t>
  </si>
  <si>
    <t>Projektant:</t>
  </si>
  <si>
    <t>27648788</t>
  </si>
  <si>
    <t>ATELIER 111 architekti s.r.o.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</si>
  <si>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</si>
  <si>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</si>
  <si>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</si>
  <si>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</si>
  <si>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</si>
  <si>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</si>
  <si>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</si>
  <si>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</si>
  <si>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</si>
  <si>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</si>
  <si>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</si>
  <si>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</si>
  <si>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</si>
  <si>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</si>
  <si>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</si>
  <si>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</si>
  <si>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</si>
  <si>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</si>
  <si>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</si>
  <si>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</si>
  <si>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</si>
  <si>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</si>
  <si>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</si>
  <si>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</si>
  <si>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</si>
  <si>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</si>
  <si>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</si>
  <si>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</si>
  <si>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</si>
  <si>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</si>
  <si>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</si>
  <si>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</si>
  <si>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</si>
  <si>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</si>
  <si>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</si>
  <si>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</si>
  <si>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</si>
  <si>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</si>
  <si>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</si>
  <si>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</si>
  <si>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</si>
  <si>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</si>
  <si>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</si>
  <si>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{A637922B-E910-4504-875C-6FBB34C8F60B}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</si>
  <si>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</si>
  <si>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</si>
  <si>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</si>
  <si>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</si>
  <si>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</si>
  <si>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</si>
  <si>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</si>
  <si>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</si>
  <si>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</si>
  <si>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</si>
  <si>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</si>
  <si>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</si>
  <si>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výkop</t>
  </si>
  <si>
    <t xml:space="preserve"> </t>
  </si>
  <si>
    <t>286,554</t>
  </si>
  <si>
    <t>2</t>
  </si>
  <si>
    <t>vykopruc</t>
  </si>
  <si>
    <t>výkop ruční</t>
  </si>
  <si>
    <t>39,436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</si>
  <si>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</si>
  <si>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</si>
  <si>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</si>
  <si>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</si>
  <si>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</si>
  <si>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</si>
  <si>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</si>
  <si>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</si>
  <si>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001 -  Ostatní</t>
  </si>
  <si>
    <t xml:space="preserve">    1 -   Zemní práce</t>
  </si>
  <si>
    <t xml:space="preserve">    2 -  Zakládání</t>
  </si>
  <si>
    <t xml:space="preserve">    3 -  Svislé a kompletní konstrukce</t>
  </si>
  <si>
    <t xml:space="preserve">    4 -   Vodorovné konstrukce</t>
  </si>
  <si>
    <t xml:space="preserve">    5 -  Komunikace</t>
  </si>
  <si>
    <t xml:space="preserve">    6 -   Úpravy povrchů, podlahy a osazování výplní</t>
  </si>
  <si>
    <t xml:space="preserve">    9 - 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</si>
  <si>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</si>
  <si>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</si>
  <si>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</si>
  <si>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</si>
  <si>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</si>
  <si>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</si>
  <si>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</si>
  <si>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712 - Povlakové krytiny</t>
  </si>
  <si>
    <t xml:space="preserve">    721 -  Zdravotechnika</t>
  </si>
  <si>
    <t xml:space="preserve">    722 -  Zdravotechnika</t>
  </si>
  <si>
    <t xml:space="preserve">    723 -  Zdravotechnika</t>
  </si>
  <si>
    <t xml:space="preserve">    735 -  Ústřední vytápění</t>
  </si>
  <si>
    <t xml:space="preserve">    742 - Elektromontáže</t>
  </si>
  <si>
    <t xml:space="preserve">    766 - Konstrukce truhlářské</t>
  </si>
  <si>
    <t xml:space="preserve">    784 -  Dokončovací práce</t>
  </si>
  <si>
    <t>VP -   Vícepráce</t>
  </si>
  <si>
    <t>2) Ostatní náklady</t>
  </si>
  <si>
    <t>Zařízení staveniště</t>
  </si>
  <si>
    <t>VRN</t>
  </si>
  <si>
    <t>Provozní vlivy</t>
  </si>
  <si>
    <t>Územní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</si>
  <si>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</si>
  <si>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</si>
  <si>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</si>
  <si>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</si>
  <si>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</si>
  <si>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</si>
  <si>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</si>
  <si>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</si>
  <si>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</si>
  <si>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</si>
  <si>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</si>
  <si>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</si>
  <si>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</si>
  <si>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</si>
  <si>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</si>
  <si>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</si>
  <si>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</si>
  <si>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</si>
  <si>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</si>
  <si>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</si>
  <si>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001-004</t>
  </si>
  <si>
    <t>D+M protipožární ucpávky</t>
  </si>
  <si>
    <t>kpl</t>
  </si>
  <si>
    <t>4</t>
  </si>
  <si>
    <t>113107137</t>
  </si>
  <si>
    <t>Odstranění podkladu pl do 50 m2 z betonu vyztuženého sítěmi tl 300 mm</t>
  </si>
  <si>
    <t>m2</t>
  </si>
  <si>
    <t>3</t>
  </si>
  <si>
    <t>113107144</t>
  </si>
  <si>
    <t>Odstranění podkladu pl do 50 m2 živičných tl 200 mm</t>
  </si>
  <si>
    <t>132201203</t>
  </si>
  <si>
    <t>Hloubení rýh š do 2000 mm v hornině tř. 3 objemu do 5000 m3</t>
  </si>
  <si>
    <t>m3</t>
  </si>
  <si>
    <t>5</t>
  </si>
  <si>
    <t>132201209</t>
  </si>
  <si>
    <t>Příplatek za lepivost k hloubení rýh š do 2000 mm v hornině tř. 3</t>
  </si>
  <si>
    <t>6</t>
  </si>
  <si>
    <t>132202102</t>
  </si>
  <si>
    <t>Hloubení rýh š do 600 mm ručním nebo pneum nářadím v nesoudržných horninách tř. 3(kanalizace)</t>
  </si>
  <si>
    <t>145</t>
  </si>
  <si>
    <t>132202202</t>
  </si>
  <si>
    <t>Hloubení rýh š přes 600 do 2000 mm ručním nebo pneum nářadím v nesoudržných horninách tř. 3</t>
  </si>
  <si>
    <t>146</t>
  </si>
  <si>
    <t>132202209</t>
  </si>
  <si>
    <t>Příplatek za lepivost u hloubení rýh š do 2000 mm ručním nebo pneum nářadím v hornině tř. 3</t>
  </si>
  <si>
    <t>7</t>
  </si>
  <si>
    <t>R</t>
  </si>
  <si>
    <t>160A0002</t>
  </si>
  <si>
    <t>Svislé přemístění výkopku nebo sypaniny z výkopu hloubky do 4 m</t>
  </si>
  <si>
    <t>8</t>
  </si>
  <si>
    <t>160A0102</t>
  </si>
  <si>
    <t>Vodorovný odvoz výkopku nebo sypaniny na vzdálenost do 500 m</t>
  </si>
  <si>
    <t>9</t>
  </si>
  <si>
    <t>160A0104</t>
  </si>
  <si>
    <t>Vodorovný odvoz výkopku nebo sypaniny na vzdálenost do 5000 m</t>
  </si>
  <si>
    <t>160A0301</t>
  </si>
  <si>
    <t>Poplatek za uložení sypaniny na skládce</t>
  </si>
  <si>
    <t>t</t>
  </si>
  <si>
    <t>11</t>
  </si>
  <si>
    <t>167101102</t>
  </si>
  <si>
    <t>Nakládání výkopku z hornin tř. 1 až 4 přes 100 m3</t>
  </si>
  <si>
    <t>12</t>
  </si>
  <si>
    <t>170A0201</t>
  </si>
  <si>
    <t>Zásyp jam, šachet rýh nebo kolem objektů ze zhutněných zemin nebo sypanin</t>
  </si>
  <si>
    <t>13</t>
  </si>
  <si>
    <t>171201201</t>
  </si>
  <si>
    <t>Uložení sypaniny na skládky/v areálu</t>
  </si>
  <si>
    <t>14</t>
  </si>
  <si>
    <t>210A0001</t>
  </si>
  <si>
    <t>Trativod z drenážních trubek plastových flexibilních</t>
  </si>
  <si>
    <t>m</t>
  </si>
  <si>
    <t>215901101</t>
  </si>
  <si>
    <t>Zhutnění podloží z hornin soudržných do 92% PS nebo nesoudržných sypkých I(d) do 0,8</t>
  </si>
  <si>
    <t>16</t>
  </si>
  <si>
    <t>270A1001</t>
  </si>
  <si>
    <t>Polštář pod základy z hutněného písku a štěrkopísku</t>
  </si>
  <si>
    <t>17</t>
  </si>
  <si>
    <t>271532211</t>
  </si>
  <si>
    <t>Násyp pod základové konstrukce se zhutněním z hrubého kameniva frakce 0 až 63 mm</t>
  </si>
  <si>
    <t>18</t>
  </si>
  <si>
    <t>273313511</t>
  </si>
  <si>
    <t>Základové desky z betonu tř. C 12/15 XO/podkladní beton</t>
  </si>
  <si>
    <t>274313711</t>
  </si>
  <si>
    <t>Základové pásy z betonu tř. C 20/25</t>
  </si>
  <si>
    <t>22</t>
  </si>
  <si>
    <t>274351215</t>
  </si>
  <si>
    <t>Zřízení bednění stěn základových pasů</t>
  </si>
  <si>
    <t>23</t>
  </si>
  <si>
    <t>274351216</t>
  </si>
  <si>
    <t>Odstranění bednění stěn základových pasů</t>
  </si>
  <si>
    <t>24</t>
  </si>
  <si>
    <t>275123901</t>
  </si>
  <si>
    <t>Montáž ŽB základových kalichů hmotnosti do 2,5 t (včetně mat., dopravy, montáže, jeřábů a dok.)</t>
  </si>
  <si>
    <t>kus</t>
  </si>
  <si>
    <t>143</t>
  </si>
  <si>
    <t>279113124</t>
  </si>
  <si>
    <t>Základová zeď tl do 300 mm z tvárnic ztraceného bednění včetně výplně z betonu tř. C 12/15</t>
  </si>
  <si>
    <t>144</t>
  </si>
  <si>
    <t>279361821</t>
  </si>
  <si>
    <t>Výztuž základových zdí nosných betonářskou ocelí 10 505</t>
  </si>
  <si>
    <t>25</t>
  </si>
  <si>
    <t>311238132</t>
  </si>
  <si>
    <t>Zdivo nosné vnitřní zvukově izolační POROTHERM tl 250 mm pevnosti P 15 na MC</t>
  </si>
  <si>
    <t>26</t>
  </si>
  <si>
    <t>311238136</t>
  </si>
  <si>
    <t>Zdivo nosné vnitřní zvukově izolační POROTHERM tl 300 mm pevnosti P 15 na MC</t>
  </si>
  <si>
    <t>27</t>
  </si>
  <si>
    <t>311238139</t>
  </si>
  <si>
    <t>Zdivo nosné vnitřní zvukově izolační POROTHERM tl 365 mm pevnosti P 15 na MVC</t>
  </si>
  <si>
    <t>28</t>
  </si>
  <si>
    <t>331123902</t>
  </si>
  <si>
    <t>Montáž ŽB sloupů do dutiny patky hmotnosti do 3 t budova v do 18 m (včetně mat., dopravy, montáže, jeřábů a dok.)</t>
  </si>
  <si>
    <t>29</t>
  </si>
  <si>
    <t>341123902</t>
  </si>
  <si>
    <t>Montáž ŽB soklových panelů hmotnosti do 3 t budova v do 18 m(včetně mat., dopravy, montáže, jeřábů a dok.)</t>
  </si>
  <si>
    <t>30</t>
  </si>
  <si>
    <t>342151122</t>
  </si>
  <si>
    <t>Montáž opláštění stěn ocelových kcí ze sendvičových panelů nýtovaných budov v do 12 m (včetně příslušenství a olištování)</t>
  </si>
  <si>
    <t>31</t>
  </si>
  <si>
    <t>M</t>
  </si>
  <si>
    <t>283764790</t>
  </si>
  <si>
    <t>panel Kingspan tl 100mm EW30DP3 včetně příslušenství</t>
  </si>
  <si>
    <t>32</t>
  </si>
  <si>
    <t>342248110</t>
  </si>
  <si>
    <t>Příčky POROTHERM tl 80 mm pevnosti P 10 na MVC</t>
  </si>
  <si>
    <t>33</t>
  </si>
  <si>
    <t>342248113</t>
  </si>
  <si>
    <t>Příčky POROTHERM tl 140 mm pevnosti P 10 na MVC</t>
  </si>
  <si>
    <t>34</t>
  </si>
  <si>
    <t>411133904</t>
  </si>
  <si>
    <t>Montáž stropní konstrukce viz PD (komplet: včetně mat., dopravy, montáže, jeřábů , ukotvení a dok.)</t>
  </si>
  <si>
    <t>37</t>
  </si>
  <si>
    <t>593410150</t>
  </si>
  <si>
    <t>Montáž vazníků viz PD (komplet: včetně mat., dopravy, montáže, jeřábů , ukotvení a dok.)</t>
  </si>
  <si>
    <t>38</t>
  </si>
  <si>
    <t>342123913</t>
  </si>
  <si>
    <t>Montáž ŽB průvlaků do 5 t budova v do 18 m(včetně mat., dopravy, montáže, jeřábů a dok.)</t>
  </si>
  <si>
    <t>39</t>
  </si>
  <si>
    <t>342123911</t>
  </si>
  <si>
    <t>Montáž ŽB ztužidel stropu do 1,5 t budova v do 18 m (včetně mat., dopravy, montáže, jeřábů a dok.)</t>
  </si>
  <si>
    <t>40</t>
  </si>
  <si>
    <t>413321515R001</t>
  </si>
  <si>
    <t>Nosníky, věnce (nadbetonávky průvlaků)ze ŽB tř. C 20/25</t>
  </si>
  <si>
    <t>41</t>
  </si>
  <si>
    <t>413351107R001</t>
  </si>
  <si>
    <t>Zřízení bednění nosníků bez podpěrné konstrukce</t>
  </si>
  <si>
    <t>42</t>
  </si>
  <si>
    <t>413351108R001</t>
  </si>
  <si>
    <t>Odstranění bednění nosníků bez podpěrné konstrukce</t>
  </si>
  <si>
    <t>43</t>
  </si>
  <si>
    <t>413361221</t>
  </si>
  <si>
    <t>Výztuž nosníků, volných trámů nebo průvlaků betonářskou ocelí 10 216</t>
  </si>
  <si>
    <t>46</t>
  </si>
  <si>
    <t>435123902</t>
  </si>
  <si>
    <t>Montáž schodišťových ramen viz PD (komplet: včetně mat., dopravy, montáže, jeřábů , ukotvení a dok.)</t>
  </si>
  <si>
    <t>48</t>
  </si>
  <si>
    <t>444171113</t>
  </si>
  <si>
    <t>Montáž krytiny ocelových střech z tvarovaných ocelových plechů šroubovaných budov v do 24 m</t>
  </si>
  <si>
    <t>49</t>
  </si>
  <si>
    <t>154843520R001</t>
  </si>
  <si>
    <t>profil trapézový VIKAM  Polak (POLY UV 25mic)  TR92/275 tl 1,00 mm</t>
  </si>
  <si>
    <t>50</t>
  </si>
  <si>
    <t>512121111R001</t>
  </si>
  <si>
    <t>Demontáž prefa atikových panelů</t>
  </si>
  <si>
    <t>51</t>
  </si>
  <si>
    <t>564762111</t>
  </si>
  <si>
    <t>Podklad z vibrovaného štěrku VŠ tl 200 mm</t>
  </si>
  <si>
    <t>52</t>
  </si>
  <si>
    <t>577133111</t>
  </si>
  <si>
    <t>Asfaltový beton vrstva obrusná ACO 8 (ABJ) tl 40 mm š do 3 m z nemodifikovaného asfaltu</t>
  </si>
  <si>
    <t>53</t>
  </si>
  <si>
    <t>577145111</t>
  </si>
  <si>
    <t>Asfaltový beton vrstva obrusná ACO 16 (ABH) tl 50 mm š do 3 m z nemodifikovaného asfaltu</t>
  </si>
  <si>
    <t>54</t>
  </si>
  <si>
    <t>612321341</t>
  </si>
  <si>
    <t>Vápenocementová omítka štuková dvouvrstvá vnitřních stěn nanášená strojně</t>
  </si>
  <si>
    <t>55</t>
  </si>
  <si>
    <t>613321141</t>
  </si>
  <si>
    <t>Vápenocementová omítka štuková dvouvrstvá vnitřních pilířů nebo sloupů nanášená ručně</t>
  </si>
  <si>
    <t>56</t>
  </si>
  <si>
    <t>622322101</t>
  </si>
  <si>
    <t>Vápenocementová lehčená omítka hrubá jednovrstvá nezatřená vnějších stěn nanášená ručně</t>
  </si>
  <si>
    <t>57</t>
  </si>
  <si>
    <t>622521001</t>
  </si>
  <si>
    <t>Tenkovrstvá silikátová zrnitá omítka tl. 1,0 mm včetně penetrace vnějších stěn</t>
  </si>
  <si>
    <t>58</t>
  </si>
  <si>
    <t>631311125</t>
  </si>
  <si>
    <t>Mazanina tl 150 do 200 mm z betonu prostého tř. C 20/25(drátkobetonové podlahy)</t>
  </si>
  <si>
    <t>59</t>
  </si>
  <si>
    <t>631319023</t>
  </si>
  <si>
    <t>Příplatek k mazanině tl do 240 mm za přehlazení s poprášením cementem</t>
  </si>
  <si>
    <t>60</t>
  </si>
  <si>
    <t>631319205</t>
  </si>
  <si>
    <t>Příplatek k mazaninám za přidání ocelových vláken (drátkobeton) pro objemové vyztužení 35 kg/m3</t>
  </si>
  <si>
    <t>61</t>
  </si>
  <si>
    <t>633131119</t>
  </si>
  <si>
    <t>Povrchová úprava minerálním vsypem</t>
  </si>
  <si>
    <t>140</t>
  </si>
  <si>
    <t>634113115</t>
  </si>
  <si>
    <t>Výplň dilatačních spár mazanin plastovým profilem v 80 mm</t>
  </si>
  <si>
    <t>62</t>
  </si>
  <si>
    <t>634911123</t>
  </si>
  <si>
    <t>Řezání dilatačních spár š 10 mm hl do 50 mm v čerstvé betonové mazanině</t>
  </si>
  <si>
    <t>147</t>
  </si>
  <si>
    <t>635221111</t>
  </si>
  <si>
    <t>Násyp pod podlahy z písku- vyrovnání podkladu</t>
  </si>
  <si>
    <t>63</t>
  </si>
  <si>
    <t>Pol5</t>
  </si>
  <si>
    <t>Dilatace podlah mirelon 10mm pás š.-350mm</t>
  </si>
  <si>
    <t>m´</t>
  </si>
  <si>
    <t>64</t>
  </si>
  <si>
    <t>919735114</t>
  </si>
  <si>
    <t>Řezání stávajícího živičného krytu hl do 200 mm</t>
  </si>
  <si>
    <t>65</t>
  </si>
  <si>
    <t>941111111</t>
  </si>
  <si>
    <t>Montáž lešení řadového trubkového lehkého s podlahami zatížení do 200 kg/m2 š do 0,9 m v do 10 m</t>
  </si>
  <si>
    <t>66</t>
  </si>
  <si>
    <t>941111211</t>
  </si>
  <si>
    <t>Příplatek k lešení řadovému trubkovému lehkému s podlahami š 0,9 m v 10 m za první a ZKD den použití</t>
  </si>
  <si>
    <t>67</t>
  </si>
  <si>
    <t>941111811</t>
  </si>
  <si>
    <t>Demontáž lešení řadového trubkového lehkého s podlahami zatížení do 200 kg/m2 š do 0,9 m v do 10 m</t>
  </si>
  <si>
    <t>68</t>
  </si>
  <si>
    <t>977312114</t>
  </si>
  <si>
    <t>Řezání stávajících betonových mazanin vyztužených hl do 200 mm</t>
  </si>
  <si>
    <t>69</t>
  </si>
  <si>
    <t>981131413</t>
  </si>
  <si>
    <t>Demolice hal zděných na MC podíl konstrukcí do 20 % postupným rozebíráním</t>
  </si>
  <si>
    <t>70</t>
  </si>
  <si>
    <t>981332111</t>
  </si>
  <si>
    <t>Demolice ocelových konstrukcí hal, technologických zařízení apod./přístřešky</t>
  </si>
  <si>
    <t>71</t>
  </si>
  <si>
    <t>981511112</t>
  </si>
  <si>
    <t>Demolice konstrukcí objektů zděných na MC postupným rozebíráním</t>
  </si>
  <si>
    <t>72</t>
  </si>
  <si>
    <t>981511113</t>
  </si>
  <si>
    <t>Demolice konstrukcí objektů z betonu prostého nebo kamenného zdiva postupným rozebíráním</t>
  </si>
  <si>
    <t>142</t>
  </si>
  <si>
    <t>985331217</t>
  </si>
  <si>
    <t>Dodatečné vlepování betonářské výztuže D 20 mm do chemické malty včetně vyvrtání otvoru</t>
  </si>
  <si>
    <t>73</t>
  </si>
  <si>
    <t>997002511</t>
  </si>
  <si>
    <t>Vodorovné přemístění suti a vybouraných hmot bez naložení ale se složením a urovnáním do 1 km</t>
  </si>
  <si>
    <t>74</t>
  </si>
  <si>
    <t>997002519</t>
  </si>
  <si>
    <t>Příplatek ZKD 1 km přemístění suti a vybouraných hmot</t>
  </si>
  <si>
    <t>75</t>
  </si>
  <si>
    <t>997002611</t>
  </si>
  <si>
    <t>Nakládání suti a vybouraných hmot</t>
  </si>
  <si>
    <t>141</t>
  </si>
  <si>
    <t>997013801</t>
  </si>
  <si>
    <t>Poplatek za uložení stavebního betonového odpadu na skládce (skládkovné)</t>
  </si>
  <si>
    <t>76</t>
  </si>
  <si>
    <t>998014021</t>
  </si>
  <si>
    <t>Přesun hmot pro budovy vícepodlažní v do 18 m z betonových dílců s nezděným pláštěm</t>
  </si>
  <si>
    <t>77</t>
  </si>
  <si>
    <t>711A1041</t>
  </si>
  <si>
    <t>Izolace proti vodě vodorovná prováděná termoplastovou fólii (vč. podkladní a ochranné geotextílie)</t>
  </si>
  <si>
    <t>78</t>
  </si>
  <si>
    <t>711A2041</t>
  </si>
  <si>
    <t>Izolace proti vodě svislá prováděná termoplastovou fólii (vč. podkladní a ochranné geotextílie)</t>
  </si>
  <si>
    <t>79</t>
  </si>
  <si>
    <t>998711102</t>
  </si>
  <si>
    <t>Přesun hmot tonážní pro izolace proti vodě, vlhkosti a plynům v objektech výšky do 12 m</t>
  </si>
  <si>
    <t>80</t>
  </si>
  <si>
    <t>713141162</t>
  </si>
  <si>
    <t>Montáž izolace tepelné střech plochých tl do 130 mm šrouby krajní pole, budova v do 20 m</t>
  </si>
  <si>
    <t>81</t>
  </si>
  <si>
    <t>631668260</t>
  </si>
  <si>
    <t>deska tepelná RotaflexSuper TD 01 tl.160 mm</t>
  </si>
  <si>
    <t>82</t>
  </si>
  <si>
    <t>713291152</t>
  </si>
  <si>
    <t>Montáž izolace tepelné parotěsné zábrany stropů vrchem přepáskování spár</t>
  </si>
  <si>
    <t>83</t>
  </si>
  <si>
    <t>283292060</t>
  </si>
  <si>
    <t>folie izolační podstřešní PK-FOL HP 105 role 1,5 x 50 m</t>
  </si>
  <si>
    <t>84</t>
  </si>
  <si>
    <t>998713102</t>
  </si>
  <si>
    <t>Přesun hmot tonážní tonážní pro izolace tepelné v objektech v do 12 m</t>
  </si>
  <si>
    <t>85</t>
  </si>
  <si>
    <t>764251507</t>
  </si>
  <si>
    <t>Žlab TiZn podokapní hranatý rš 500 mm</t>
  </si>
  <si>
    <t>86</t>
  </si>
  <si>
    <t>764259547</t>
  </si>
  <si>
    <t>Žlab podokapní TiZn - kotlík oválný vel. 400/120 mm</t>
  </si>
  <si>
    <t>87</t>
  </si>
  <si>
    <t>764530511</t>
  </si>
  <si>
    <t>Oplechování lakovaný TiZn zdí rš 250 mm včetně rohů ozn.K/1</t>
  </si>
  <si>
    <t>88</t>
  </si>
  <si>
    <t>764554505</t>
  </si>
  <si>
    <t>Odpadní trouby TiZn kruhové průměr 200 mm</t>
  </si>
  <si>
    <t>89</t>
  </si>
  <si>
    <t>998764102</t>
  </si>
  <si>
    <t>Přesun hmot tonážní pro konstrukce klempířské v objektech v do 12 m</t>
  </si>
  <si>
    <t>131</t>
  </si>
  <si>
    <t>767316311</t>
  </si>
  <si>
    <t>Montáž střešního bodového světlíku přes 1 do 1,5 m2</t>
  </si>
  <si>
    <t>132</t>
  </si>
  <si>
    <t>562453530R001</t>
  </si>
  <si>
    <t>světlík dle specifikace v P.D. (0,8x1,25)</t>
  </si>
  <si>
    <t>90</t>
  </si>
  <si>
    <t>767425199R001</t>
  </si>
  <si>
    <t>D+M střešní plášť nad schodištěm včetně oplech.</t>
  </si>
  <si>
    <t>91</t>
  </si>
  <si>
    <t>767510111</t>
  </si>
  <si>
    <t>Dodávka+ montáž zdvihací rampa</t>
  </si>
  <si>
    <t>soubor</t>
  </si>
  <si>
    <t>92</t>
  </si>
  <si>
    <t>767640111</t>
  </si>
  <si>
    <t>Montáž dveří ocelových vchodových jednokřídlových bez nadsvětlíku</t>
  </si>
  <si>
    <t>93</t>
  </si>
  <si>
    <t>553412460</t>
  </si>
  <si>
    <t>dveře hliníkové vchodové jednokřídlové 900 x 2000 mm</t>
  </si>
  <si>
    <t>94</t>
  </si>
  <si>
    <t>767640221</t>
  </si>
  <si>
    <t>Montáž dveří ocelových vchodových dvoukřídlových bez nadsvětlíku</t>
  </si>
  <si>
    <t>95</t>
  </si>
  <si>
    <t>553413740</t>
  </si>
  <si>
    <t>vrata hliníková vchodové dvoukřídlové 4000x4100 mm s dveřmi 800/2000</t>
  </si>
  <si>
    <t>96</t>
  </si>
  <si>
    <t>767640311</t>
  </si>
  <si>
    <t>Montáž dveří ocelových vnitřních jednokřídlových</t>
  </si>
  <si>
    <t>97</t>
  </si>
  <si>
    <t>553411830</t>
  </si>
  <si>
    <t>dveře kovové protipožární PN 74 6563 EW 15, 30, 45 D1 speciální zárubeň EI jednokřídlé 90 x 197 cm</t>
  </si>
  <si>
    <t>98</t>
  </si>
  <si>
    <t>767640322</t>
  </si>
  <si>
    <t>Montáž dveří ocelových vnitřních dvoukřídlových</t>
  </si>
  <si>
    <t>99</t>
  </si>
  <si>
    <t>553411890</t>
  </si>
  <si>
    <t>dveře kovové protipožární  EW  30, 45 D1 speciální zárubeň EI dvoukřídlé 180x1970 cm</t>
  </si>
  <si>
    <t>553411870</t>
  </si>
  <si>
    <t>dveře kovové protipožární PN 74 6563 EW 15, 30, 45 D1 speciální zárubeň EI dvoukřídlé 210 x 197 cm</t>
  </si>
  <si>
    <t>101</t>
  </si>
  <si>
    <t>553411900</t>
  </si>
  <si>
    <t>dveře kovové protipožární PN 74 6563 EW 15, 30, 45 D1 speciální zárubeň EI dvoukřídlé 240 x 250 cm</t>
  </si>
  <si>
    <t>102</t>
  </si>
  <si>
    <t>553411910</t>
  </si>
  <si>
    <t>dveře kovové protipožární PN 74 6563 EW 15, 30, 45 D1 speciální zárubeň EI dvoukřídlé 250 x 250 cm</t>
  </si>
  <si>
    <t>103</t>
  </si>
  <si>
    <t>767651114</t>
  </si>
  <si>
    <t>Montáž vrat garážových sekčních zajížděcích pod strop plochy přes 13 m2</t>
  </si>
  <si>
    <t>104</t>
  </si>
  <si>
    <t>553458760</t>
  </si>
  <si>
    <t>vrata garážová sekční zateplená kazetová 4000x4100 s dveřmi mm</t>
  </si>
  <si>
    <t>105</t>
  </si>
  <si>
    <t>767A2003</t>
  </si>
  <si>
    <t>Zámečnické zábradlí z trubek hmotnosti přes 30 do 45 kg</t>
  </si>
  <si>
    <t>106</t>
  </si>
  <si>
    <t>767A9006R</t>
  </si>
  <si>
    <t>Montáž, výroba a osazení atypických zámečnických konstrukcí hmotnosti přes 500 kg</t>
  </si>
  <si>
    <t>kg</t>
  </si>
  <si>
    <t>107</t>
  </si>
  <si>
    <t>998767102</t>
  </si>
  <si>
    <t>Přesun hmot tonážní pro zámečnické konstrukce v objektech v do 12 m</t>
  </si>
  <si>
    <t>108</t>
  </si>
  <si>
    <t>712361703</t>
  </si>
  <si>
    <t>Provedení povlakové krytiny střech do 10° fólií přilepenou v plné ploše</t>
  </si>
  <si>
    <t>109</t>
  </si>
  <si>
    <t>283220000</t>
  </si>
  <si>
    <t>fólie hydroizolační střešní FATRAFOL 804 tl 2 mm š 1200 mm šedá</t>
  </si>
  <si>
    <t>110</t>
  </si>
  <si>
    <t>998712102</t>
  </si>
  <si>
    <t>Přesun hmot tonážní tonážní pro krytiny povlakové v objektech v do 12 m</t>
  </si>
  <si>
    <t>111</t>
  </si>
  <si>
    <t>721242116</t>
  </si>
  <si>
    <t>Lapač střešních splavenin z PP se zápachovou klapkou a lapacím košem DN 125</t>
  </si>
  <si>
    <t>112</t>
  </si>
  <si>
    <t>721A1001</t>
  </si>
  <si>
    <t>Kanalizační potrubí včetně práce-napojení na stávající</t>
  </si>
  <si>
    <t>113</t>
  </si>
  <si>
    <t>722140104</t>
  </si>
  <si>
    <t>Potrubí vodovodní ocelové z ušlechtilé oceli spojované lisováním DN 25d+m</t>
  </si>
  <si>
    <t>114</t>
  </si>
  <si>
    <t>722254115</t>
  </si>
  <si>
    <t>Hydrantová skříň vnitřní s výzbrojí D 25 polyesterová hadice d+m</t>
  </si>
  <si>
    <t>115</t>
  </si>
  <si>
    <t>723150306</t>
  </si>
  <si>
    <t>Potrubí ocelové hladké černé bezešvé spojované svařováním tvářené za tepla</t>
  </si>
  <si>
    <t>116</t>
  </si>
  <si>
    <t>735411106R001</t>
  </si>
  <si>
    <t xml:space="preserve">zapojení teplovzdušných jednotek </t>
  </si>
  <si>
    <t>117</t>
  </si>
  <si>
    <t>735411107R001</t>
  </si>
  <si>
    <t>teplovzdušná jednotka F151</t>
  </si>
  <si>
    <t>118</t>
  </si>
  <si>
    <t>742261110R001</t>
  </si>
  <si>
    <t>El. Rozvod+ rozvodnice + osvětlení+ 3x přímotopy</t>
  </si>
  <si>
    <t>121</t>
  </si>
  <si>
    <t>766621022</t>
  </si>
  <si>
    <t>Montáž oken jednoduchých pevných výšky přes 1,5 do 2,5m s rámem do panelů nebo ocelových rámů</t>
  </si>
  <si>
    <t>122</t>
  </si>
  <si>
    <t>611400190</t>
  </si>
  <si>
    <t>okno plastové jednokřídlé otvíravé a vyklápěcí pravé 200x100cm</t>
  </si>
  <si>
    <t>123</t>
  </si>
  <si>
    <t>766621022R001</t>
  </si>
  <si>
    <t>Montáž oken jednoduchých pevných výšky přes 2,5m s rámem do panelů nebo ocelových rámů</t>
  </si>
  <si>
    <t>124</t>
  </si>
  <si>
    <t>611400100</t>
  </si>
  <si>
    <t>okno plastové 2 křídlé otvíravé pravé 400 x 100 cm</t>
  </si>
  <si>
    <t>125</t>
  </si>
  <si>
    <t>766621023</t>
  </si>
  <si>
    <t>Montáž oken jednoduchých pevných výšky přes 2,5m s rámem do celostěnových panelů nebo ocelových rámů</t>
  </si>
  <si>
    <t>126</t>
  </si>
  <si>
    <t>611439720</t>
  </si>
  <si>
    <t>okno plastové 2křídlové DIMEX KOMFORT OS2A 300x100cm</t>
  </si>
  <si>
    <t>127</t>
  </si>
  <si>
    <t>998766102</t>
  </si>
  <si>
    <t>Přesun hmot tonážní pro konstrukce truhlářské v objektech v do 12 m</t>
  </si>
  <si>
    <t>128</t>
  </si>
  <si>
    <t>784A3012</t>
  </si>
  <si>
    <t>Tónovaná malba za mokra otěruvzdorná (omyvatelná)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</si>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</sst>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74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6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9" t="s">
        <v>0</v>
      </c>
      <c r="B1" s="220"/>
      <c r="C1" s="220"/>
      <c r="D1" s="221" t="s">
        <v>1</v>
      </c>
      <c r="E1" s="220"/>
      <c r="F1" s="220"/>
      <c r="G1" s="220"/>
      <c r="H1" s="220"/>
      <c r="I1" s="220"/>
      <c r="J1" s="220"/>
      <c r="K1" s="222" t="s">
        <v>553</v>
      </c>
      <c r="L1" s="222"/>
      <c r="M1" s="222"/>
      <c r="N1" s="222"/>
      <c r="O1" s="222"/>
      <c r="P1" s="222"/>
      <c r="Q1" s="222"/>
      <c r="R1" s="222"/>
      <c r="S1" s="222"/>
      <c r="T1" s="220"/>
      <c r="U1" s="220"/>
      <c r="V1" s="220"/>
      <c r="W1" s="222" t="s">
        <v>554</v>
      </c>
      <c r="X1" s="222"/>
      <c r="Y1" s="222"/>
      <c r="Z1" s="222"/>
      <c r="AA1" s="222"/>
      <c r="AB1" s="222"/>
      <c r="AC1" s="222"/>
      <c r="AD1" s="222"/>
      <c r="AE1" s="222"/>
      <c r="AF1" s="222"/>
      <c r="AG1" s="220"/>
      <c r="AH1" s="22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9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3" t="s">
        <v>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58" t="s">
        <v>14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1"/>
      <c r="AQ5" s="12"/>
      <c r="BE5" s="155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59" t="s">
        <v>17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1"/>
      <c r="AQ6" s="12"/>
      <c r="BE6" s="152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52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152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2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 t="s">
        <v>30</v>
      </c>
      <c r="AO10" s="11"/>
      <c r="AP10" s="11"/>
      <c r="AQ10" s="12"/>
      <c r="BE10" s="152"/>
      <c r="BS10" s="6" t="s">
        <v>18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 t="s">
        <v>33</v>
      </c>
      <c r="AO11" s="11"/>
      <c r="AP11" s="11"/>
      <c r="AQ11" s="12"/>
      <c r="BE11" s="152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2"/>
      <c r="BS12" s="6" t="s">
        <v>18</v>
      </c>
    </row>
    <row r="13" spans="2:71" s="2" customFormat="1" ht="15" customHeight="1">
      <c r="B13" s="10"/>
      <c r="C13" s="11"/>
      <c r="D13" s="18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35</v>
      </c>
      <c r="AO13" s="11"/>
      <c r="AP13" s="11"/>
      <c r="AQ13" s="12"/>
      <c r="BE13" s="152"/>
      <c r="BS13" s="6" t="s">
        <v>18</v>
      </c>
    </row>
    <row r="14" spans="2:71" s="2" customFormat="1" ht="15.75" customHeight="1">
      <c r="B14" s="10"/>
      <c r="C14" s="11"/>
      <c r="D14" s="11"/>
      <c r="E14" s="160" t="s">
        <v>35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8" t="s">
        <v>32</v>
      </c>
      <c r="AL14" s="11"/>
      <c r="AM14" s="11"/>
      <c r="AN14" s="20" t="s">
        <v>35</v>
      </c>
      <c r="AO14" s="11"/>
      <c r="AP14" s="11"/>
      <c r="AQ14" s="12"/>
      <c r="BE14" s="152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2"/>
      <c r="BS15" s="6" t="s">
        <v>3</v>
      </c>
    </row>
    <row r="16" spans="2:71" s="2" customFormat="1" ht="15" customHeight="1">
      <c r="B16" s="10"/>
      <c r="C16" s="11"/>
      <c r="D16" s="18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 t="s">
        <v>37</v>
      </c>
      <c r="AO16" s="11"/>
      <c r="AP16" s="11"/>
      <c r="AQ16" s="12"/>
      <c r="BE16" s="152"/>
      <c r="BS16" s="6" t="s">
        <v>3</v>
      </c>
    </row>
    <row r="17" spans="2:71" s="2" customFormat="1" ht="19.5" customHeight="1">
      <c r="B17" s="10"/>
      <c r="C17" s="11"/>
      <c r="D17" s="11"/>
      <c r="E17" s="16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52"/>
      <c r="BS17" s="6" t="s">
        <v>39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2"/>
      <c r="BS18" s="6" t="s">
        <v>6</v>
      </c>
    </row>
    <row r="19" spans="2:71" s="2" customFormat="1" ht="15" customHeight="1">
      <c r="B19" s="10"/>
      <c r="C19" s="11"/>
      <c r="D19" s="18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 t="s">
        <v>37</v>
      </c>
      <c r="AO19" s="11"/>
      <c r="AP19" s="11"/>
      <c r="AQ19" s="12"/>
      <c r="BE19" s="152"/>
      <c r="BS19" s="6" t="s">
        <v>6</v>
      </c>
    </row>
    <row r="20" spans="2:57" s="2" customFormat="1" ht="19.5" customHeight="1">
      <c r="B20" s="10"/>
      <c r="C20" s="11"/>
      <c r="D20" s="11"/>
      <c r="E20" s="16" t="s">
        <v>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52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2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52"/>
    </row>
    <row r="23" spans="2:57" s="2" customFormat="1" ht="15" customHeight="1">
      <c r="B23" s="10"/>
      <c r="C23" s="11"/>
      <c r="D23" s="22" t="s">
        <v>41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61">
        <f>ROUND($AG$87,2)</f>
        <v>0</v>
      </c>
      <c r="AL23" s="154"/>
      <c r="AM23" s="154"/>
      <c r="AN23" s="154"/>
      <c r="AO23" s="154"/>
      <c r="AP23" s="11"/>
      <c r="AQ23" s="12"/>
      <c r="BE23" s="152"/>
    </row>
    <row r="24" spans="2:57" s="2" customFormat="1" ht="15" customHeight="1">
      <c r="B24" s="10"/>
      <c r="C24" s="11"/>
      <c r="D24" s="22" t="s">
        <v>42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61">
        <f>ROUND($AG$90,2)</f>
        <v>0</v>
      </c>
      <c r="AL24" s="154"/>
      <c r="AM24" s="154"/>
      <c r="AN24" s="154"/>
      <c r="AO24" s="154"/>
      <c r="AP24" s="11"/>
      <c r="AQ24" s="12"/>
      <c r="BE24" s="152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56"/>
    </row>
    <row r="26" spans="2:57" s="6" customFormat="1" ht="27" customHeight="1">
      <c r="B26" s="23"/>
      <c r="C26" s="24"/>
      <c r="D26" s="26" t="s">
        <v>43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2">
        <f>ROUND($AK$23+$AK$24,2)</f>
        <v>0</v>
      </c>
      <c r="AL26" s="163"/>
      <c r="AM26" s="163"/>
      <c r="AN26" s="163"/>
      <c r="AO26" s="163"/>
      <c r="AP26" s="24"/>
      <c r="AQ26" s="25"/>
      <c r="BE26" s="156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56"/>
    </row>
    <row r="28" spans="2:57" s="6" customFormat="1" ht="15" customHeight="1">
      <c r="B28" s="28"/>
      <c r="C28" s="29"/>
      <c r="D28" s="29" t="s">
        <v>44</v>
      </c>
      <c r="E28" s="29"/>
      <c r="F28" s="29" t="s">
        <v>45</v>
      </c>
      <c r="G28" s="29"/>
      <c r="H28" s="29"/>
      <c r="I28" s="29"/>
      <c r="J28" s="29"/>
      <c r="K28" s="29"/>
      <c r="L28" s="164">
        <v>0.21</v>
      </c>
      <c r="M28" s="165"/>
      <c r="N28" s="165"/>
      <c r="O28" s="165"/>
      <c r="P28" s="29"/>
      <c r="Q28" s="29"/>
      <c r="R28" s="29"/>
      <c r="S28" s="29"/>
      <c r="T28" s="31" t="s">
        <v>46</v>
      </c>
      <c r="U28" s="29"/>
      <c r="V28" s="29"/>
      <c r="W28" s="166">
        <f>ROUND($AZ$87+SUM($CD$91:$CD$95),2)</f>
        <v>0</v>
      </c>
      <c r="X28" s="165"/>
      <c r="Y28" s="165"/>
      <c r="Z28" s="165"/>
      <c r="AA28" s="165"/>
      <c r="AB28" s="165"/>
      <c r="AC28" s="165"/>
      <c r="AD28" s="165"/>
      <c r="AE28" s="165"/>
      <c r="AF28" s="29"/>
      <c r="AG28" s="29"/>
      <c r="AH28" s="29"/>
      <c r="AI28" s="29"/>
      <c r="AJ28" s="29"/>
      <c r="AK28" s="166">
        <f>ROUND($AV$87+SUM($BY$91:$BY$95),2)</f>
        <v>0</v>
      </c>
      <c r="AL28" s="165"/>
      <c r="AM28" s="165"/>
      <c r="AN28" s="165"/>
      <c r="AO28" s="165"/>
      <c r="AP28" s="29"/>
      <c r="AQ28" s="32"/>
      <c r="BE28" s="157"/>
    </row>
    <row r="29" spans="2:57" s="6" customFormat="1" ht="15" customHeight="1">
      <c r="B29" s="28"/>
      <c r="C29" s="29"/>
      <c r="D29" s="29"/>
      <c r="E29" s="29"/>
      <c r="F29" s="29" t="s">
        <v>47</v>
      </c>
      <c r="G29" s="29"/>
      <c r="H29" s="29"/>
      <c r="I29" s="29"/>
      <c r="J29" s="29"/>
      <c r="K29" s="29"/>
      <c r="L29" s="164">
        <v>0.15</v>
      </c>
      <c r="M29" s="165"/>
      <c r="N29" s="165"/>
      <c r="O29" s="165"/>
      <c r="P29" s="29"/>
      <c r="Q29" s="29"/>
      <c r="R29" s="29"/>
      <c r="S29" s="29"/>
      <c r="T29" s="31" t="s">
        <v>46</v>
      </c>
      <c r="U29" s="29"/>
      <c r="V29" s="29"/>
      <c r="W29" s="166">
        <f>ROUND($BA$87+SUM($CE$91:$CE$95),2)</f>
        <v>0</v>
      </c>
      <c r="X29" s="165"/>
      <c r="Y29" s="165"/>
      <c r="Z29" s="165"/>
      <c r="AA29" s="165"/>
      <c r="AB29" s="165"/>
      <c r="AC29" s="165"/>
      <c r="AD29" s="165"/>
      <c r="AE29" s="165"/>
      <c r="AF29" s="29"/>
      <c r="AG29" s="29"/>
      <c r="AH29" s="29"/>
      <c r="AI29" s="29"/>
      <c r="AJ29" s="29"/>
      <c r="AK29" s="166">
        <f>ROUND($AW$87+SUM($BZ$91:$BZ$95),2)</f>
        <v>0</v>
      </c>
      <c r="AL29" s="165"/>
      <c r="AM29" s="165"/>
      <c r="AN29" s="165"/>
      <c r="AO29" s="165"/>
      <c r="AP29" s="29"/>
      <c r="AQ29" s="32"/>
      <c r="BE29" s="157"/>
    </row>
    <row r="30" spans="2:57" s="6" customFormat="1" ht="15" customHeight="1" hidden="1">
      <c r="B30" s="28"/>
      <c r="C30" s="29"/>
      <c r="D30" s="29"/>
      <c r="E30" s="29"/>
      <c r="F30" s="29" t="s">
        <v>48</v>
      </c>
      <c r="G30" s="29"/>
      <c r="H30" s="29"/>
      <c r="I30" s="29"/>
      <c r="J30" s="29"/>
      <c r="K30" s="29"/>
      <c r="L30" s="164">
        <v>0.21</v>
      </c>
      <c r="M30" s="165"/>
      <c r="N30" s="165"/>
      <c r="O30" s="165"/>
      <c r="P30" s="29"/>
      <c r="Q30" s="29"/>
      <c r="R30" s="29"/>
      <c r="S30" s="29"/>
      <c r="T30" s="31" t="s">
        <v>46</v>
      </c>
      <c r="U30" s="29"/>
      <c r="V30" s="29"/>
      <c r="W30" s="166">
        <f>ROUND($BB$87+SUM($CF$91:$CF$95),2)</f>
        <v>0</v>
      </c>
      <c r="X30" s="165"/>
      <c r="Y30" s="165"/>
      <c r="Z30" s="165"/>
      <c r="AA30" s="165"/>
      <c r="AB30" s="165"/>
      <c r="AC30" s="165"/>
      <c r="AD30" s="165"/>
      <c r="AE30" s="165"/>
      <c r="AF30" s="29"/>
      <c r="AG30" s="29"/>
      <c r="AH30" s="29"/>
      <c r="AI30" s="29"/>
      <c r="AJ30" s="29"/>
      <c r="AK30" s="166">
        <v>0</v>
      </c>
      <c r="AL30" s="165"/>
      <c r="AM30" s="165"/>
      <c r="AN30" s="165"/>
      <c r="AO30" s="165"/>
      <c r="AP30" s="29"/>
      <c r="AQ30" s="32"/>
      <c r="BE30" s="157"/>
    </row>
    <row r="31" spans="2:57" s="6" customFormat="1" ht="15" customHeight="1" hidden="1">
      <c r="B31" s="28"/>
      <c r="C31" s="29"/>
      <c r="D31" s="29"/>
      <c r="E31" s="29"/>
      <c r="F31" s="29" t="s">
        <v>49</v>
      </c>
      <c r="G31" s="29"/>
      <c r="H31" s="29"/>
      <c r="I31" s="29"/>
      <c r="J31" s="29"/>
      <c r="K31" s="29"/>
      <c r="L31" s="164">
        <v>0.15</v>
      </c>
      <c r="M31" s="165"/>
      <c r="N31" s="165"/>
      <c r="O31" s="165"/>
      <c r="P31" s="29"/>
      <c r="Q31" s="29"/>
      <c r="R31" s="29"/>
      <c r="S31" s="29"/>
      <c r="T31" s="31" t="s">
        <v>46</v>
      </c>
      <c r="U31" s="29"/>
      <c r="V31" s="29"/>
      <c r="W31" s="166">
        <f>ROUND($BC$87+SUM($CG$91:$CG$95),2)</f>
        <v>0</v>
      </c>
      <c r="X31" s="165"/>
      <c r="Y31" s="165"/>
      <c r="Z31" s="165"/>
      <c r="AA31" s="165"/>
      <c r="AB31" s="165"/>
      <c r="AC31" s="165"/>
      <c r="AD31" s="165"/>
      <c r="AE31" s="165"/>
      <c r="AF31" s="29"/>
      <c r="AG31" s="29"/>
      <c r="AH31" s="29"/>
      <c r="AI31" s="29"/>
      <c r="AJ31" s="29"/>
      <c r="AK31" s="166">
        <v>0</v>
      </c>
      <c r="AL31" s="165"/>
      <c r="AM31" s="165"/>
      <c r="AN31" s="165"/>
      <c r="AO31" s="165"/>
      <c r="AP31" s="29"/>
      <c r="AQ31" s="32"/>
      <c r="BE31" s="157"/>
    </row>
    <row r="32" spans="2:57" s="6" customFormat="1" ht="15" customHeight="1" hidden="1">
      <c r="B32" s="28"/>
      <c r="C32" s="29"/>
      <c r="D32" s="29"/>
      <c r="E32" s="29"/>
      <c r="F32" s="29" t="s">
        <v>50</v>
      </c>
      <c r="G32" s="29"/>
      <c r="H32" s="29"/>
      <c r="I32" s="29"/>
      <c r="J32" s="29"/>
      <c r="K32" s="29"/>
      <c r="L32" s="164">
        <v>0</v>
      </c>
      <c r="M32" s="165"/>
      <c r="N32" s="165"/>
      <c r="O32" s="165"/>
      <c r="P32" s="29"/>
      <c r="Q32" s="29"/>
      <c r="R32" s="29"/>
      <c r="S32" s="29"/>
      <c r="T32" s="31" t="s">
        <v>46</v>
      </c>
      <c r="U32" s="29"/>
      <c r="V32" s="29"/>
      <c r="W32" s="166">
        <f>ROUND($BD$87+SUM($CH$91:$CH$95),2)</f>
        <v>0</v>
      </c>
      <c r="X32" s="165"/>
      <c r="Y32" s="165"/>
      <c r="Z32" s="165"/>
      <c r="AA32" s="165"/>
      <c r="AB32" s="165"/>
      <c r="AC32" s="165"/>
      <c r="AD32" s="165"/>
      <c r="AE32" s="165"/>
      <c r="AF32" s="29"/>
      <c r="AG32" s="29"/>
      <c r="AH32" s="29"/>
      <c r="AI32" s="29"/>
      <c r="AJ32" s="29"/>
      <c r="AK32" s="166">
        <v>0</v>
      </c>
      <c r="AL32" s="165"/>
      <c r="AM32" s="165"/>
      <c r="AN32" s="165"/>
      <c r="AO32" s="165"/>
      <c r="AP32" s="29"/>
      <c r="AQ32" s="32"/>
      <c r="BE32" s="157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56"/>
    </row>
    <row r="34" spans="2:57" s="6" customFormat="1" ht="27" customHeight="1">
      <c r="B34" s="23"/>
      <c r="C34" s="33"/>
      <c r="D34" s="34" t="s">
        <v>51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52</v>
      </c>
      <c r="U34" s="35"/>
      <c r="V34" s="35"/>
      <c r="W34" s="35"/>
      <c r="X34" s="167" t="s">
        <v>53</v>
      </c>
      <c r="Y34" s="168"/>
      <c r="Z34" s="168"/>
      <c r="AA34" s="168"/>
      <c r="AB34" s="168"/>
      <c r="AC34" s="35"/>
      <c r="AD34" s="35"/>
      <c r="AE34" s="35"/>
      <c r="AF34" s="35"/>
      <c r="AG34" s="35"/>
      <c r="AH34" s="35"/>
      <c r="AI34" s="35"/>
      <c r="AJ34" s="35"/>
      <c r="AK34" s="169">
        <f>ROUND(SUM($AK$26:$AK$32),2)</f>
        <v>0</v>
      </c>
      <c r="AL34" s="168"/>
      <c r="AM34" s="168"/>
      <c r="AN34" s="168"/>
      <c r="AO34" s="170"/>
      <c r="AP34" s="33"/>
      <c r="AQ34" s="25"/>
      <c r="BE34" s="156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53" t="s">
        <v>60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25"/>
    </row>
    <row r="77" spans="2:43" s="52" customFormat="1" ht="15" customHeight="1">
      <c r="B77" s="53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2016_03_10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72" t="str">
        <f>$K$6</f>
        <v>PŘÍSTAVBA A STAVENÍ ÚPRAVY HALY-truhlářská provozovna Central v Pacově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Pacov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24</v>
      </c>
      <c r="AJ80" s="24"/>
      <c r="AK80" s="24"/>
      <c r="AL80" s="24"/>
      <c r="AM80" s="60" t="str">
        <f>IF($AN$8="","",$AN$8)</f>
        <v>10.03.2016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28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CAP CENTRAL s.r.o.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36</v>
      </c>
      <c r="AJ82" s="24"/>
      <c r="AK82" s="24"/>
      <c r="AL82" s="24"/>
      <c r="AM82" s="158" t="str">
        <f>IF($E$17="","",$E$17)</f>
        <v>ATELIER 111 architekti s.r.o.</v>
      </c>
      <c r="AN82" s="171"/>
      <c r="AO82" s="171"/>
      <c r="AP82" s="171"/>
      <c r="AQ82" s="25"/>
      <c r="AS82" s="174" t="s">
        <v>61</v>
      </c>
      <c r="AT82" s="175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34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40</v>
      </c>
      <c r="AJ83" s="24"/>
      <c r="AK83" s="24"/>
      <c r="AL83" s="24"/>
      <c r="AM83" s="158" t="str">
        <f>IF($E$20="","",$E$20)</f>
        <v>ATELIER 111 architekti s.r.o.</v>
      </c>
      <c r="AN83" s="171"/>
      <c r="AO83" s="171"/>
      <c r="AP83" s="171"/>
      <c r="AQ83" s="25"/>
      <c r="AS83" s="176"/>
      <c r="AT83" s="156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77"/>
      <c r="AT84" s="171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78" t="s">
        <v>62</v>
      </c>
      <c r="D85" s="168"/>
      <c r="E85" s="168"/>
      <c r="F85" s="168"/>
      <c r="G85" s="168"/>
      <c r="H85" s="35"/>
      <c r="I85" s="179" t="s">
        <v>63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79" t="s">
        <v>64</v>
      </c>
      <c r="AH85" s="168"/>
      <c r="AI85" s="168"/>
      <c r="AJ85" s="168"/>
      <c r="AK85" s="168"/>
      <c r="AL85" s="168"/>
      <c r="AM85" s="168"/>
      <c r="AN85" s="179" t="s">
        <v>65</v>
      </c>
      <c r="AO85" s="168"/>
      <c r="AP85" s="170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87">
        <f>ROUND($AG$88,2)</f>
        <v>0</v>
      </c>
      <c r="AH87" s="188"/>
      <c r="AI87" s="188"/>
      <c r="AJ87" s="188"/>
      <c r="AK87" s="188"/>
      <c r="AL87" s="188"/>
      <c r="AM87" s="188"/>
      <c r="AN87" s="187">
        <f>ROUND(SUM($AG$87,$AT$87),2)</f>
        <v>0</v>
      </c>
      <c r="AO87" s="188"/>
      <c r="AP87" s="188"/>
      <c r="AQ87" s="58"/>
      <c r="AS87" s="72">
        <f>ROUND($AS$88,2)</f>
        <v>0</v>
      </c>
      <c r="AT87" s="73">
        <f>ROUND(SUM($AV$87:$AW$87),2)</f>
        <v>0</v>
      </c>
      <c r="AU87" s="74">
        <f>ROUND($AU$88,5)</f>
        <v>160770.35385</v>
      </c>
      <c r="AV87" s="73">
        <f>ROUND($AZ$87*$L$28,2)</f>
        <v>0</v>
      </c>
      <c r="AW87" s="73">
        <f>ROUND($BA$87*$L$29,2)</f>
        <v>0</v>
      </c>
      <c r="AX87" s="73">
        <f>ROUND($BB$87*$L$28,2)</f>
        <v>0</v>
      </c>
      <c r="AY87" s="73">
        <f>ROUND($BC$87*$L$29,2)</f>
        <v>0</v>
      </c>
      <c r="AZ87" s="73">
        <f>ROUND($AZ$88,2)</f>
        <v>0</v>
      </c>
      <c r="BA87" s="73">
        <f>ROUND($BA$88,2)</f>
        <v>0</v>
      </c>
      <c r="BB87" s="73">
        <f>ROUND($BB$88,2)</f>
        <v>0</v>
      </c>
      <c r="BC87" s="73">
        <f>ROUND($BC$88,2)</f>
        <v>0</v>
      </c>
      <c r="BD87" s="75">
        <f>ROUND($BD$88,2)</f>
        <v>0</v>
      </c>
      <c r="BS87" s="55" t="s">
        <v>79</v>
      </c>
      <c r="BT87" s="55" t="s">
        <v>80</v>
      </c>
      <c r="BV87" s="55" t="s">
        <v>81</v>
      </c>
      <c r="BW87" s="55" t="s">
        <v>82</v>
      </c>
      <c r="BX87" s="55" t="s">
        <v>83</v>
      </c>
    </row>
    <row r="88" spans="1:76" s="76" customFormat="1" ht="28.5" customHeight="1">
      <c r="A88" s="218" t="s">
        <v>555</v>
      </c>
      <c r="B88" s="77"/>
      <c r="C88" s="78"/>
      <c r="D88" s="182" t="s">
        <v>14</v>
      </c>
      <c r="E88" s="183"/>
      <c r="F88" s="183"/>
      <c r="G88" s="183"/>
      <c r="H88" s="183"/>
      <c r="I88" s="78"/>
      <c r="J88" s="182" t="s">
        <v>17</v>
      </c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0">
        <f>'2016_03_10 - PŘÍSTAVBA A ...'!$M$26</f>
        <v>0</v>
      </c>
      <c r="AH88" s="181"/>
      <c r="AI88" s="181"/>
      <c r="AJ88" s="181"/>
      <c r="AK88" s="181"/>
      <c r="AL88" s="181"/>
      <c r="AM88" s="181"/>
      <c r="AN88" s="180">
        <f>ROUND(SUM($AG$88,$AT$88),2)</f>
        <v>0</v>
      </c>
      <c r="AO88" s="181"/>
      <c r="AP88" s="181"/>
      <c r="AQ88" s="79"/>
      <c r="AS88" s="80">
        <f>'2016_03_10 - PŘÍSTAVBA A ...'!$M$24</f>
        <v>0</v>
      </c>
      <c r="AT88" s="81">
        <f>ROUND(SUM($AV$88:$AW$88),2)</f>
        <v>0</v>
      </c>
      <c r="AU88" s="82">
        <f>'2016_03_10 - PŘÍSTAVBA A ...'!$W$138</f>
        <v>160770.353846</v>
      </c>
      <c r="AV88" s="81">
        <f>'2016_03_10 - PŘÍSTAVBA A ...'!$M$28</f>
        <v>0</v>
      </c>
      <c r="AW88" s="81">
        <f>'2016_03_10 - PŘÍSTAVBA A ...'!$M$29</f>
        <v>0</v>
      </c>
      <c r="AX88" s="81">
        <f>'2016_03_10 - PŘÍSTAVBA A ...'!$M$30</f>
        <v>0</v>
      </c>
      <c r="AY88" s="81">
        <f>'2016_03_10 - PŘÍSTAVBA A ...'!$M$31</f>
        <v>0</v>
      </c>
      <c r="AZ88" s="81">
        <f>'2016_03_10 - PŘÍSTAVBA A ...'!$H$28</f>
        <v>0</v>
      </c>
      <c r="BA88" s="81">
        <f>'2016_03_10 - PŘÍSTAVBA A ...'!$H$29</f>
        <v>0</v>
      </c>
      <c r="BB88" s="81">
        <f>'2016_03_10 - PŘÍSTAVBA A ...'!$H$30</f>
        <v>0</v>
      </c>
      <c r="BC88" s="81">
        <f>'2016_03_10 - PŘÍSTAVBA A ...'!$H$31</f>
        <v>0</v>
      </c>
      <c r="BD88" s="83">
        <f>'2016_03_10 - PŘÍSTAVBA A ...'!$H$32</f>
        <v>0</v>
      </c>
      <c r="BT88" s="76" t="s">
        <v>21</v>
      </c>
      <c r="BU88" s="76" t="s">
        <v>84</v>
      </c>
      <c r="BV88" s="76" t="s">
        <v>81</v>
      </c>
      <c r="BW88" s="76" t="s">
        <v>82</v>
      </c>
      <c r="BX88" s="76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87">
        <f>ROUND(SUM($AG$91:$AG$94),2)</f>
        <v>0</v>
      </c>
      <c r="AH90" s="171"/>
      <c r="AI90" s="171"/>
      <c r="AJ90" s="171"/>
      <c r="AK90" s="171"/>
      <c r="AL90" s="171"/>
      <c r="AM90" s="171"/>
      <c r="AN90" s="187">
        <f>ROUND(SUM($AN$91:$AN$94),2)</f>
        <v>0</v>
      </c>
      <c r="AO90" s="171"/>
      <c r="AP90" s="171"/>
      <c r="AQ90" s="25"/>
      <c r="AS90" s="66" t="s">
        <v>86</v>
      </c>
      <c r="AT90" s="67" t="s">
        <v>87</v>
      </c>
      <c r="AU90" s="67" t="s">
        <v>44</v>
      </c>
      <c r="AV90" s="68" t="s">
        <v>67</v>
      </c>
      <c r="AW90" s="69"/>
    </row>
    <row r="91" spans="2:89" s="6" customFormat="1" ht="21" customHeight="1">
      <c r="B91" s="23"/>
      <c r="C91" s="24"/>
      <c r="D91" s="84" t="s">
        <v>88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4">
        <f>ROUND($AG$87*$AS$91,2)</f>
        <v>0</v>
      </c>
      <c r="AH91" s="171"/>
      <c r="AI91" s="171"/>
      <c r="AJ91" s="171"/>
      <c r="AK91" s="171"/>
      <c r="AL91" s="171"/>
      <c r="AM91" s="171"/>
      <c r="AN91" s="185">
        <f>ROUND($AG$91+$AV$91,2)</f>
        <v>0</v>
      </c>
      <c r="AO91" s="171"/>
      <c r="AP91" s="171"/>
      <c r="AQ91" s="25"/>
      <c r="AS91" s="85">
        <v>0</v>
      </c>
      <c r="AT91" s="86" t="s">
        <v>89</v>
      </c>
      <c r="AU91" s="86" t="s">
        <v>45</v>
      </c>
      <c r="AV91" s="87">
        <f>ROUND(IF($AU$91="základní",$AG$91*$L$28,IF($AU$91="snížená",$AG$91*$L$29,0)),2)</f>
        <v>0</v>
      </c>
      <c r="BV91" s="6" t="s">
        <v>90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6" t="s">
        <v>91</v>
      </c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24"/>
      <c r="AD92" s="24"/>
      <c r="AE92" s="24"/>
      <c r="AF92" s="24"/>
      <c r="AG92" s="184">
        <f>$AG$87*$AS$92</f>
        <v>0</v>
      </c>
      <c r="AH92" s="171"/>
      <c r="AI92" s="171"/>
      <c r="AJ92" s="171"/>
      <c r="AK92" s="171"/>
      <c r="AL92" s="171"/>
      <c r="AM92" s="171"/>
      <c r="AN92" s="185">
        <f>$AG$92+$AV$92</f>
        <v>0</v>
      </c>
      <c r="AO92" s="171"/>
      <c r="AP92" s="171"/>
      <c r="AQ92" s="25"/>
      <c r="AS92" s="89">
        <v>0</v>
      </c>
      <c r="AT92" s="90" t="s">
        <v>89</v>
      </c>
      <c r="AU92" s="90" t="s">
        <v>45</v>
      </c>
      <c r="AV92" s="91">
        <f>ROUND(IF($AU$92="nulová",0,IF(OR($AU$92="základní",$AU$92="zákl. přenesená"),$AG$92*$L$28,$AG$92*$L$29)),2)</f>
        <v>0</v>
      </c>
      <c r="BV92" s="6" t="s">
        <v>92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6" t="s">
        <v>91</v>
      </c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24"/>
      <c r="AD93" s="24"/>
      <c r="AE93" s="24"/>
      <c r="AF93" s="24"/>
      <c r="AG93" s="184">
        <f>$AG$87*$AS$93</f>
        <v>0</v>
      </c>
      <c r="AH93" s="171"/>
      <c r="AI93" s="171"/>
      <c r="AJ93" s="171"/>
      <c r="AK93" s="171"/>
      <c r="AL93" s="171"/>
      <c r="AM93" s="171"/>
      <c r="AN93" s="185">
        <f>$AG$93+$AV$93</f>
        <v>0</v>
      </c>
      <c r="AO93" s="171"/>
      <c r="AP93" s="171"/>
      <c r="AQ93" s="25"/>
      <c r="AS93" s="89">
        <v>0</v>
      </c>
      <c r="AT93" s="90" t="s">
        <v>89</v>
      </c>
      <c r="AU93" s="90" t="s">
        <v>45</v>
      </c>
      <c r="AV93" s="91">
        <f>ROUND(IF($AU$93="nulová",0,IF(OR($AU$93="základní",$AU$93="zákl. přenesená"),$AG$93*$L$28,$AG$93*$L$29)),2)</f>
        <v>0</v>
      </c>
      <c r="BV93" s="6" t="s">
        <v>92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6" t="s">
        <v>91</v>
      </c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24"/>
      <c r="AD94" s="24"/>
      <c r="AE94" s="24"/>
      <c r="AF94" s="24"/>
      <c r="AG94" s="184">
        <f>$AG$87*$AS$94</f>
        <v>0</v>
      </c>
      <c r="AH94" s="171"/>
      <c r="AI94" s="171"/>
      <c r="AJ94" s="171"/>
      <c r="AK94" s="171"/>
      <c r="AL94" s="171"/>
      <c r="AM94" s="171"/>
      <c r="AN94" s="185">
        <f>$AG$94+$AV$94</f>
        <v>0</v>
      </c>
      <c r="AO94" s="171"/>
      <c r="AP94" s="171"/>
      <c r="AQ94" s="25"/>
      <c r="AS94" s="92">
        <v>0</v>
      </c>
      <c r="AT94" s="93" t="s">
        <v>89</v>
      </c>
      <c r="AU94" s="93" t="s">
        <v>45</v>
      </c>
      <c r="AV94" s="94">
        <f>ROUND(IF($AU$94="nulová",0,IF(OR($AU$94="základní",$AU$94="zákl. přenesená"),$AG$94*$L$28,$AG$94*$L$29)),2)</f>
        <v>0</v>
      </c>
      <c r="BV94" s="6" t="s">
        <v>92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93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89">
        <f>ROUND($AG$87+$AG$90,2)</f>
        <v>0</v>
      </c>
      <c r="AH96" s="190"/>
      <c r="AI96" s="190"/>
      <c r="AJ96" s="190"/>
      <c r="AK96" s="190"/>
      <c r="AL96" s="190"/>
      <c r="AM96" s="190"/>
      <c r="AN96" s="189">
        <f>ROUND($AN$87+$AN$90,2)</f>
        <v>0</v>
      </c>
      <c r="AO96" s="190"/>
      <c r="AP96" s="190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7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_03_10 - PŘÍSTAVBA A ...'!C2" tooltip="2016_03_10 - PŘÍSTAVBA A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3"/>
      <c r="B1" s="220"/>
      <c r="C1" s="220"/>
      <c r="D1" s="221" t="s">
        <v>1</v>
      </c>
      <c r="E1" s="220"/>
      <c r="F1" s="222" t="s">
        <v>556</v>
      </c>
      <c r="G1" s="222"/>
      <c r="H1" s="224" t="s">
        <v>557</v>
      </c>
      <c r="I1" s="224"/>
      <c r="J1" s="224"/>
      <c r="K1" s="224"/>
      <c r="L1" s="222" t="s">
        <v>558</v>
      </c>
      <c r="M1" s="220"/>
      <c r="N1" s="220"/>
      <c r="O1" s="221" t="s">
        <v>94</v>
      </c>
      <c r="P1" s="220"/>
      <c r="Q1" s="220"/>
      <c r="R1" s="220"/>
      <c r="S1" s="222" t="s">
        <v>559</v>
      </c>
      <c r="T1" s="222"/>
      <c r="U1" s="223"/>
      <c r="V1" s="22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91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82</v>
      </c>
      <c r="AZ2" s="6" t="s">
        <v>95</v>
      </c>
      <c r="BA2" s="6" t="s">
        <v>95</v>
      </c>
      <c r="BB2" s="6" t="s">
        <v>96</v>
      </c>
      <c r="BC2" s="6" t="s">
        <v>97</v>
      </c>
      <c r="BD2" s="6" t="s">
        <v>98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98</v>
      </c>
      <c r="AZ3" s="6" t="s">
        <v>99</v>
      </c>
      <c r="BA3" s="6" t="s">
        <v>100</v>
      </c>
      <c r="BB3" s="6" t="s">
        <v>96</v>
      </c>
      <c r="BC3" s="6" t="s">
        <v>101</v>
      </c>
      <c r="BD3" s="6" t="s">
        <v>98</v>
      </c>
    </row>
    <row r="4" spans="2:46" s="2" customFormat="1" ht="37.5" customHeight="1">
      <c r="B4" s="10"/>
      <c r="C4" s="153" t="s">
        <v>102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16</v>
      </c>
      <c r="E6" s="24"/>
      <c r="F6" s="159" t="s">
        <v>17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24"/>
      <c r="R6" s="25"/>
    </row>
    <row r="7" spans="2:18" s="6" customFormat="1" ht="15" customHeight="1">
      <c r="B7" s="23"/>
      <c r="C7" s="24"/>
      <c r="D7" s="18" t="s">
        <v>19</v>
      </c>
      <c r="E7" s="24"/>
      <c r="F7" s="16"/>
      <c r="G7" s="24"/>
      <c r="H7" s="24"/>
      <c r="I7" s="24"/>
      <c r="J7" s="24"/>
      <c r="K7" s="24"/>
      <c r="L7" s="24"/>
      <c r="M7" s="18" t="s">
        <v>20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22</v>
      </c>
      <c r="E8" s="24"/>
      <c r="F8" s="16" t="s">
        <v>23</v>
      </c>
      <c r="G8" s="24"/>
      <c r="H8" s="24"/>
      <c r="I8" s="24"/>
      <c r="J8" s="24"/>
      <c r="K8" s="24"/>
      <c r="L8" s="24"/>
      <c r="M8" s="18" t="s">
        <v>24</v>
      </c>
      <c r="N8" s="24"/>
      <c r="O8" s="192" t="str">
        <f>'Rekapitulace stavby'!$AN$8</f>
        <v>10.03.2016</v>
      </c>
      <c r="P8" s="171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28</v>
      </c>
      <c r="E10" s="24"/>
      <c r="F10" s="24"/>
      <c r="G10" s="24"/>
      <c r="H10" s="24"/>
      <c r="I10" s="24"/>
      <c r="J10" s="24"/>
      <c r="K10" s="24"/>
      <c r="L10" s="24"/>
      <c r="M10" s="18" t="s">
        <v>29</v>
      </c>
      <c r="N10" s="24"/>
      <c r="O10" s="158" t="s">
        <v>30</v>
      </c>
      <c r="P10" s="171"/>
      <c r="Q10" s="24"/>
      <c r="R10" s="25"/>
    </row>
    <row r="11" spans="2:18" s="6" customFormat="1" ht="18.75" customHeight="1">
      <c r="B11" s="23"/>
      <c r="C11" s="24"/>
      <c r="D11" s="24"/>
      <c r="E11" s="16" t="s">
        <v>31</v>
      </c>
      <c r="F11" s="24"/>
      <c r="G11" s="24"/>
      <c r="H11" s="24"/>
      <c r="I11" s="24"/>
      <c r="J11" s="24"/>
      <c r="K11" s="24"/>
      <c r="L11" s="24"/>
      <c r="M11" s="18" t="s">
        <v>32</v>
      </c>
      <c r="N11" s="24"/>
      <c r="O11" s="158" t="s">
        <v>33</v>
      </c>
      <c r="P11" s="171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34</v>
      </c>
      <c r="E13" s="24"/>
      <c r="F13" s="24"/>
      <c r="G13" s="24"/>
      <c r="H13" s="24"/>
      <c r="I13" s="24"/>
      <c r="J13" s="24"/>
      <c r="K13" s="24"/>
      <c r="L13" s="24"/>
      <c r="M13" s="18" t="s">
        <v>29</v>
      </c>
      <c r="N13" s="24"/>
      <c r="O13" s="193"/>
      <c r="P13" s="171"/>
      <c r="Q13" s="24"/>
      <c r="R13" s="25"/>
    </row>
    <row r="14" spans="2:18" s="6" customFormat="1" ht="18.75" customHeight="1">
      <c r="B14" s="23"/>
      <c r="C14" s="24"/>
      <c r="D14" s="24"/>
      <c r="E14" s="193" t="s">
        <v>96</v>
      </c>
      <c r="F14" s="171"/>
      <c r="G14" s="171"/>
      <c r="H14" s="171"/>
      <c r="I14" s="171"/>
      <c r="J14" s="171"/>
      <c r="K14" s="171"/>
      <c r="L14" s="171"/>
      <c r="M14" s="18" t="s">
        <v>32</v>
      </c>
      <c r="N14" s="24"/>
      <c r="O14" s="193"/>
      <c r="P14" s="171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36</v>
      </c>
      <c r="E16" s="24"/>
      <c r="F16" s="24"/>
      <c r="G16" s="24"/>
      <c r="H16" s="24"/>
      <c r="I16" s="24"/>
      <c r="J16" s="24"/>
      <c r="K16" s="24"/>
      <c r="L16" s="24"/>
      <c r="M16" s="18" t="s">
        <v>29</v>
      </c>
      <c r="N16" s="24"/>
      <c r="O16" s="158" t="s">
        <v>37</v>
      </c>
      <c r="P16" s="171"/>
      <c r="Q16" s="24"/>
      <c r="R16" s="25"/>
    </row>
    <row r="17" spans="2:18" s="6" customFormat="1" ht="18.75" customHeight="1">
      <c r="B17" s="23"/>
      <c r="C17" s="24"/>
      <c r="D17" s="24"/>
      <c r="E17" s="16" t="s">
        <v>38</v>
      </c>
      <c r="F17" s="24"/>
      <c r="G17" s="24"/>
      <c r="H17" s="24"/>
      <c r="I17" s="24"/>
      <c r="J17" s="24"/>
      <c r="K17" s="24"/>
      <c r="L17" s="24"/>
      <c r="M17" s="18" t="s">
        <v>32</v>
      </c>
      <c r="N17" s="24"/>
      <c r="O17" s="158"/>
      <c r="P17" s="171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40</v>
      </c>
      <c r="E19" s="24"/>
      <c r="F19" s="24"/>
      <c r="G19" s="24"/>
      <c r="H19" s="24"/>
      <c r="I19" s="24"/>
      <c r="J19" s="24"/>
      <c r="K19" s="24"/>
      <c r="L19" s="24"/>
      <c r="M19" s="18" t="s">
        <v>29</v>
      </c>
      <c r="N19" s="24"/>
      <c r="O19" s="158" t="s">
        <v>37</v>
      </c>
      <c r="P19" s="171"/>
      <c r="Q19" s="24"/>
      <c r="R19" s="25"/>
    </row>
    <row r="20" spans="2:18" s="6" customFormat="1" ht="18.75" customHeight="1">
      <c r="B20" s="23"/>
      <c r="C20" s="24"/>
      <c r="D20" s="24"/>
      <c r="E20" s="16" t="s">
        <v>38</v>
      </c>
      <c r="F20" s="24"/>
      <c r="G20" s="24"/>
      <c r="H20" s="24"/>
      <c r="I20" s="24"/>
      <c r="J20" s="24"/>
      <c r="K20" s="24"/>
      <c r="L20" s="24"/>
      <c r="M20" s="18" t="s">
        <v>32</v>
      </c>
      <c r="N20" s="24"/>
      <c r="O20" s="158"/>
      <c r="P20" s="171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7.5" customHeight="1">
      <c r="B22" s="23"/>
      <c r="C22" s="2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4"/>
      <c r="R22" s="25"/>
    </row>
    <row r="23" spans="2:18" s="6" customFormat="1" ht="15" customHeight="1">
      <c r="B23" s="23"/>
      <c r="C23" s="24"/>
      <c r="D23" s="96" t="s">
        <v>103</v>
      </c>
      <c r="E23" s="24"/>
      <c r="F23" s="24"/>
      <c r="G23" s="24"/>
      <c r="H23" s="24"/>
      <c r="I23" s="24"/>
      <c r="J23" s="24"/>
      <c r="K23" s="24"/>
      <c r="L23" s="24"/>
      <c r="M23" s="161">
        <f>$N$87</f>
        <v>0</v>
      </c>
      <c r="N23" s="171"/>
      <c r="O23" s="171"/>
      <c r="P23" s="171"/>
      <c r="Q23" s="24"/>
      <c r="R23" s="25"/>
    </row>
    <row r="24" spans="2:18" s="6" customFormat="1" ht="15" customHeight="1">
      <c r="B24" s="23"/>
      <c r="C24" s="24"/>
      <c r="D24" s="22" t="s">
        <v>88</v>
      </c>
      <c r="E24" s="24"/>
      <c r="F24" s="24"/>
      <c r="G24" s="24"/>
      <c r="H24" s="24"/>
      <c r="I24" s="24"/>
      <c r="J24" s="24"/>
      <c r="K24" s="24"/>
      <c r="L24" s="24"/>
      <c r="M24" s="161">
        <f>$N$114</f>
        <v>0</v>
      </c>
      <c r="N24" s="171"/>
      <c r="O24" s="171"/>
      <c r="P24" s="171"/>
      <c r="Q24" s="24"/>
      <c r="R24" s="25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26.25" customHeight="1">
      <c r="B26" s="23"/>
      <c r="C26" s="24"/>
      <c r="D26" s="97" t="s">
        <v>43</v>
      </c>
      <c r="E26" s="24"/>
      <c r="F26" s="24"/>
      <c r="G26" s="24"/>
      <c r="H26" s="24"/>
      <c r="I26" s="24"/>
      <c r="J26" s="24"/>
      <c r="K26" s="24"/>
      <c r="L26" s="24"/>
      <c r="M26" s="194">
        <f>ROUND($M$23+$M$24,2)</f>
        <v>0</v>
      </c>
      <c r="N26" s="171"/>
      <c r="O26" s="171"/>
      <c r="P26" s="171"/>
      <c r="Q26" s="24"/>
      <c r="R26" s="25"/>
    </row>
    <row r="27" spans="2:18" s="6" customFormat="1" ht="7.5" customHeight="1">
      <c r="B27" s="23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4"/>
      <c r="R27" s="25"/>
    </row>
    <row r="28" spans="2:18" s="6" customFormat="1" ht="15" customHeight="1">
      <c r="B28" s="23"/>
      <c r="C28" s="24"/>
      <c r="D28" s="29" t="s">
        <v>44</v>
      </c>
      <c r="E28" s="29" t="s">
        <v>45</v>
      </c>
      <c r="F28" s="30">
        <v>0.21</v>
      </c>
      <c r="G28" s="98" t="s">
        <v>46</v>
      </c>
      <c r="H28" s="195">
        <f>ROUND((((SUM($BE$114:$BE$121)+SUM($BE$138:$BE$291))+SUM($BE$293:$BE$297))),2)</f>
        <v>0</v>
      </c>
      <c r="I28" s="171"/>
      <c r="J28" s="171"/>
      <c r="K28" s="24"/>
      <c r="L28" s="24"/>
      <c r="M28" s="195">
        <f>ROUND((((SUM($BE$114:$BE$121)+SUM($BE$138:$BE$291))*$F$28)+SUM($BE$293:$BE$297)*$F$28),2)</f>
        <v>0</v>
      </c>
      <c r="N28" s="171"/>
      <c r="O28" s="171"/>
      <c r="P28" s="171"/>
      <c r="Q28" s="24"/>
      <c r="R28" s="25"/>
    </row>
    <row r="29" spans="2:18" s="6" customFormat="1" ht="15" customHeight="1">
      <c r="B29" s="23"/>
      <c r="C29" s="24"/>
      <c r="D29" s="24"/>
      <c r="E29" s="29" t="s">
        <v>47</v>
      </c>
      <c r="F29" s="30">
        <v>0.15</v>
      </c>
      <c r="G29" s="98" t="s">
        <v>46</v>
      </c>
      <c r="H29" s="195">
        <f>ROUND((((SUM($BF$114:$BF$121)+SUM($BF$138:$BF$291))+SUM($BF$293:$BF$297))),2)</f>
        <v>0</v>
      </c>
      <c r="I29" s="171"/>
      <c r="J29" s="171"/>
      <c r="K29" s="24"/>
      <c r="L29" s="24"/>
      <c r="M29" s="195">
        <f>ROUND((((SUM($BF$114:$BF$121)+SUM($BF$138:$BF$291))*$F$29)+SUM($BF$293:$BF$297)*$F$29),2)</f>
        <v>0</v>
      </c>
      <c r="N29" s="171"/>
      <c r="O29" s="171"/>
      <c r="P29" s="171"/>
      <c r="Q29" s="24"/>
      <c r="R29" s="25"/>
    </row>
    <row r="30" spans="2:18" s="6" customFormat="1" ht="15" customHeight="1" hidden="1">
      <c r="B30" s="23"/>
      <c r="C30" s="24"/>
      <c r="D30" s="24"/>
      <c r="E30" s="29" t="s">
        <v>48</v>
      </c>
      <c r="F30" s="30">
        <v>0.21</v>
      </c>
      <c r="G30" s="98" t="s">
        <v>46</v>
      </c>
      <c r="H30" s="195">
        <f>ROUND((((SUM($BG$114:$BG$121)+SUM($BG$138:$BG$291))+SUM($BG$293:$BG$297))),2)</f>
        <v>0</v>
      </c>
      <c r="I30" s="171"/>
      <c r="J30" s="171"/>
      <c r="K30" s="24"/>
      <c r="L30" s="24"/>
      <c r="M30" s="195">
        <v>0</v>
      </c>
      <c r="N30" s="171"/>
      <c r="O30" s="171"/>
      <c r="P30" s="171"/>
      <c r="Q30" s="24"/>
      <c r="R30" s="25"/>
    </row>
    <row r="31" spans="2:18" s="6" customFormat="1" ht="15" customHeight="1" hidden="1">
      <c r="B31" s="23"/>
      <c r="C31" s="24"/>
      <c r="D31" s="24"/>
      <c r="E31" s="29" t="s">
        <v>49</v>
      </c>
      <c r="F31" s="30">
        <v>0.15</v>
      </c>
      <c r="G31" s="98" t="s">
        <v>46</v>
      </c>
      <c r="H31" s="195">
        <f>ROUND((((SUM($BH$114:$BH$121)+SUM($BH$138:$BH$291))+SUM($BH$293:$BH$297))),2)</f>
        <v>0</v>
      </c>
      <c r="I31" s="171"/>
      <c r="J31" s="171"/>
      <c r="K31" s="24"/>
      <c r="L31" s="24"/>
      <c r="M31" s="195">
        <v>0</v>
      </c>
      <c r="N31" s="171"/>
      <c r="O31" s="171"/>
      <c r="P31" s="171"/>
      <c r="Q31" s="24"/>
      <c r="R31" s="25"/>
    </row>
    <row r="32" spans="2:18" s="6" customFormat="1" ht="15" customHeight="1" hidden="1">
      <c r="B32" s="23"/>
      <c r="C32" s="24"/>
      <c r="D32" s="24"/>
      <c r="E32" s="29" t="s">
        <v>50</v>
      </c>
      <c r="F32" s="30">
        <v>0</v>
      </c>
      <c r="G32" s="98" t="s">
        <v>46</v>
      </c>
      <c r="H32" s="195">
        <f>ROUND((((SUM($BI$114:$BI$121)+SUM($BI$138:$BI$291))+SUM($BI$293:$BI$297))),2)</f>
        <v>0</v>
      </c>
      <c r="I32" s="171"/>
      <c r="J32" s="171"/>
      <c r="K32" s="24"/>
      <c r="L32" s="24"/>
      <c r="M32" s="195">
        <v>0</v>
      </c>
      <c r="N32" s="171"/>
      <c r="O32" s="171"/>
      <c r="P32" s="171"/>
      <c r="Q32" s="24"/>
      <c r="R32" s="25"/>
    </row>
    <row r="33" spans="2:18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s="6" customFormat="1" ht="26.25" customHeight="1">
      <c r="B34" s="23"/>
      <c r="C34" s="33"/>
      <c r="D34" s="34" t="s">
        <v>51</v>
      </c>
      <c r="E34" s="35"/>
      <c r="F34" s="35"/>
      <c r="G34" s="99" t="s">
        <v>52</v>
      </c>
      <c r="H34" s="36" t="s">
        <v>53</v>
      </c>
      <c r="I34" s="35"/>
      <c r="J34" s="35"/>
      <c r="K34" s="35"/>
      <c r="L34" s="169">
        <f>ROUND(SUM($M$26:$M$32),2)</f>
        <v>0</v>
      </c>
      <c r="M34" s="168"/>
      <c r="N34" s="168"/>
      <c r="O34" s="168"/>
      <c r="P34" s="170"/>
      <c r="Q34" s="33"/>
      <c r="R34" s="25"/>
    </row>
    <row r="35" spans="2:18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2"/>
    </row>
    <row r="76" spans="2:21" s="6" customFormat="1" ht="37.5" customHeight="1">
      <c r="B76" s="23"/>
      <c r="C76" s="153" t="s">
        <v>104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16</v>
      </c>
      <c r="D78" s="24"/>
      <c r="E78" s="24"/>
      <c r="F78" s="172" t="str">
        <f>$F$6</f>
        <v>PŘÍSTAVBA A STAVENÍ ÚPRAVY HALY-truhlářská provozovna Central v Pacově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22</v>
      </c>
      <c r="D80" s="24"/>
      <c r="E80" s="24"/>
      <c r="F80" s="16" t="str">
        <f>$F$8</f>
        <v>Pacov</v>
      </c>
      <c r="G80" s="24"/>
      <c r="H80" s="24"/>
      <c r="I80" s="24"/>
      <c r="J80" s="24"/>
      <c r="K80" s="18" t="s">
        <v>24</v>
      </c>
      <c r="L80" s="24"/>
      <c r="M80" s="196" t="str">
        <f>IF($O$8="","",$O$8)</f>
        <v>10.03.2016</v>
      </c>
      <c r="N80" s="171"/>
      <c r="O80" s="171"/>
      <c r="P80" s="171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28</v>
      </c>
      <c r="D82" s="24"/>
      <c r="E82" s="24"/>
      <c r="F82" s="16" t="str">
        <f>$E$11</f>
        <v>CAP CENTRAL s.r.o. </v>
      </c>
      <c r="G82" s="24"/>
      <c r="H82" s="24"/>
      <c r="I82" s="24"/>
      <c r="J82" s="24"/>
      <c r="K82" s="18" t="s">
        <v>36</v>
      </c>
      <c r="L82" s="24"/>
      <c r="M82" s="158" t="str">
        <f>$E$17</f>
        <v>ATELIER 111 architekti s.r.o.</v>
      </c>
      <c r="N82" s="171"/>
      <c r="O82" s="171"/>
      <c r="P82" s="171"/>
      <c r="Q82" s="171"/>
      <c r="R82" s="25"/>
      <c r="T82" s="24"/>
      <c r="U82" s="24"/>
    </row>
    <row r="83" spans="2:21" s="6" customFormat="1" ht="15" customHeight="1">
      <c r="B83" s="23"/>
      <c r="C83" s="18" t="s">
        <v>34</v>
      </c>
      <c r="D83" s="24"/>
      <c r="E83" s="24"/>
      <c r="F83" s="16" t="str">
        <f>IF($E$14="","",$E$14)</f>
        <v> </v>
      </c>
      <c r="G83" s="24"/>
      <c r="H83" s="24"/>
      <c r="I83" s="24"/>
      <c r="J83" s="24"/>
      <c r="K83" s="18" t="s">
        <v>40</v>
      </c>
      <c r="L83" s="24"/>
      <c r="M83" s="158" t="str">
        <f>$E$20</f>
        <v>ATELIER 111 architekti s.r.o.</v>
      </c>
      <c r="N83" s="171"/>
      <c r="O83" s="171"/>
      <c r="P83" s="171"/>
      <c r="Q83" s="171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197" t="s">
        <v>105</v>
      </c>
      <c r="D85" s="190"/>
      <c r="E85" s="190"/>
      <c r="F85" s="190"/>
      <c r="G85" s="190"/>
      <c r="H85" s="33"/>
      <c r="I85" s="33"/>
      <c r="J85" s="33"/>
      <c r="K85" s="33"/>
      <c r="L85" s="33"/>
      <c r="M85" s="33"/>
      <c r="N85" s="197" t="s">
        <v>106</v>
      </c>
      <c r="O85" s="171"/>
      <c r="P85" s="171"/>
      <c r="Q85" s="171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1" t="s">
        <v>107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87">
        <f>ROUND($N$138,2)</f>
        <v>0</v>
      </c>
      <c r="O87" s="171"/>
      <c r="P87" s="171"/>
      <c r="Q87" s="171"/>
      <c r="R87" s="25"/>
      <c r="T87" s="24"/>
      <c r="U87" s="24"/>
      <c r="AU87" s="6" t="s">
        <v>108</v>
      </c>
    </row>
    <row r="88" spans="2:21" s="103" customFormat="1" ht="25.5" customHeight="1">
      <c r="B88" s="104"/>
      <c r="C88" s="105"/>
      <c r="D88" s="105" t="s">
        <v>109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98">
        <f>ROUND($N$139,2)</f>
        <v>0</v>
      </c>
      <c r="O88" s="199"/>
      <c r="P88" s="199"/>
      <c r="Q88" s="199"/>
      <c r="R88" s="106"/>
      <c r="T88" s="105"/>
      <c r="U88" s="105"/>
    </row>
    <row r="89" spans="2:21" s="107" customFormat="1" ht="21" customHeight="1">
      <c r="B89" s="108"/>
      <c r="C89" s="84"/>
      <c r="D89" s="84" t="s">
        <v>110</v>
      </c>
      <c r="E89" s="84"/>
      <c r="F89" s="84"/>
      <c r="G89" s="84"/>
      <c r="H89" s="84"/>
      <c r="I89" s="84"/>
      <c r="J89" s="84"/>
      <c r="K89" s="84"/>
      <c r="L89" s="84"/>
      <c r="M89" s="84"/>
      <c r="N89" s="185">
        <f>ROUND($N$140,2)</f>
        <v>0</v>
      </c>
      <c r="O89" s="200"/>
      <c r="P89" s="200"/>
      <c r="Q89" s="200"/>
      <c r="R89" s="109"/>
      <c r="T89" s="84"/>
      <c r="U89" s="84"/>
    </row>
    <row r="90" spans="2:21" s="107" customFormat="1" ht="21" customHeight="1">
      <c r="B90" s="108"/>
      <c r="C90" s="84"/>
      <c r="D90" s="84" t="s">
        <v>111</v>
      </c>
      <c r="E90" s="84"/>
      <c r="F90" s="84"/>
      <c r="G90" s="84"/>
      <c r="H90" s="84"/>
      <c r="I90" s="84"/>
      <c r="J90" s="84"/>
      <c r="K90" s="84"/>
      <c r="L90" s="84"/>
      <c r="M90" s="84"/>
      <c r="N90" s="185">
        <f>ROUND($N$142,2)</f>
        <v>0</v>
      </c>
      <c r="O90" s="200"/>
      <c r="P90" s="200"/>
      <c r="Q90" s="200"/>
      <c r="R90" s="109"/>
      <c r="T90" s="84"/>
      <c r="U90" s="84"/>
    </row>
    <row r="91" spans="2:21" s="107" customFormat="1" ht="21" customHeight="1">
      <c r="B91" s="108"/>
      <c r="C91" s="84"/>
      <c r="D91" s="84" t="s">
        <v>112</v>
      </c>
      <c r="E91" s="84"/>
      <c r="F91" s="84"/>
      <c r="G91" s="84"/>
      <c r="H91" s="84"/>
      <c r="I91" s="84"/>
      <c r="J91" s="84"/>
      <c r="K91" s="84"/>
      <c r="L91" s="84"/>
      <c r="M91" s="84"/>
      <c r="N91" s="185">
        <f>ROUND($N$157,2)</f>
        <v>0</v>
      </c>
      <c r="O91" s="200"/>
      <c r="P91" s="200"/>
      <c r="Q91" s="200"/>
      <c r="R91" s="109"/>
      <c r="T91" s="84"/>
      <c r="U91" s="84"/>
    </row>
    <row r="92" spans="2:21" s="107" customFormat="1" ht="21" customHeight="1">
      <c r="B92" s="108"/>
      <c r="C92" s="84"/>
      <c r="D92" s="84" t="s">
        <v>113</v>
      </c>
      <c r="E92" s="84"/>
      <c r="F92" s="84"/>
      <c r="G92" s="84"/>
      <c r="H92" s="84"/>
      <c r="I92" s="84"/>
      <c r="J92" s="84"/>
      <c r="K92" s="84"/>
      <c r="L92" s="84"/>
      <c r="M92" s="84"/>
      <c r="N92" s="185">
        <f>ROUND($N$169,2)</f>
        <v>0</v>
      </c>
      <c r="O92" s="200"/>
      <c r="P92" s="200"/>
      <c r="Q92" s="200"/>
      <c r="R92" s="109"/>
      <c r="T92" s="84"/>
      <c r="U92" s="84"/>
    </row>
    <row r="93" spans="2:21" s="107" customFormat="1" ht="21" customHeight="1">
      <c r="B93" s="108"/>
      <c r="C93" s="84"/>
      <c r="D93" s="84" t="s">
        <v>114</v>
      </c>
      <c r="E93" s="84"/>
      <c r="F93" s="84"/>
      <c r="G93" s="84"/>
      <c r="H93" s="84"/>
      <c r="I93" s="84"/>
      <c r="J93" s="84"/>
      <c r="K93" s="84"/>
      <c r="L93" s="84"/>
      <c r="M93" s="84"/>
      <c r="N93" s="185">
        <f>ROUND($N$179,2)</f>
        <v>0</v>
      </c>
      <c r="O93" s="200"/>
      <c r="P93" s="200"/>
      <c r="Q93" s="200"/>
      <c r="R93" s="109"/>
      <c r="T93" s="84"/>
      <c r="U93" s="84"/>
    </row>
    <row r="94" spans="2:21" s="107" customFormat="1" ht="21" customHeight="1">
      <c r="B94" s="108"/>
      <c r="C94" s="84"/>
      <c r="D94" s="84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85">
        <f>ROUND($N$191,2)</f>
        <v>0</v>
      </c>
      <c r="O94" s="200"/>
      <c r="P94" s="200"/>
      <c r="Q94" s="200"/>
      <c r="R94" s="109"/>
      <c r="T94" s="84"/>
      <c r="U94" s="84"/>
    </row>
    <row r="95" spans="2:21" s="107" customFormat="1" ht="21" customHeight="1">
      <c r="B95" s="108"/>
      <c r="C95" s="84"/>
      <c r="D95" s="84" t="s">
        <v>116</v>
      </c>
      <c r="E95" s="84"/>
      <c r="F95" s="84"/>
      <c r="G95" s="84"/>
      <c r="H95" s="84"/>
      <c r="I95" s="84"/>
      <c r="J95" s="84"/>
      <c r="K95" s="84"/>
      <c r="L95" s="84"/>
      <c r="M95" s="84"/>
      <c r="N95" s="185">
        <f>ROUND($N$196,2)</f>
        <v>0</v>
      </c>
      <c r="O95" s="200"/>
      <c r="P95" s="200"/>
      <c r="Q95" s="200"/>
      <c r="R95" s="109"/>
      <c r="T95" s="84"/>
      <c r="U95" s="84"/>
    </row>
    <row r="96" spans="2:21" s="107" customFormat="1" ht="21" customHeight="1">
      <c r="B96" s="108"/>
      <c r="C96" s="84"/>
      <c r="D96" s="84" t="s">
        <v>117</v>
      </c>
      <c r="E96" s="84"/>
      <c r="F96" s="84"/>
      <c r="G96" s="84"/>
      <c r="H96" s="84"/>
      <c r="I96" s="84"/>
      <c r="J96" s="84"/>
      <c r="K96" s="84"/>
      <c r="L96" s="84"/>
      <c r="M96" s="84"/>
      <c r="N96" s="185">
        <f>ROUND($N$209,2)</f>
        <v>0</v>
      </c>
      <c r="O96" s="200"/>
      <c r="P96" s="200"/>
      <c r="Q96" s="200"/>
      <c r="R96" s="109"/>
      <c r="T96" s="84"/>
      <c r="U96" s="84"/>
    </row>
    <row r="97" spans="2:21" s="107" customFormat="1" ht="21" customHeight="1">
      <c r="B97" s="108"/>
      <c r="C97" s="84"/>
      <c r="D97" s="84" t="s">
        <v>118</v>
      </c>
      <c r="E97" s="84"/>
      <c r="F97" s="84"/>
      <c r="G97" s="84"/>
      <c r="H97" s="84"/>
      <c r="I97" s="84"/>
      <c r="J97" s="84"/>
      <c r="K97" s="84"/>
      <c r="L97" s="84"/>
      <c r="M97" s="84"/>
      <c r="N97" s="185">
        <f>ROUND($N$220,2)</f>
        <v>0</v>
      </c>
      <c r="O97" s="200"/>
      <c r="P97" s="200"/>
      <c r="Q97" s="200"/>
      <c r="R97" s="109"/>
      <c r="T97" s="84"/>
      <c r="U97" s="84"/>
    </row>
    <row r="98" spans="2:21" s="107" customFormat="1" ht="21" customHeight="1">
      <c r="B98" s="108"/>
      <c r="C98" s="84"/>
      <c r="D98" s="84" t="s">
        <v>119</v>
      </c>
      <c r="E98" s="84"/>
      <c r="F98" s="84"/>
      <c r="G98" s="84"/>
      <c r="H98" s="84"/>
      <c r="I98" s="84"/>
      <c r="J98" s="84"/>
      <c r="K98" s="84"/>
      <c r="L98" s="84"/>
      <c r="M98" s="84"/>
      <c r="N98" s="185">
        <f>ROUND($N$225,2)</f>
        <v>0</v>
      </c>
      <c r="O98" s="200"/>
      <c r="P98" s="200"/>
      <c r="Q98" s="200"/>
      <c r="R98" s="109"/>
      <c r="T98" s="84"/>
      <c r="U98" s="84"/>
    </row>
    <row r="99" spans="2:21" s="103" customFormat="1" ht="25.5" customHeight="1">
      <c r="B99" s="104"/>
      <c r="C99" s="105"/>
      <c r="D99" s="105" t="s">
        <v>120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98">
        <f>ROUND($N$227,2)</f>
        <v>0</v>
      </c>
      <c r="O99" s="199"/>
      <c r="P99" s="199"/>
      <c r="Q99" s="199"/>
      <c r="R99" s="106"/>
      <c r="T99" s="105"/>
      <c r="U99" s="105"/>
    </row>
    <row r="100" spans="2:21" s="107" customFormat="1" ht="21" customHeight="1">
      <c r="B100" s="108"/>
      <c r="C100" s="84"/>
      <c r="D100" s="84" t="s">
        <v>121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185">
        <f>ROUND($N$228,2)</f>
        <v>0</v>
      </c>
      <c r="O100" s="200"/>
      <c r="P100" s="200"/>
      <c r="Q100" s="200"/>
      <c r="R100" s="109"/>
      <c r="T100" s="84"/>
      <c r="U100" s="84"/>
    </row>
    <row r="101" spans="2:21" s="107" customFormat="1" ht="21" customHeight="1">
      <c r="B101" s="108"/>
      <c r="C101" s="84"/>
      <c r="D101" s="84" t="s">
        <v>122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185">
        <f>ROUND($N$232,2)</f>
        <v>0</v>
      </c>
      <c r="O101" s="200"/>
      <c r="P101" s="200"/>
      <c r="Q101" s="200"/>
      <c r="R101" s="109"/>
      <c r="T101" s="84"/>
      <c r="U101" s="84"/>
    </row>
    <row r="102" spans="2:21" s="107" customFormat="1" ht="21" customHeight="1">
      <c r="B102" s="108"/>
      <c r="C102" s="84"/>
      <c r="D102" s="84" t="s">
        <v>123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185">
        <f>ROUND($N$238,2)</f>
        <v>0</v>
      </c>
      <c r="O102" s="200"/>
      <c r="P102" s="200"/>
      <c r="Q102" s="200"/>
      <c r="R102" s="109"/>
      <c r="T102" s="84"/>
      <c r="U102" s="84"/>
    </row>
    <row r="103" spans="2:21" s="107" customFormat="1" ht="21" customHeight="1">
      <c r="B103" s="108"/>
      <c r="C103" s="84"/>
      <c r="D103" s="84" t="s">
        <v>124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185">
        <f>ROUND($N$244,2)</f>
        <v>0</v>
      </c>
      <c r="O103" s="200"/>
      <c r="P103" s="200"/>
      <c r="Q103" s="200"/>
      <c r="R103" s="109"/>
      <c r="T103" s="84"/>
      <c r="U103" s="84"/>
    </row>
    <row r="104" spans="2:21" s="107" customFormat="1" ht="21" customHeight="1">
      <c r="B104" s="108"/>
      <c r="C104" s="84"/>
      <c r="D104" s="84" t="s">
        <v>125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185">
        <f>ROUND($N$265,2)</f>
        <v>0</v>
      </c>
      <c r="O104" s="200"/>
      <c r="P104" s="200"/>
      <c r="Q104" s="200"/>
      <c r="R104" s="109"/>
      <c r="T104" s="84"/>
      <c r="U104" s="84"/>
    </row>
    <row r="105" spans="2:21" s="107" customFormat="1" ht="21" customHeight="1">
      <c r="B105" s="108"/>
      <c r="C105" s="84"/>
      <c r="D105" s="84" t="s">
        <v>126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185">
        <f>ROUND($N$269,2)</f>
        <v>0</v>
      </c>
      <c r="O105" s="200"/>
      <c r="P105" s="200"/>
      <c r="Q105" s="200"/>
      <c r="R105" s="109"/>
      <c r="T105" s="84"/>
      <c r="U105" s="84"/>
    </row>
    <row r="106" spans="2:21" s="107" customFormat="1" ht="21" customHeight="1">
      <c r="B106" s="108"/>
      <c r="C106" s="84"/>
      <c r="D106" s="84" t="s">
        <v>127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185">
        <f>ROUND($N$272,2)</f>
        <v>0</v>
      </c>
      <c r="O106" s="200"/>
      <c r="P106" s="200"/>
      <c r="Q106" s="200"/>
      <c r="R106" s="109"/>
      <c r="T106" s="84"/>
      <c r="U106" s="84"/>
    </row>
    <row r="107" spans="2:21" s="107" customFormat="1" ht="21" customHeight="1">
      <c r="B107" s="108"/>
      <c r="C107" s="84"/>
      <c r="D107" s="84" t="s">
        <v>128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185">
        <f>ROUND($N$275,2)</f>
        <v>0</v>
      </c>
      <c r="O107" s="200"/>
      <c r="P107" s="200"/>
      <c r="Q107" s="200"/>
      <c r="R107" s="109"/>
      <c r="T107" s="84"/>
      <c r="U107" s="84"/>
    </row>
    <row r="108" spans="2:21" s="107" customFormat="1" ht="21" customHeight="1">
      <c r="B108" s="108"/>
      <c r="C108" s="84"/>
      <c r="D108" s="84" t="s">
        <v>129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185">
        <f>ROUND($N$277,2)</f>
        <v>0</v>
      </c>
      <c r="O108" s="200"/>
      <c r="P108" s="200"/>
      <c r="Q108" s="200"/>
      <c r="R108" s="109"/>
      <c r="T108" s="84"/>
      <c r="U108" s="84"/>
    </row>
    <row r="109" spans="2:21" s="107" customFormat="1" ht="21" customHeight="1">
      <c r="B109" s="108"/>
      <c r="C109" s="84"/>
      <c r="D109" s="84" t="s">
        <v>130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185">
        <f>ROUND($N$280,2)</f>
        <v>0</v>
      </c>
      <c r="O109" s="200"/>
      <c r="P109" s="200"/>
      <c r="Q109" s="200"/>
      <c r="R109" s="109"/>
      <c r="T109" s="84"/>
      <c r="U109" s="84"/>
    </row>
    <row r="110" spans="2:21" s="107" customFormat="1" ht="21" customHeight="1">
      <c r="B110" s="108"/>
      <c r="C110" s="84"/>
      <c r="D110" s="84" t="s">
        <v>131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185">
        <f>ROUND($N$282,2)</f>
        <v>0</v>
      </c>
      <c r="O110" s="200"/>
      <c r="P110" s="200"/>
      <c r="Q110" s="200"/>
      <c r="R110" s="109"/>
      <c r="T110" s="84"/>
      <c r="U110" s="84"/>
    </row>
    <row r="111" spans="2:21" s="107" customFormat="1" ht="21" customHeight="1">
      <c r="B111" s="108"/>
      <c r="C111" s="84"/>
      <c r="D111" s="84" t="s">
        <v>132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185">
        <f>ROUND($N$290,2)</f>
        <v>0</v>
      </c>
      <c r="O111" s="200"/>
      <c r="P111" s="200"/>
      <c r="Q111" s="200"/>
      <c r="R111" s="109"/>
      <c r="T111" s="84"/>
      <c r="U111" s="84"/>
    </row>
    <row r="112" spans="2:21" s="103" customFormat="1" ht="22.5" customHeight="1">
      <c r="B112" s="104"/>
      <c r="C112" s="105"/>
      <c r="D112" s="105" t="s">
        <v>133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201">
        <f>$N$292</f>
        <v>0</v>
      </c>
      <c r="O112" s="199"/>
      <c r="P112" s="199"/>
      <c r="Q112" s="199"/>
      <c r="R112" s="106"/>
      <c r="T112" s="105"/>
      <c r="U112" s="105"/>
    </row>
    <row r="113" spans="2:21" s="6" customFormat="1" ht="22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  <c r="T113" s="24"/>
      <c r="U113" s="24"/>
    </row>
    <row r="114" spans="2:21" s="6" customFormat="1" ht="30" customHeight="1">
      <c r="B114" s="23"/>
      <c r="C114" s="71" t="s">
        <v>134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87">
        <f>ROUND($N$115+$N$116+$N$117+$N$118+$N$119+$N$120,2)</f>
        <v>0</v>
      </c>
      <c r="O114" s="171"/>
      <c r="P114" s="171"/>
      <c r="Q114" s="171"/>
      <c r="R114" s="25"/>
      <c r="T114" s="110"/>
      <c r="U114" s="111" t="s">
        <v>44</v>
      </c>
    </row>
    <row r="115" spans="2:62" s="6" customFormat="1" ht="18.75" customHeight="1">
      <c r="B115" s="23"/>
      <c r="C115" s="24"/>
      <c r="D115" s="186" t="s">
        <v>135</v>
      </c>
      <c r="E115" s="171"/>
      <c r="F115" s="171"/>
      <c r="G115" s="171"/>
      <c r="H115" s="171"/>
      <c r="I115" s="24"/>
      <c r="J115" s="24"/>
      <c r="K115" s="24"/>
      <c r="L115" s="24"/>
      <c r="M115" s="24"/>
      <c r="N115" s="184">
        <f>ROUND($N$87*$T$115,2)</f>
        <v>0</v>
      </c>
      <c r="O115" s="171"/>
      <c r="P115" s="171"/>
      <c r="Q115" s="171"/>
      <c r="R115" s="25"/>
      <c r="T115" s="112"/>
      <c r="U115" s="113" t="s">
        <v>45</v>
      </c>
      <c r="AY115" s="6" t="s">
        <v>136</v>
      </c>
      <c r="BE115" s="88">
        <f>IF($U$115="základní",$N$115,0)</f>
        <v>0</v>
      </c>
      <c r="BF115" s="88">
        <f>IF($U$115="snížená",$N$115,0)</f>
        <v>0</v>
      </c>
      <c r="BG115" s="88">
        <f>IF($U$115="zákl. přenesená",$N$115,0)</f>
        <v>0</v>
      </c>
      <c r="BH115" s="88">
        <f>IF($U$115="sníž. přenesená",$N$115,0)</f>
        <v>0</v>
      </c>
      <c r="BI115" s="88">
        <f>IF($U$115="nulová",$N$115,0)</f>
        <v>0</v>
      </c>
      <c r="BJ115" s="6" t="s">
        <v>21</v>
      </c>
    </row>
    <row r="116" spans="2:62" s="6" customFormat="1" ht="18.75" customHeight="1">
      <c r="B116" s="23"/>
      <c r="C116" s="24"/>
      <c r="D116" s="186" t="s">
        <v>137</v>
      </c>
      <c r="E116" s="171"/>
      <c r="F116" s="171"/>
      <c r="G116" s="171"/>
      <c r="H116" s="171"/>
      <c r="I116" s="24"/>
      <c r="J116" s="24"/>
      <c r="K116" s="24"/>
      <c r="L116" s="24"/>
      <c r="M116" s="24"/>
      <c r="N116" s="184">
        <f>ROUND($N$87*$T$116,2)</f>
        <v>0</v>
      </c>
      <c r="O116" s="171"/>
      <c r="P116" s="171"/>
      <c r="Q116" s="171"/>
      <c r="R116" s="25"/>
      <c r="T116" s="112"/>
      <c r="U116" s="113" t="s">
        <v>45</v>
      </c>
      <c r="AY116" s="6" t="s">
        <v>136</v>
      </c>
      <c r="BE116" s="88">
        <f>IF($U$116="základní",$N$116,0)</f>
        <v>0</v>
      </c>
      <c r="BF116" s="88">
        <f>IF($U$116="snížená",$N$116,0)</f>
        <v>0</v>
      </c>
      <c r="BG116" s="88">
        <f>IF($U$116="zákl. přenesená",$N$116,0)</f>
        <v>0</v>
      </c>
      <c r="BH116" s="88">
        <f>IF($U$116="sníž. přenesená",$N$116,0)</f>
        <v>0</v>
      </c>
      <c r="BI116" s="88">
        <f>IF($U$116="nulová",$N$116,0)</f>
        <v>0</v>
      </c>
      <c r="BJ116" s="6" t="s">
        <v>21</v>
      </c>
    </row>
    <row r="117" spans="2:62" s="6" customFormat="1" ht="18.75" customHeight="1">
      <c r="B117" s="23"/>
      <c r="C117" s="24"/>
      <c r="D117" s="186" t="s">
        <v>138</v>
      </c>
      <c r="E117" s="171"/>
      <c r="F117" s="171"/>
      <c r="G117" s="171"/>
      <c r="H117" s="171"/>
      <c r="I117" s="24"/>
      <c r="J117" s="24"/>
      <c r="K117" s="24"/>
      <c r="L117" s="24"/>
      <c r="M117" s="24"/>
      <c r="N117" s="184">
        <f>ROUND($N$87*$T$117,2)</f>
        <v>0</v>
      </c>
      <c r="O117" s="171"/>
      <c r="P117" s="171"/>
      <c r="Q117" s="171"/>
      <c r="R117" s="25"/>
      <c r="T117" s="112"/>
      <c r="U117" s="113" t="s">
        <v>45</v>
      </c>
      <c r="AY117" s="6" t="s">
        <v>136</v>
      </c>
      <c r="BE117" s="88">
        <f>IF($U$117="základní",$N$117,0)</f>
        <v>0</v>
      </c>
      <c r="BF117" s="88">
        <f>IF($U$117="snížená",$N$117,0)</f>
        <v>0</v>
      </c>
      <c r="BG117" s="88">
        <f>IF($U$117="zákl. přenesená",$N$117,0)</f>
        <v>0</v>
      </c>
      <c r="BH117" s="88">
        <f>IF($U$117="sníž. přenesená",$N$117,0)</f>
        <v>0</v>
      </c>
      <c r="BI117" s="88">
        <f>IF($U$117="nulová",$N$117,0)</f>
        <v>0</v>
      </c>
      <c r="BJ117" s="6" t="s">
        <v>21</v>
      </c>
    </row>
    <row r="118" spans="2:62" s="6" customFormat="1" ht="18.75" customHeight="1">
      <c r="B118" s="23"/>
      <c r="C118" s="24"/>
      <c r="D118" s="186" t="s">
        <v>137</v>
      </c>
      <c r="E118" s="171"/>
      <c r="F118" s="171"/>
      <c r="G118" s="171"/>
      <c r="H118" s="171"/>
      <c r="I118" s="24"/>
      <c r="J118" s="24"/>
      <c r="K118" s="24"/>
      <c r="L118" s="24"/>
      <c r="M118" s="24"/>
      <c r="N118" s="184">
        <f>ROUND($N$87*$T$118,2)</f>
        <v>0</v>
      </c>
      <c r="O118" s="171"/>
      <c r="P118" s="171"/>
      <c r="Q118" s="171"/>
      <c r="R118" s="25"/>
      <c r="T118" s="112"/>
      <c r="U118" s="113" t="s">
        <v>45</v>
      </c>
      <c r="AY118" s="6" t="s">
        <v>136</v>
      </c>
      <c r="BE118" s="88">
        <f>IF($U$118="základní",$N$118,0)</f>
        <v>0</v>
      </c>
      <c r="BF118" s="88">
        <f>IF($U$118="snížená",$N$118,0)</f>
        <v>0</v>
      </c>
      <c r="BG118" s="88">
        <f>IF($U$118="zákl. přenesená",$N$118,0)</f>
        <v>0</v>
      </c>
      <c r="BH118" s="88">
        <f>IF($U$118="sníž. přenesená",$N$118,0)</f>
        <v>0</v>
      </c>
      <c r="BI118" s="88">
        <f>IF($U$118="nulová",$N$118,0)</f>
        <v>0</v>
      </c>
      <c r="BJ118" s="6" t="s">
        <v>21</v>
      </c>
    </row>
    <row r="119" spans="2:62" s="6" customFormat="1" ht="18.75" customHeight="1">
      <c r="B119" s="23"/>
      <c r="C119" s="24"/>
      <c r="D119" s="186" t="s">
        <v>139</v>
      </c>
      <c r="E119" s="171"/>
      <c r="F119" s="171"/>
      <c r="G119" s="171"/>
      <c r="H119" s="171"/>
      <c r="I119" s="24"/>
      <c r="J119" s="24"/>
      <c r="K119" s="24"/>
      <c r="L119" s="24"/>
      <c r="M119" s="24"/>
      <c r="N119" s="184">
        <f>ROUND($N$87*$T$119,2)</f>
        <v>0</v>
      </c>
      <c r="O119" s="171"/>
      <c r="P119" s="171"/>
      <c r="Q119" s="171"/>
      <c r="R119" s="25"/>
      <c r="T119" s="112"/>
      <c r="U119" s="113" t="s">
        <v>45</v>
      </c>
      <c r="AY119" s="6" t="s">
        <v>136</v>
      </c>
      <c r="BE119" s="88">
        <f>IF($U$119="základní",$N$119,0)</f>
        <v>0</v>
      </c>
      <c r="BF119" s="88">
        <f>IF($U$119="snížená",$N$119,0)</f>
        <v>0</v>
      </c>
      <c r="BG119" s="88">
        <f>IF($U$119="zákl. přenesená",$N$119,0)</f>
        <v>0</v>
      </c>
      <c r="BH119" s="88">
        <f>IF($U$119="sníž. přenesená",$N$119,0)</f>
        <v>0</v>
      </c>
      <c r="BI119" s="88">
        <f>IF($U$119="nulová",$N$119,0)</f>
        <v>0</v>
      </c>
      <c r="BJ119" s="6" t="s">
        <v>21</v>
      </c>
    </row>
    <row r="120" spans="2:62" s="6" customFormat="1" ht="18.75" customHeight="1">
      <c r="B120" s="23"/>
      <c r="C120" s="24"/>
      <c r="D120" s="84" t="s">
        <v>140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184">
        <f>ROUND($N$87*$T$120,2)</f>
        <v>0</v>
      </c>
      <c r="O120" s="171"/>
      <c r="P120" s="171"/>
      <c r="Q120" s="171"/>
      <c r="R120" s="25"/>
      <c r="T120" s="114"/>
      <c r="U120" s="115" t="s">
        <v>45</v>
      </c>
      <c r="AY120" s="6" t="s">
        <v>141</v>
      </c>
      <c r="BE120" s="88">
        <f>IF($U$120="základní",$N$120,0)</f>
        <v>0</v>
      </c>
      <c r="BF120" s="88">
        <f>IF($U$120="snížená",$N$120,0)</f>
        <v>0</v>
      </c>
      <c r="BG120" s="88">
        <f>IF($U$120="zákl. přenesená",$N$120,0)</f>
        <v>0</v>
      </c>
      <c r="BH120" s="88">
        <f>IF($U$120="sníž. přenesená",$N$120,0)</f>
        <v>0</v>
      </c>
      <c r="BI120" s="88">
        <f>IF($U$120="nulová",$N$120,0)</f>
        <v>0</v>
      </c>
      <c r="BJ120" s="6" t="s">
        <v>21</v>
      </c>
    </row>
    <row r="121" spans="2:21" s="6" customFormat="1" ht="14.2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  <c r="T121" s="24"/>
      <c r="U121" s="24"/>
    </row>
    <row r="122" spans="2:21" s="6" customFormat="1" ht="30" customHeight="1">
      <c r="B122" s="23"/>
      <c r="C122" s="95" t="s">
        <v>93</v>
      </c>
      <c r="D122" s="33"/>
      <c r="E122" s="33"/>
      <c r="F122" s="33"/>
      <c r="G122" s="33"/>
      <c r="H122" s="33"/>
      <c r="I122" s="33"/>
      <c r="J122" s="33"/>
      <c r="K122" s="33"/>
      <c r="L122" s="189">
        <f>ROUND(SUM($N$87+$N$114),2)</f>
        <v>0</v>
      </c>
      <c r="M122" s="190"/>
      <c r="N122" s="190"/>
      <c r="O122" s="190"/>
      <c r="P122" s="190"/>
      <c r="Q122" s="190"/>
      <c r="R122" s="25"/>
      <c r="T122" s="24"/>
      <c r="U122" s="24"/>
    </row>
    <row r="123" spans="2:21" s="6" customFormat="1" ht="7.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8"/>
      <c r="T123" s="24"/>
      <c r="U123" s="24"/>
    </row>
    <row r="127" spans="2:18" s="6" customFormat="1" ht="7.5" customHeight="1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</row>
    <row r="128" spans="2:18" s="6" customFormat="1" ht="37.5" customHeight="1">
      <c r="B128" s="23"/>
      <c r="C128" s="153" t="s">
        <v>142</v>
      </c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25"/>
    </row>
    <row r="129" spans="2:18" s="6" customFormat="1" ht="7.5" customHeight="1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</row>
    <row r="130" spans="2:18" s="6" customFormat="1" ht="37.5" customHeight="1">
      <c r="B130" s="23"/>
      <c r="C130" s="57" t="s">
        <v>16</v>
      </c>
      <c r="D130" s="24"/>
      <c r="E130" s="24"/>
      <c r="F130" s="172" t="str">
        <f>$F$6</f>
        <v>PŘÍSTAVBA A STAVENÍ ÚPRAVY HALY-truhlářská provozovna Central v Pacově</v>
      </c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24"/>
      <c r="R130" s="25"/>
    </row>
    <row r="131" spans="2:18" s="6" customFormat="1" ht="7.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18" s="6" customFormat="1" ht="18.75" customHeight="1">
      <c r="B132" s="23"/>
      <c r="C132" s="18" t="s">
        <v>22</v>
      </c>
      <c r="D132" s="24"/>
      <c r="E132" s="24"/>
      <c r="F132" s="16" t="str">
        <f>$F$8</f>
        <v>Pacov</v>
      </c>
      <c r="G132" s="24"/>
      <c r="H132" s="24"/>
      <c r="I132" s="24"/>
      <c r="J132" s="24"/>
      <c r="K132" s="18" t="s">
        <v>24</v>
      </c>
      <c r="L132" s="24"/>
      <c r="M132" s="196" t="str">
        <f>IF($O$8="","",$O$8)</f>
        <v>10.03.2016</v>
      </c>
      <c r="N132" s="171"/>
      <c r="O132" s="171"/>
      <c r="P132" s="171"/>
      <c r="Q132" s="24"/>
      <c r="R132" s="25"/>
    </row>
    <row r="133" spans="2:18" s="6" customFormat="1" ht="7.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18" s="6" customFormat="1" ht="15.75" customHeight="1">
      <c r="B134" s="23"/>
      <c r="C134" s="18" t="s">
        <v>28</v>
      </c>
      <c r="D134" s="24"/>
      <c r="E134" s="24"/>
      <c r="F134" s="16" t="str">
        <f>$E$11</f>
        <v>CAP CENTRAL s.r.o. </v>
      </c>
      <c r="G134" s="24"/>
      <c r="H134" s="24"/>
      <c r="I134" s="24"/>
      <c r="J134" s="24"/>
      <c r="K134" s="18" t="s">
        <v>36</v>
      </c>
      <c r="L134" s="24"/>
      <c r="M134" s="158" t="str">
        <f>$E$17</f>
        <v>ATELIER 111 architekti s.r.o.</v>
      </c>
      <c r="N134" s="171"/>
      <c r="O134" s="171"/>
      <c r="P134" s="171"/>
      <c r="Q134" s="171"/>
      <c r="R134" s="25"/>
    </row>
    <row r="135" spans="2:18" s="6" customFormat="1" ht="15" customHeight="1">
      <c r="B135" s="23"/>
      <c r="C135" s="18" t="s">
        <v>34</v>
      </c>
      <c r="D135" s="24"/>
      <c r="E135" s="24"/>
      <c r="F135" s="16" t="str">
        <f>IF($E$14="","",$E$14)</f>
        <v> </v>
      </c>
      <c r="G135" s="24"/>
      <c r="H135" s="24"/>
      <c r="I135" s="24"/>
      <c r="J135" s="24"/>
      <c r="K135" s="18" t="s">
        <v>40</v>
      </c>
      <c r="L135" s="24"/>
      <c r="M135" s="158" t="str">
        <f>$E$20</f>
        <v>ATELIER 111 architekti s.r.o.</v>
      </c>
      <c r="N135" s="171"/>
      <c r="O135" s="171"/>
      <c r="P135" s="171"/>
      <c r="Q135" s="171"/>
      <c r="R135" s="25"/>
    </row>
    <row r="136" spans="2:18" s="6" customFormat="1" ht="11.25" customHeight="1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</row>
    <row r="137" spans="2:27" s="116" customFormat="1" ht="30" customHeight="1">
      <c r="B137" s="117"/>
      <c r="C137" s="118" t="s">
        <v>143</v>
      </c>
      <c r="D137" s="119" t="s">
        <v>144</v>
      </c>
      <c r="E137" s="119" t="s">
        <v>62</v>
      </c>
      <c r="F137" s="202" t="s">
        <v>145</v>
      </c>
      <c r="G137" s="203"/>
      <c r="H137" s="203"/>
      <c r="I137" s="203"/>
      <c r="J137" s="119" t="s">
        <v>146</v>
      </c>
      <c r="K137" s="119" t="s">
        <v>147</v>
      </c>
      <c r="L137" s="202" t="s">
        <v>148</v>
      </c>
      <c r="M137" s="203"/>
      <c r="N137" s="202" t="s">
        <v>149</v>
      </c>
      <c r="O137" s="203"/>
      <c r="P137" s="203"/>
      <c r="Q137" s="204"/>
      <c r="R137" s="120"/>
      <c r="T137" s="66" t="s">
        <v>150</v>
      </c>
      <c r="U137" s="67" t="s">
        <v>44</v>
      </c>
      <c r="V137" s="67" t="s">
        <v>151</v>
      </c>
      <c r="W137" s="67" t="s">
        <v>152</v>
      </c>
      <c r="X137" s="67" t="s">
        <v>153</v>
      </c>
      <c r="Y137" s="67" t="s">
        <v>154</v>
      </c>
      <c r="Z137" s="67" t="s">
        <v>155</v>
      </c>
      <c r="AA137" s="68" t="s">
        <v>156</v>
      </c>
    </row>
    <row r="138" spans="2:63" s="6" customFormat="1" ht="30" customHeight="1">
      <c r="B138" s="23"/>
      <c r="C138" s="71" t="s">
        <v>103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15">
        <f>$BK$138</f>
        <v>0</v>
      </c>
      <c r="O138" s="171"/>
      <c r="P138" s="171"/>
      <c r="Q138" s="171"/>
      <c r="R138" s="25"/>
      <c r="T138" s="70"/>
      <c r="U138" s="38"/>
      <c r="V138" s="38"/>
      <c r="W138" s="121">
        <f>$W$139+$W$227+$W$292</f>
        <v>160770.353846</v>
      </c>
      <c r="X138" s="38"/>
      <c r="Y138" s="121">
        <f>$Y$139+$Y$227+$Y$292</f>
        <v>1308.78560119</v>
      </c>
      <c r="Z138" s="38"/>
      <c r="AA138" s="122">
        <f>$AA$139+$AA$227+$AA$292</f>
        <v>516.3648</v>
      </c>
      <c r="AT138" s="6" t="s">
        <v>79</v>
      </c>
      <c r="AU138" s="6" t="s">
        <v>108</v>
      </c>
      <c r="BK138" s="123">
        <f>$BK$139+$BK$227+$BK$292</f>
        <v>0</v>
      </c>
    </row>
    <row r="139" spans="2:63" s="124" customFormat="1" ht="37.5" customHeight="1">
      <c r="B139" s="125"/>
      <c r="C139" s="126"/>
      <c r="D139" s="127" t="s">
        <v>109</v>
      </c>
      <c r="E139" s="126"/>
      <c r="F139" s="126"/>
      <c r="G139" s="126"/>
      <c r="H139" s="126"/>
      <c r="I139" s="126"/>
      <c r="J139" s="126"/>
      <c r="K139" s="126"/>
      <c r="L139" s="126"/>
      <c r="M139" s="126"/>
      <c r="N139" s="201">
        <f>$BK$139</f>
        <v>0</v>
      </c>
      <c r="O139" s="216"/>
      <c r="P139" s="216"/>
      <c r="Q139" s="216"/>
      <c r="R139" s="128"/>
      <c r="T139" s="129"/>
      <c r="U139" s="126"/>
      <c r="V139" s="126"/>
      <c r="W139" s="130">
        <f>$W$140+$W$142+$W$157+$W$169+$W$179+$W$191+$W$196+$W$209+$W$220+$W$225</f>
        <v>32554.404559999995</v>
      </c>
      <c r="X139" s="126"/>
      <c r="Y139" s="130">
        <f>$Y$140+$Y$142+$Y$157+$Y$169+$Y$179+$Y$191+$Y$196+$Y$209+$Y$220+$Y$225</f>
        <v>1297.3476151900002</v>
      </c>
      <c r="Z139" s="126"/>
      <c r="AA139" s="131">
        <f>$AA$140+$AA$142+$AA$157+$AA$169+$AA$179+$AA$191+$AA$196+$AA$209+$AA$220+$AA$225</f>
        <v>516.3648</v>
      </c>
      <c r="AR139" s="132" t="s">
        <v>21</v>
      </c>
      <c r="AT139" s="132" t="s">
        <v>79</v>
      </c>
      <c r="AU139" s="132" t="s">
        <v>80</v>
      </c>
      <c r="AY139" s="132" t="s">
        <v>157</v>
      </c>
      <c r="BK139" s="133">
        <f>$BK$140+$BK$142+$BK$157+$BK$169+$BK$179+$BK$191+$BK$196+$BK$209+$BK$220+$BK$225</f>
        <v>0</v>
      </c>
    </row>
    <row r="140" spans="2:63" s="124" customFormat="1" ht="21" customHeight="1">
      <c r="B140" s="125"/>
      <c r="C140" s="126"/>
      <c r="D140" s="134" t="s">
        <v>110</v>
      </c>
      <c r="E140" s="126"/>
      <c r="F140" s="126"/>
      <c r="G140" s="126"/>
      <c r="H140" s="126"/>
      <c r="I140" s="126"/>
      <c r="J140" s="126"/>
      <c r="K140" s="126"/>
      <c r="L140" s="126"/>
      <c r="M140" s="126"/>
      <c r="N140" s="217">
        <f>$BK$140</f>
        <v>0</v>
      </c>
      <c r="O140" s="216"/>
      <c r="P140" s="216"/>
      <c r="Q140" s="216"/>
      <c r="R140" s="128"/>
      <c r="T140" s="129"/>
      <c r="U140" s="126"/>
      <c r="V140" s="126"/>
      <c r="W140" s="130">
        <f>$W$141</f>
        <v>0</v>
      </c>
      <c r="X140" s="126"/>
      <c r="Y140" s="130">
        <f>$Y$141</f>
        <v>0</v>
      </c>
      <c r="Z140" s="126"/>
      <c r="AA140" s="131">
        <f>$AA$141</f>
        <v>0</v>
      </c>
      <c r="AR140" s="132" t="s">
        <v>21</v>
      </c>
      <c r="AT140" s="132" t="s">
        <v>79</v>
      </c>
      <c r="AU140" s="132" t="s">
        <v>21</v>
      </c>
      <c r="AY140" s="132" t="s">
        <v>157</v>
      </c>
      <c r="BK140" s="133">
        <f>$BK$141</f>
        <v>0</v>
      </c>
    </row>
    <row r="141" spans="2:64" s="6" customFormat="1" ht="15.75" customHeight="1">
      <c r="B141" s="23"/>
      <c r="C141" s="135" t="s">
        <v>21</v>
      </c>
      <c r="D141" s="135" t="s">
        <v>158</v>
      </c>
      <c r="E141" s="136" t="s">
        <v>159</v>
      </c>
      <c r="F141" s="205" t="s">
        <v>160</v>
      </c>
      <c r="G141" s="206"/>
      <c r="H141" s="206"/>
      <c r="I141" s="206"/>
      <c r="J141" s="137" t="s">
        <v>161</v>
      </c>
      <c r="K141" s="138">
        <v>1</v>
      </c>
      <c r="L141" s="207">
        <v>0</v>
      </c>
      <c r="M141" s="206"/>
      <c r="N141" s="208">
        <f>ROUND($L$141*$K$141,2)</f>
        <v>0</v>
      </c>
      <c r="O141" s="206"/>
      <c r="P141" s="206"/>
      <c r="Q141" s="206"/>
      <c r="R141" s="25"/>
      <c r="T141" s="139"/>
      <c r="U141" s="31" t="s">
        <v>45</v>
      </c>
      <c r="V141" s="140">
        <v>0</v>
      </c>
      <c r="W141" s="140">
        <f>$V$141*$K$141</f>
        <v>0</v>
      </c>
      <c r="X141" s="140">
        <v>0</v>
      </c>
      <c r="Y141" s="140">
        <f>$X$141*$K$141</f>
        <v>0</v>
      </c>
      <c r="Z141" s="140">
        <v>0</v>
      </c>
      <c r="AA141" s="141">
        <f>$Z$141*$K$141</f>
        <v>0</v>
      </c>
      <c r="AR141" s="6" t="s">
        <v>162</v>
      </c>
      <c r="AT141" s="6" t="s">
        <v>158</v>
      </c>
      <c r="AU141" s="6" t="s">
        <v>98</v>
      </c>
      <c r="AY141" s="6" t="s">
        <v>157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6" t="s">
        <v>21</v>
      </c>
      <c r="BK141" s="88">
        <f>ROUND($L$141*$K$141,2)</f>
        <v>0</v>
      </c>
      <c r="BL141" s="6" t="s">
        <v>162</v>
      </c>
    </row>
    <row r="142" spans="2:63" s="124" customFormat="1" ht="30.75" customHeight="1">
      <c r="B142" s="125"/>
      <c r="C142" s="126"/>
      <c r="D142" s="134" t="s">
        <v>111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217">
        <f>$BK$142</f>
        <v>0</v>
      </c>
      <c r="O142" s="216"/>
      <c r="P142" s="216"/>
      <c r="Q142" s="216"/>
      <c r="R142" s="128"/>
      <c r="T142" s="129"/>
      <c r="U142" s="126"/>
      <c r="V142" s="126"/>
      <c r="W142" s="130">
        <f>SUM($W$143:$W$156)</f>
        <v>22185.008952</v>
      </c>
      <c r="X142" s="126"/>
      <c r="Y142" s="130">
        <f>SUM($Y$143:$Y$156)</f>
        <v>0</v>
      </c>
      <c r="Z142" s="126"/>
      <c r="AA142" s="131">
        <f>SUM($AA$143:$AA$156)</f>
        <v>98.1324</v>
      </c>
      <c r="AR142" s="132" t="s">
        <v>21</v>
      </c>
      <c r="AT142" s="132" t="s">
        <v>79</v>
      </c>
      <c r="AU142" s="132" t="s">
        <v>21</v>
      </c>
      <c r="AY142" s="132" t="s">
        <v>157</v>
      </c>
      <c r="BK142" s="133">
        <f>SUM($BK$143:$BK$156)</f>
        <v>0</v>
      </c>
    </row>
    <row r="143" spans="2:64" s="6" customFormat="1" ht="27" customHeight="1">
      <c r="B143" s="23"/>
      <c r="C143" s="135" t="s">
        <v>98</v>
      </c>
      <c r="D143" s="135" t="s">
        <v>158</v>
      </c>
      <c r="E143" s="136" t="s">
        <v>163</v>
      </c>
      <c r="F143" s="205" t="s">
        <v>164</v>
      </c>
      <c r="G143" s="206"/>
      <c r="H143" s="206"/>
      <c r="I143" s="206"/>
      <c r="J143" s="137" t="s">
        <v>165</v>
      </c>
      <c r="K143" s="138">
        <v>20.6</v>
      </c>
      <c r="L143" s="207">
        <v>0</v>
      </c>
      <c r="M143" s="206"/>
      <c r="N143" s="208">
        <f>ROUND($L$143*$K$143,2)</f>
        <v>0</v>
      </c>
      <c r="O143" s="206"/>
      <c r="P143" s="206"/>
      <c r="Q143" s="206"/>
      <c r="R143" s="25"/>
      <c r="T143" s="139"/>
      <c r="U143" s="31" t="s">
        <v>45</v>
      </c>
      <c r="V143" s="140">
        <v>2.616</v>
      </c>
      <c r="W143" s="140">
        <f>$V$143*$K$143</f>
        <v>53.88960000000001</v>
      </c>
      <c r="X143" s="140">
        <v>0</v>
      </c>
      <c r="Y143" s="140">
        <f>$X$143*$K$143</f>
        <v>0</v>
      </c>
      <c r="Z143" s="140">
        <v>0.504</v>
      </c>
      <c r="AA143" s="141">
        <f>$Z$143*$K$143</f>
        <v>10.3824</v>
      </c>
      <c r="AR143" s="6" t="s">
        <v>162</v>
      </c>
      <c r="AT143" s="6" t="s">
        <v>158</v>
      </c>
      <c r="AU143" s="6" t="s">
        <v>98</v>
      </c>
      <c r="AY143" s="6" t="s">
        <v>157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21</v>
      </c>
      <c r="BK143" s="88">
        <f>ROUND($L$143*$K$143,2)</f>
        <v>0</v>
      </c>
      <c r="BL143" s="6" t="s">
        <v>162</v>
      </c>
    </row>
    <row r="144" spans="2:64" s="6" customFormat="1" ht="27" customHeight="1">
      <c r="B144" s="23"/>
      <c r="C144" s="135" t="s">
        <v>166</v>
      </c>
      <c r="D144" s="135" t="s">
        <v>158</v>
      </c>
      <c r="E144" s="136" t="s">
        <v>167</v>
      </c>
      <c r="F144" s="205" t="s">
        <v>168</v>
      </c>
      <c r="G144" s="206"/>
      <c r="H144" s="206"/>
      <c r="I144" s="206"/>
      <c r="J144" s="137" t="s">
        <v>165</v>
      </c>
      <c r="K144" s="138">
        <v>195</v>
      </c>
      <c r="L144" s="207">
        <v>0</v>
      </c>
      <c r="M144" s="206"/>
      <c r="N144" s="208">
        <f>ROUND($L$144*$K$144,2)</f>
        <v>0</v>
      </c>
      <c r="O144" s="206"/>
      <c r="P144" s="206"/>
      <c r="Q144" s="206"/>
      <c r="R144" s="25"/>
      <c r="T144" s="139"/>
      <c r="U144" s="31" t="s">
        <v>45</v>
      </c>
      <c r="V144" s="140">
        <v>0.963</v>
      </c>
      <c r="W144" s="140">
        <f>$V$144*$K$144</f>
        <v>187.785</v>
      </c>
      <c r="X144" s="140">
        <v>0</v>
      </c>
      <c r="Y144" s="140">
        <f>$X$144*$K$144</f>
        <v>0</v>
      </c>
      <c r="Z144" s="140">
        <v>0.45</v>
      </c>
      <c r="AA144" s="141">
        <f>$Z$144*$K$144</f>
        <v>87.75</v>
      </c>
      <c r="AR144" s="6" t="s">
        <v>162</v>
      </c>
      <c r="AT144" s="6" t="s">
        <v>158</v>
      </c>
      <c r="AU144" s="6" t="s">
        <v>98</v>
      </c>
      <c r="AY144" s="6" t="s">
        <v>157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6" t="s">
        <v>21</v>
      </c>
      <c r="BK144" s="88">
        <f>ROUND($L$144*$K$144,2)</f>
        <v>0</v>
      </c>
      <c r="BL144" s="6" t="s">
        <v>162</v>
      </c>
    </row>
    <row r="145" spans="2:64" s="6" customFormat="1" ht="27" customHeight="1">
      <c r="B145" s="23"/>
      <c r="C145" s="135" t="s">
        <v>162</v>
      </c>
      <c r="D145" s="135" t="s">
        <v>158</v>
      </c>
      <c r="E145" s="136" t="s">
        <v>169</v>
      </c>
      <c r="F145" s="205" t="s">
        <v>170</v>
      </c>
      <c r="G145" s="206"/>
      <c r="H145" s="206"/>
      <c r="I145" s="206"/>
      <c r="J145" s="137" t="s">
        <v>171</v>
      </c>
      <c r="K145" s="138">
        <v>429.831</v>
      </c>
      <c r="L145" s="207">
        <v>0</v>
      </c>
      <c r="M145" s="206"/>
      <c r="N145" s="208">
        <f>ROUND($L$145*$K$145,2)</f>
        <v>0</v>
      </c>
      <c r="O145" s="206"/>
      <c r="P145" s="206"/>
      <c r="Q145" s="206"/>
      <c r="R145" s="25"/>
      <c r="T145" s="139"/>
      <c r="U145" s="31" t="s">
        <v>45</v>
      </c>
      <c r="V145" s="140">
        <v>0.586</v>
      </c>
      <c r="W145" s="140">
        <f>$V$145*$K$145</f>
        <v>251.880966</v>
      </c>
      <c r="X145" s="140">
        <v>0</v>
      </c>
      <c r="Y145" s="140">
        <f>$X$145*$K$145</f>
        <v>0</v>
      </c>
      <c r="Z145" s="140">
        <v>0</v>
      </c>
      <c r="AA145" s="141">
        <f>$Z$145*$K$145</f>
        <v>0</v>
      </c>
      <c r="AR145" s="6" t="s">
        <v>162</v>
      </c>
      <c r="AT145" s="6" t="s">
        <v>158</v>
      </c>
      <c r="AU145" s="6" t="s">
        <v>98</v>
      </c>
      <c r="AY145" s="6" t="s">
        <v>157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21</v>
      </c>
      <c r="BK145" s="88">
        <f>ROUND($L$145*$K$145,2)</f>
        <v>0</v>
      </c>
      <c r="BL145" s="6" t="s">
        <v>162</v>
      </c>
    </row>
    <row r="146" spans="2:64" s="6" customFormat="1" ht="27" customHeight="1">
      <c r="B146" s="23"/>
      <c r="C146" s="135" t="s">
        <v>172</v>
      </c>
      <c r="D146" s="135" t="s">
        <v>158</v>
      </c>
      <c r="E146" s="136" t="s">
        <v>173</v>
      </c>
      <c r="F146" s="205" t="s">
        <v>174</v>
      </c>
      <c r="G146" s="206"/>
      <c r="H146" s="206"/>
      <c r="I146" s="206"/>
      <c r="J146" s="137" t="s">
        <v>171</v>
      </c>
      <c r="K146" s="138">
        <v>429.831</v>
      </c>
      <c r="L146" s="207">
        <v>0</v>
      </c>
      <c r="M146" s="206"/>
      <c r="N146" s="208">
        <f>ROUND($L$146*$K$146,2)</f>
        <v>0</v>
      </c>
      <c r="O146" s="206"/>
      <c r="P146" s="206"/>
      <c r="Q146" s="206"/>
      <c r="R146" s="25"/>
      <c r="T146" s="139"/>
      <c r="U146" s="31" t="s">
        <v>45</v>
      </c>
      <c r="V146" s="140">
        <v>0.1</v>
      </c>
      <c r="W146" s="140">
        <f>$V$146*$K$146</f>
        <v>42.98310000000001</v>
      </c>
      <c r="X146" s="140">
        <v>0</v>
      </c>
      <c r="Y146" s="140">
        <f>$X$146*$K$146</f>
        <v>0</v>
      </c>
      <c r="Z146" s="140">
        <v>0</v>
      </c>
      <c r="AA146" s="141">
        <f>$Z$146*$K$146</f>
        <v>0</v>
      </c>
      <c r="AR146" s="6" t="s">
        <v>162</v>
      </c>
      <c r="AT146" s="6" t="s">
        <v>158</v>
      </c>
      <c r="AU146" s="6" t="s">
        <v>98</v>
      </c>
      <c r="AY146" s="6" t="s">
        <v>157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6" t="s">
        <v>21</v>
      </c>
      <c r="BK146" s="88">
        <f>ROUND($L$146*$K$146,2)</f>
        <v>0</v>
      </c>
      <c r="BL146" s="6" t="s">
        <v>162</v>
      </c>
    </row>
    <row r="147" spans="2:64" s="6" customFormat="1" ht="39" customHeight="1">
      <c r="B147" s="23"/>
      <c r="C147" s="135" t="s">
        <v>175</v>
      </c>
      <c r="D147" s="135" t="s">
        <v>158</v>
      </c>
      <c r="E147" s="136" t="s">
        <v>176</v>
      </c>
      <c r="F147" s="205" t="s">
        <v>177</v>
      </c>
      <c r="G147" s="206"/>
      <c r="H147" s="206"/>
      <c r="I147" s="206"/>
      <c r="J147" s="137" t="s">
        <v>171</v>
      </c>
      <c r="K147" s="138">
        <v>12</v>
      </c>
      <c r="L147" s="207">
        <v>0</v>
      </c>
      <c r="M147" s="206"/>
      <c r="N147" s="208">
        <f>ROUND($L$147*$K$147,2)</f>
        <v>0</v>
      </c>
      <c r="O147" s="206"/>
      <c r="P147" s="206"/>
      <c r="Q147" s="206"/>
      <c r="R147" s="25"/>
      <c r="T147" s="139"/>
      <c r="U147" s="31" t="s">
        <v>45</v>
      </c>
      <c r="V147" s="140">
        <v>4.002</v>
      </c>
      <c r="W147" s="140">
        <f>$V$147*$K$147</f>
        <v>48.024</v>
      </c>
      <c r="X147" s="140">
        <v>0</v>
      </c>
      <c r="Y147" s="140">
        <f>$X$147*$K$147</f>
        <v>0</v>
      </c>
      <c r="Z147" s="140">
        <v>0</v>
      </c>
      <c r="AA147" s="141">
        <f>$Z$147*$K$147</f>
        <v>0</v>
      </c>
      <c r="AR147" s="6" t="s">
        <v>162</v>
      </c>
      <c r="AT147" s="6" t="s">
        <v>158</v>
      </c>
      <c r="AU147" s="6" t="s">
        <v>98</v>
      </c>
      <c r="AY147" s="6" t="s">
        <v>157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21</v>
      </c>
      <c r="BK147" s="88">
        <f>ROUND($L$147*$K$147,2)</f>
        <v>0</v>
      </c>
      <c r="BL147" s="6" t="s">
        <v>162</v>
      </c>
    </row>
    <row r="148" spans="2:64" s="6" customFormat="1" ht="27" customHeight="1">
      <c r="B148" s="23"/>
      <c r="C148" s="135" t="s">
        <v>178</v>
      </c>
      <c r="D148" s="135" t="s">
        <v>158</v>
      </c>
      <c r="E148" s="136" t="s">
        <v>179</v>
      </c>
      <c r="F148" s="205" t="s">
        <v>180</v>
      </c>
      <c r="G148" s="206"/>
      <c r="H148" s="206"/>
      <c r="I148" s="206"/>
      <c r="J148" s="137" t="s">
        <v>171</v>
      </c>
      <c r="K148" s="138">
        <v>59.154</v>
      </c>
      <c r="L148" s="207">
        <v>0</v>
      </c>
      <c r="M148" s="206"/>
      <c r="N148" s="208">
        <f>ROUND($L$148*$K$148,2)</f>
        <v>0</v>
      </c>
      <c r="O148" s="206"/>
      <c r="P148" s="206"/>
      <c r="Q148" s="206"/>
      <c r="R148" s="25"/>
      <c r="T148" s="139"/>
      <c r="U148" s="31" t="s">
        <v>45</v>
      </c>
      <c r="V148" s="140">
        <v>3.528</v>
      </c>
      <c r="W148" s="140">
        <f>$V$148*$K$148</f>
        <v>208.695312</v>
      </c>
      <c r="X148" s="140">
        <v>0</v>
      </c>
      <c r="Y148" s="140">
        <f>$X$148*$K$148</f>
        <v>0</v>
      </c>
      <c r="Z148" s="140">
        <v>0</v>
      </c>
      <c r="AA148" s="141">
        <f>$Z$148*$K$148</f>
        <v>0</v>
      </c>
      <c r="AR148" s="6" t="s">
        <v>162</v>
      </c>
      <c r="AT148" s="6" t="s">
        <v>158</v>
      </c>
      <c r="AU148" s="6" t="s">
        <v>98</v>
      </c>
      <c r="AY148" s="6" t="s">
        <v>157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6" t="s">
        <v>21</v>
      </c>
      <c r="BK148" s="88">
        <f>ROUND($L$148*$K$148,2)</f>
        <v>0</v>
      </c>
      <c r="BL148" s="6" t="s">
        <v>162</v>
      </c>
    </row>
    <row r="149" spans="2:64" s="6" customFormat="1" ht="27" customHeight="1">
      <c r="B149" s="23"/>
      <c r="C149" s="135" t="s">
        <v>181</v>
      </c>
      <c r="D149" s="135" t="s">
        <v>158</v>
      </c>
      <c r="E149" s="136" t="s">
        <v>182</v>
      </c>
      <c r="F149" s="205" t="s">
        <v>183</v>
      </c>
      <c r="G149" s="206"/>
      <c r="H149" s="206"/>
      <c r="I149" s="206"/>
      <c r="J149" s="137" t="s">
        <v>171</v>
      </c>
      <c r="K149" s="138">
        <v>59.154</v>
      </c>
      <c r="L149" s="207">
        <v>0</v>
      </c>
      <c r="M149" s="206"/>
      <c r="N149" s="208">
        <f>ROUND($L$149*$K$149,2)</f>
        <v>0</v>
      </c>
      <c r="O149" s="206"/>
      <c r="P149" s="206"/>
      <c r="Q149" s="206"/>
      <c r="R149" s="25"/>
      <c r="T149" s="139"/>
      <c r="U149" s="31" t="s">
        <v>45</v>
      </c>
      <c r="V149" s="140">
        <v>0.706</v>
      </c>
      <c r="W149" s="140">
        <f>$V$149*$K$149</f>
        <v>41.762724</v>
      </c>
      <c r="X149" s="140">
        <v>0</v>
      </c>
      <c r="Y149" s="140">
        <f>$X$149*$K$149</f>
        <v>0</v>
      </c>
      <c r="Z149" s="140">
        <v>0</v>
      </c>
      <c r="AA149" s="141">
        <f>$Z$149*$K$149</f>
        <v>0</v>
      </c>
      <c r="AR149" s="6" t="s">
        <v>162</v>
      </c>
      <c r="AT149" s="6" t="s">
        <v>158</v>
      </c>
      <c r="AU149" s="6" t="s">
        <v>98</v>
      </c>
      <c r="AY149" s="6" t="s">
        <v>157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6" t="s">
        <v>21</v>
      </c>
      <c r="BK149" s="88">
        <f>ROUND($L$149*$K$149,2)</f>
        <v>0</v>
      </c>
      <c r="BL149" s="6" t="s">
        <v>162</v>
      </c>
    </row>
    <row r="150" spans="2:64" s="6" customFormat="1" ht="27" customHeight="1">
      <c r="B150" s="23"/>
      <c r="C150" s="135" t="s">
        <v>184</v>
      </c>
      <c r="D150" s="135" t="s">
        <v>185</v>
      </c>
      <c r="E150" s="136" t="s">
        <v>186</v>
      </c>
      <c r="F150" s="205" t="s">
        <v>187</v>
      </c>
      <c r="G150" s="206"/>
      <c r="H150" s="206"/>
      <c r="I150" s="206"/>
      <c r="J150" s="137" t="s">
        <v>171</v>
      </c>
      <c r="K150" s="138">
        <v>224.775</v>
      </c>
      <c r="L150" s="207">
        <v>0</v>
      </c>
      <c r="M150" s="206"/>
      <c r="N150" s="208">
        <f>ROUND($L$150*$K$150,2)</f>
        <v>0</v>
      </c>
      <c r="O150" s="206"/>
      <c r="P150" s="206"/>
      <c r="Q150" s="206"/>
      <c r="R150" s="25"/>
      <c r="T150" s="139"/>
      <c r="U150" s="31" t="s">
        <v>45</v>
      </c>
      <c r="V150" s="140">
        <v>43.03</v>
      </c>
      <c r="W150" s="140">
        <f>$V$150*$K$150</f>
        <v>9672.06825</v>
      </c>
      <c r="X150" s="140">
        <v>0</v>
      </c>
      <c r="Y150" s="140">
        <f>$X$150*$K$150</f>
        <v>0</v>
      </c>
      <c r="Z150" s="140">
        <v>0</v>
      </c>
      <c r="AA150" s="141">
        <f>$Z$150*$K$150</f>
        <v>0</v>
      </c>
      <c r="AR150" s="6" t="s">
        <v>162</v>
      </c>
      <c r="AT150" s="6" t="s">
        <v>158</v>
      </c>
      <c r="AU150" s="6" t="s">
        <v>98</v>
      </c>
      <c r="AY150" s="6" t="s">
        <v>157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21</v>
      </c>
      <c r="BK150" s="88">
        <f>ROUND($L$150*$K$150,2)</f>
        <v>0</v>
      </c>
      <c r="BL150" s="6" t="s">
        <v>162</v>
      </c>
    </row>
    <row r="151" spans="2:64" s="6" customFormat="1" ht="27" customHeight="1">
      <c r="B151" s="23"/>
      <c r="C151" s="135" t="s">
        <v>188</v>
      </c>
      <c r="D151" s="135" t="s">
        <v>185</v>
      </c>
      <c r="E151" s="136" t="s">
        <v>189</v>
      </c>
      <c r="F151" s="205" t="s">
        <v>190</v>
      </c>
      <c r="G151" s="206"/>
      <c r="H151" s="206"/>
      <c r="I151" s="206"/>
      <c r="J151" s="137" t="s">
        <v>171</v>
      </c>
      <c r="K151" s="138">
        <v>380</v>
      </c>
      <c r="L151" s="207">
        <v>0</v>
      </c>
      <c r="M151" s="206"/>
      <c r="N151" s="208">
        <f>ROUND($L$151*$K$151,2)</f>
        <v>0</v>
      </c>
      <c r="O151" s="206"/>
      <c r="P151" s="206"/>
      <c r="Q151" s="206"/>
      <c r="R151" s="25"/>
      <c r="T151" s="139"/>
      <c r="U151" s="31" t="s">
        <v>45</v>
      </c>
      <c r="V151" s="140">
        <v>4.09</v>
      </c>
      <c r="W151" s="140">
        <f>$V$151*$K$151</f>
        <v>1554.2</v>
      </c>
      <c r="X151" s="140">
        <v>0</v>
      </c>
      <c r="Y151" s="140">
        <f>$X$151*$K$151</f>
        <v>0</v>
      </c>
      <c r="Z151" s="140">
        <v>0</v>
      </c>
      <c r="AA151" s="141">
        <f>$Z$151*$K$151</f>
        <v>0</v>
      </c>
      <c r="AR151" s="6" t="s">
        <v>162</v>
      </c>
      <c r="AT151" s="6" t="s">
        <v>158</v>
      </c>
      <c r="AU151" s="6" t="s">
        <v>98</v>
      </c>
      <c r="AY151" s="6" t="s">
        <v>157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21</v>
      </c>
      <c r="BK151" s="88">
        <f>ROUND($L$151*$K$151,2)</f>
        <v>0</v>
      </c>
      <c r="BL151" s="6" t="s">
        <v>162</v>
      </c>
    </row>
    <row r="152" spans="2:64" s="6" customFormat="1" ht="27" customHeight="1">
      <c r="B152" s="23"/>
      <c r="C152" s="135" t="s">
        <v>191</v>
      </c>
      <c r="D152" s="135" t="s">
        <v>185</v>
      </c>
      <c r="E152" s="136" t="s">
        <v>192</v>
      </c>
      <c r="F152" s="205" t="s">
        <v>193</v>
      </c>
      <c r="G152" s="206"/>
      <c r="H152" s="206"/>
      <c r="I152" s="206"/>
      <c r="J152" s="137" t="s">
        <v>171</v>
      </c>
      <c r="K152" s="138">
        <v>119.5</v>
      </c>
      <c r="L152" s="207">
        <v>0</v>
      </c>
      <c r="M152" s="206"/>
      <c r="N152" s="208">
        <f>ROUND($L$152*$K$152,2)</f>
        <v>0</v>
      </c>
      <c r="O152" s="206"/>
      <c r="P152" s="206"/>
      <c r="Q152" s="206"/>
      <c r="R152" s="25"/>
      <c r="T152" s="139"/>
      <c r="U152" s="31" t="s">
        <v>45</v>
      </c>
      <c r="V152" s="140">
        <v>5.76</v>
      </c>
      <c r="W152" s="140">
        <f>$V$152*$K$152</f>
        <v>688.3199999999999</v>
      </c>
      <c r="X152" s="140">
        <v>0</v>
      </c>
      <c r="Y152" s="140">
        <f>$X$152*$K$152</f>
        <v>0</v>
      </c>
      <c r="Z152" s="140">
        <v>0</v>
      </c>
      <c r="AA152" s="141">
        <f>$Z$152*$K$152</f>
        <v>0</v>
      </c>
      <c r="AR152" s="6" t="s">
        <v>162</v>
      </c>
      <c r="AT152" s="6" t="s">
        <v>158</v>
      </c>
      <c r="AU152" s="6" t="s">
        <v>98</v>
      </c>
      <c r="AY152" s="6" t="s">
        <v>157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21</v>
      </c>
      <c r="BK152" s="88">
        <f>ROUND($L$152*$K$152,2)</f>
        <v>0</v>
      </c>
      <c r="BL152" s="6" t="s">
        <v>162</v>
      </c>
    </row>
    <row r="153" spans="2:64" s="6" customFormat="1" ht="15.75" customHeight="1">
      <c r="B153" s="23"/>
      <c r="C153" s="135" t="s">
        <v>26</v>
      </c>
      <c r="D153" s="135" t="s">
        <v>185</v>
      </c>
      <c r="E153" s="136" t="s">
        <v>194</v>
      </c>
      <c r="F153" s="205" t="s">
        <v>195</v>
      </c>
      <c r="G153" s="206"/>
      <c r="H153" s="206"/>
      <c r="I153" s="206"/>
      <c r="J153" s="137" t="s">
        <v>196</v>
      </c>
      <c r="K153" s="138">
        <v>239</v>
      </c>
      <c r="L153" s="207">
        <v>0</v>
      </c>
      <c r="M153" s="206"/>
      <c r="N153" s="208">
        <f>ROUND($L$153*$K$153,2)</f>
        <v>0</v>
      </c>
      <c r="O153" s="206"/>
      <c r="P153" s="206"/>
      <c r="Q153" s="206"/>
      <c r="R153" s="25"/>
      <c r="T153" s="139"/>
      <c r="U153" s="31" t="s">
        <v>45</v>
      </c>
      <c r="V153" s="140">
        <v>0</v>
      </c>
      <c r="W153" s="140">
        <f>$V$153*$K$153</f>
        <v>0</v>
      </c>
      <c r="X153" s="140">
        <v>0</v>
      </c>
      <c r="Y153" s="140">
        <f>$X$153*$K$153</f>
        <v>0</v>
      </c>
      <c r="Z153" s="140">
        <v>0</v>
      </c>
      <c r="AA153" s="141">
        <f>$Z$153*$K$153</f>
        <v>0</v>
      </c>
      <c r="AR153" s="6" t="s">
        <v>162</v>
      </c>
      <c r="AT153" s="6" t="s">
        <v>158</v>
      </c>
      <c r="AU153" s="6" t="s">
        <v>98</v>
      </c>
      <c r="AY153" s="6" t="s">
        <v>157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6" t="s">
        <v>21</v>
      </c>
      <c r="BK153" s="88">
        <f>ROUND($L$153*$K$153,2)</f>
        <v>0</v>
      </c>
      <c r="BL153" s="6" t="s">
        <v>162</v>
      </c>
    </row>
    <row r="154" spans="2:64" s="6" customFormat="1" ht="27" customHeight="1">
      <c r="B154" s="23"/>
      <c r="C154" s="135" t="s">
        <v>197</v>
      </c>
      <c r="D154" s="135" t="s">
        <v>158</v>
      </c>
      <c r="E154" s="136" t="s">
        <v>198</v>
      </c>
      <c r="F154" s="205" t="s">
        <v>199</v>
      </c>
      <c r="G154" s="206"/>
      <c r="H154" s="206"/>
      <c r="I154" s="206"/>
      <c r="J154" s="137" t="s">
        <v>171</v>
      </c>
      <c r="K154" s="138">
        <v>380</v>
      </c>
      <c r="L154" s="207">
        <v>0</v>
      </c>
      <c r="M154" s="206"/>
      <c r="N154" s="208">
        <f>ROUND($L$154*$K$154,2)</f>
        <v>0</v>
      </c>
      <c r="O154" s="206"/>
      <c r="P154" s="206"/>
      <c r="Q154" s="206"/>
      <c r="R154" s="25"/>
      <c r="T154" s="139"/>
      <c r="U154" s="31" t="s">
        <v>45</v>
      </c>
      <c r="V154" s="140">
        <v>0</v>
      </c>
      <c r="W154" s="140">
        <f>$V$154*$K$154</f>
        <v>0</v>
      </c>
      <c r="X154" s="140">
        <v>0</v>
      </c>
      <c r="Y154" s="140">
        <f>$X$154*$K$154</f>
        <v>0</v>
      </c>
      <c r="Z154" s="140">
        <v>0</v>
      </c>
      <c r="AA154" s="141">
        <f>$Z$154*$K$154</f>
        <v>0</v>
      </c>
      <c r="AR154" s="6" t="s">
        <v>162</v>
      </c>
      <c r="AT154" s="6" t="s">
        <v>158</v>
      </c>
      <c r="AU154" s="6" t="s">
        <v>98</v>
      </c>
      <c r="AY154" s="6" t="s">
        <v>157</v>
      </c>
      <c r="BE154" s="88">
        <f>IF($U$154="základní",$N$154,0)</f>
        <v>0</v>
      </c>
      <c r="BF154" s="88">
        <f>IF($U$154="snížená",$N$154,0)</f>
        <v>0</v>
      </c>
      <c r="BG154" s="88">
        <f>IF($U$154="zákl. přenesená",$N$154,0)</f>
        <v>0</v>
      </c>
      <c r="BH154" s="88">
        <f>IF($U$154="sníž. přenesená",$N$154,0)</f>
        <v>0</v>
      </c>
      <c r="BI154" s="88">
        <f>IF($U$154="nulová",$N$154,0)</f>
        <v>0</v>
      </c>
      <c r="BJ154" s="6" t="s">
        <v>21</v>
      </c>
      <c r="BK154" s="88">
        <f>ROUND($L$154*$K$154,2)</f>
        <v>0</v>
      </c>
      <c r="BL154" s="6" t="s">
        <v>162</v>
      </c>
    </row>
    <row r="155" spans="2:64" s="6" customFormat="1" ht="27" customHeight="1">
      <c r="B155" s="23"/>
      <c r="C155" s="135" t="s">
        <v>200</v>
      </c>
      <c r="D155" s="135" t="s">
        <v>185</v>
      </c>
      <c r="E155" s="136" t="s">
        <v>201</v>
      </c>
      <c r="F155" s="205" t="s">
        <v>202</v>
      </c>
      <c r="G155" s="206"/>
      <c r="H155" s="206"/>
      <c r="I155" s="206"/>
      <c r="J155" s="137" t="s">
        <v>171</v>
      </c>
      <c r="K155" s="138">
        <v>380</v>
      </c>
      <c r="L155" s="207">
        <v>0</v>
      </c>
      <c r="M155" s="206"/>
      <c r="N155" s="208">
        <f>ROUND($L$155*$K$155,2)</f>
        <v>0</v>
      </c>
      <c r="O155" s="206"/>
      <c r="P155" s="206"/>
      <c r="Q155" s="206"/>
      <c r="R155" s="25"/>
      <c r="T155" s="139"/>
      <c r="U155" s="31" t="s">
        <v>45</v>
      </c>
      <c r="V155" s="140">
        <v>24.83</v>
      </c>
      <c r="W155" s="140">
        <f>$V$155*$K$155</f>
        <v>9435.4</v>
      </c>
      <c r="X155" s="140">
        <v>0</v>
      </c>
      <c r="Y155" s="140">
        <f>$X$155*$K$155</f>
        <v>0</v>
      </c>
      <c r="Z155" s="140">
        <v>0</v>
      </c>
      <c r="AA155" s="141">
        <f>$Z$155*$K$155</f>
        <v>0</v>
      </c>
      <c r="AR155" s="6" t="s">
        <v>162</v>
      </c>
      <c r="AT155" s="6" t="s">
        <v>158</v>
      </c>
      <c r="AU155" s="6" t="s">
        <v>98</v>
      </c>
      <c r="AY155" s="6" t="s">
        <v>157</v>
      </c>
      <c r="BE155" s="88">
        <f>IF($U$155="základní",$N$155,0)</f>
        <v>0</v>
      </c>
      <c r="BF155" s="88">
        <f>IF($U$155="snížená",$N$155,0)</f>
        <v>0</v>
      </c>
      <c r="BG155" s="88">
        <f>IF($U$155="zákl. přenesená",$N$155,0)</f>
        <v>0</v>
      </c>
      <c r="BH155" s="88">
        <f>IF($U$155="sníž. přenesená",$N$155,0)</f>
        <v>0</v>
      </c>
      <c r="BI155" s="88">
        <f>IF($U$155="nulová",$N$155,0)</f>
        <v>0</v>
      </c>
      <c r="BJ155" s="6" t="s">
        <v>21</v>
      </c>
      <c r="BK155" s="88">
        <f>ROUND($L$155*$K$155,2)</f>
        <v>0</v>
      </c>
      <c r="BL155" s="6" t="s">
        <v>162</v>
      </c>
    </row>
    <row r="156" spans="2:64" s="6" customFormat="1" ht="15.75" customHeight="1">
      <c r="B156" s="23"/>
      <c r="C156" s="135" t="s">
        <v>203</v>
      </c>
      <c r="D156" s="135" t="s">
        <v>158</v>
      </c>
      <c r="E156" s="136" t="s">
        <v>204</v>
      </c>
      <c r="F156" s="205" t="s">
        <v>205</v>
      </c>
      <c r="G156" s="206"/>
      <c r="H156" s="206"/>
      <c r="I156" s="206"/>
      <c r="J156" s="137" t="s">
        <v>171</v>
      </c>
      <c r="K156" s="138">
        <v>119.5</v>
      </c>
      <c r="L156" s="207">
        <v>0</v>
      </c>
      <c r="M156" s="206"/>
      <c r="N156" s="208">
        <f>ROUND($L$156*$K$156,2)</f>
        <v>0</v>
      </c>
      <c r="O156" s="206"/>
      <c r="P156" s="206"/>
      <c r="Q156" s="206"/>
      <c r="R156" s="25"/>
      <c r="T156" s="139"/>
      <c r="U156" s="31" t="s">
        <v>45</v>
      </c>
      <c r="V156" s="140">
        <v>0</v>
      </c>
      <c r="W156" s="140">
        <f>$V$156*$K$156</f>
        <v>0</v>
      </c>
      <c r="X156" s="140">
        <v>0</v>
      </c>
      <c r="Y156" s="140">
        <f>$X$156*$K$156</f>
        <v>0</v>
      </c>
      <c r="Z156" s="140">
        <v>0</v>
      </c>
      <c r="AA156" s="141">
        <f>$Z$156*$K$156</f>
        <v>0</v>
      </c>
      <c r="AR156" s="6" t="s">
        <v>162</v>
      </c>
      <c r="AT156" s="6" t="s">
        <v>158</v>
      </c>
      <c r="AU156" s="6" t="s">
        <v>98</v>
      </c>
      <c r="AY156" s="6" t="s">
        <v>157</v>
      </c>
      <c r="BE156" s="88">
        <f>IF($U$156="základní",$N$156,0)</f>
        <v>0</v>
      </c>
      <c r="BF156" s="88">
        <f>IF($U$156="snížená",$N$156,0)</f>
        <v>0</v>
      </c>
      <c r="BG156" s="88">
        <f>IF($U$156="zákl. přenesená",$N$156,0)</f>
        <v>0</v>
      </c>
      <c r="BH156" s="88">
        <f>IF($U$156="sníž. přenesená",$N$156,0)</f>
        <v>0</v>
      </c>
      <c r="BI156" s="88">
        <f>IF($U$156="nulová",$N$156,0)</f>
        <v>0</v>
      </c>
      <c r="BJ156" s="6" t="s">
        <v>21</v>
      </c>
      <c r="BK156" s="88">
        <f>ROUND($L$156*$K$156,2)</f>
        <v>0</v>
      </c>
      <c r="BL156" s="6" t="s">
        <v>162</v>
      </c>
    </row>
    <row r="157" spans="2:63" s="124" customFormat="1" ht="30.75" customHeight="1">
      <c r="B157" s="125"/>
      <c r="C157" s="126"/>
      <c r="D157" s="134" t="s">
        <v>112</v>
      </c>
      <c r="E157" s="126"/>
      <c r="F157" s="126"/>
      <c r="G157" s="126"/>
      <c r="H157" s="126"/>
      <c r="I157" s="126"/>
      <c r="J157" s="126"/>
      <c r="K157" s="126"/>
      <c r="L157" s="126"/>
      <c r="M157" s="126"/>
      <c r="N157" s="217">
        <f>$BK$157</f>
        <v>0</v>
      </c>
      <c r="O157" s="216"/>
      <c r="P157" s="216"/>
      <c r="Q157" s="216"/>
      <c r="R157" s="128"/>
      <c r="T157" s="129"/>
      <c r="U157" s="126"/>
      <c r="V157" s="126"/>
      <c r="W157" s="130">
        <f>SUM($W$158:$W$168)</f>
        <v>3854.3928499999993</v>
      </c>
      <c r="X157" s="126"/>
      <c r="Y157" s="130">
        <f>SUM($Y$158:$Y$168)</f>
        <v>376.69021029</v>
      </c>
      <c r="Z157" s="126"/>
      <c r="AA157" s="131">
        <f>SUM($AA$158:$AA$168)</f>
        <v>0</v>
      </c>
      <c r="AR157" s="132" t="s">
        <v>21</v>
      </c>
      <c r="AT157" s="132" t="s">
        <v>79</v>
      </c>
      <c r="AU157" s="132" t="s">
        <v>21</v>
      </c>
      <c r="AY157" s="132" t="s">
        <v>157</v>
      </c>
      <c r="BK157" s="133">
        <f>SUM($BK$158:$BK$168)</f>
        <v>0</v>
      </c>
    </row>
    <row r="158" spans="2:64" s="6" customFormat="1" ht="27" customHeight="1">
      <c r="B158" s="23"/>
      <c r="C158" s="135" t="s">
        <v>206</v>
      </c>
      <c r="D158" s="135" t="s">
        <v>185</v>
      </c>
      <c r="E158" s="136" t="s">
        <v>207</v>
      </c>
      <c r="F158" s="205" t="s">
        <v>208</v>
      </c>
      <c r="G158" s="206"/>
      <c r="H158" s="206"/>
      <c r="I158" s="206"/>
      <c r="J158" s="137" t="s">
        <v>209</v>
      </c>
      <c r="K158" s="138">
        <v>52</v>
      </c>
      <c r="L158" s="207">
        <v>0</v>
      </c>
      <c r="M158" s="206"/>
      <c r="N158" s="208">
        <f>ROUND($L$158*$K$158,2)</f>
        <v>0</v>
      </c>
      <c r="O158" s="206"/>
      <c r="P158" s="206"/>
      <c r="Q158" s="206"/>
      <c r="R158" s="25"/>
      <c r="T158" s="139"/>
      <c r="U158" s="31" t="s">
        <v>45</v>
      </c>
      <c r="V158" s="140">
        <v>19.07</v>
      </c>
      <c r="W158" s="140">
        <f>$V$158*$K$158</f>
        <v>991.64</v>
      </c>
      <c r="X158" s="140">
        <v>0</v>
      </c>
      <c r="Y158" s="140">
        <f>$X$158*$K$158</f>
        <v>0</v>
      </c>
      <c r="Z158" s="140">
        <v>0</v>
      </c>
      <c r="AA158" s="141">
        <f>$Z$158*$K$158</f>
        <v>0</v>
      </c>
      <c r="AR158" s="6" t="s">
        <v>162</v>
      </c>
      <c r="AT158" s="6" t="s">
        <v>158</v>
      </c>
      <c r="AU158" s="6" t="s">
        <v>98</v>
      </c>
      <c r="AY158" s="6" t="s">
        <v>157</v>
      </c>
      <c r="BE158" s="88">
        <f>IF($U$158="základní",$N$158,0)</f>
        <v>0</v>
      </c>
      <c r="BF158" s="88">
        <f>IF($U$158="snížená",$N$158,0)</f>
        <v>0</v>
      </c>
      <c r="BG158" s="88">
        <f>IF($U$158="zákl. přenesená",$N$158,0)</f>
        <v>0</v>
      </c>
      <c r="BH158" s="88">
        <f>IF($U$158="sníž. přenesená",$N$158,0)</f>
        <v>0</v>
      </c>
      <c r="BI158" s="88">
        <f>IF($U$158="nulová",$N$158,0)</f>
        <v>0</v>
      </c>
      <c r="BJ158" s="6" t="s">
        <v>21</v>
      </c>
      <c r="BK158" s="88">
        <f>ROUND($L$158*$K$158,2)</f>
        <v>0</v>
      </c>
      <c r="BL158" s="6" t="s">
        <v>162</v>
      </c>
    </row>
    <row r="159" spans="2:64" s="6" customFormat="1" ht="27" customHeight="1">
      <c r="B159" s="23"/>
      <c r="C159" s="135" t="s">
        <v>8</v>
      </c>
      <c r="D159" s="135" t="s">
        <v>158</v>
      </c>
      <c r="E159" s="136" t="s">
        <v>210</v>
      </c>
      <c r="F159" s="205" t="s">
        <v>211</v>
      </c>
      <c r="G159" s="206"/>
      <c r="H159" s="206"/>
      <c r="I159" s="206"/>
      <c r="J159" s="137" t="s">
        <v>165</v>
      </c>
      <c r="K159" s="138">
        <v>450</v>
      </c>
      <c r="L159" s="207">
        <v>0</v>
      </c>
      <c r="M159" s="206"/>
      <c r="N159" s="208">
        <f>ROUND($L$159*$K$159,2)</f>
        <v>0</v>
      </c>
      <c r="O159" s="206"/>
      <c r="P159" s="206"/>
      <c r="Q159" s="206"/>
      <c r="R159" s="25"/>
      <c r="T159" s="139"/>
      <c r="U159" s="31" t="s">
        <v>45</v>
      </c>
      <c r="V159" s="140">
        <v>0</v>
      </c>
      <c r="W159" s="140">
        <f>$V$159*$K$159</f>
        <v>0</v>
      </c>
      <c r="X159" s="140">
        <v>0</v>
      </c>
      <c r="Y159" s="140">
        <f>$X$159*$K$159</f>
        <v>0</v>
      </c>
      <c r="Z159" s="140">
        <v>0</v>
      </c>
      <c r="AA159" s="141">
        <f>$Z$159*$K$159</f>
        <v>0</v>
      </c>
      <c r="AR159" s="6" t="s">
        <v>162</v>
      </c>
      <c r="AT159" s="6" t="s">
        <v>158</v>
      </c>
      <c r="AU159" s="6" t="s">
        <v>98</v>
      </c>
      <c r="AY159" s="6" t="s">
        <v>157</v>
      </c>
      <c r="BE159" s="88">
        <f>IF($U$159="základní",$N$159,0)</f>
        <v>0</v>
      </c>
      <c r="BF159" s="88">
        <f>IF($U$159="snížená",$N$159,0)</f>
        <v>0</v>
      </c>
      <c r="BG159" s="88">
        <f>IF($U$159="zákl. přenesená",$N$159,0)</f>
        <v>0</v>
      </c>
      <c r="BH159" s="88">
        <f>IF($U$159="sníž. přenesená",$N$159,0)</f>
        <v>0</v>
      </c>
      <c r="BI159" s="88">
        <f>IF($U$159="nulová",$N$159,0)</f>
        <v>0</v>
      </c>
      <c r="BJ159" s="6" t="s">
        <v>21</v>
      </c>
      <c r="BK159" s="88">
        <f>ROUND($L$159*$K$159,2)</f>
        <v>0</v>
      </c>
      <c r="BL159" s="6" t="s">
        <v>162</v>
      </c>
    </row>
    <row r="160" spans="2:64" s="6" customFormat="1" ht="27" customHeight="1">
      <c r="B160" s="23"/>
      <c r="C160" s="135" t="s">
        <v>212</v>
      </c>
      <c r="D160" s="135" t="s">
        <v>185</v>
      </c>
      <c r="E160" s="136" t="s">
        <v>213</v>
      </c>
      <c r="F160" s="205" t="s">
        <v>214</v>
      </c>
      <c r="G160" s="206"/>
      <c r="H160" s="206"/>
      <c r="I160" s="206"/>
      <c r="J160" s="137" t="s">
        <v>171</v>
      </c>
      <c r="K160" s="138">
        <v>30</v>
      </c>
      <c r="L160" s="207">
        <v>0</v>
      </c>
      <c r="M160" s="206"/>
      <c r="N160" s="208">
        <f>ROUND($L$160*$K$160,2)</f>
        <v>0</v>
      </c>
      <c r="O160" s="206"/>
      <c r="P160" s="206"/>
      <c r="Q160" s="206"/>
      <c r="R160" s="25"/>
      <c r="T160" s="139"/>
      <c r="U160" s="31" t="s">
        <v>45</v>
      </c>
      <c r="V160" s="140">
        <v>81.66</v>
      </c>
      <c r="W160" s="140">
        <f>$V$160*$K$160</f>
        <v>2449.7999999999997</v>
      </c>
      <c r="X160" s="140">
        <v>0</v>
      </c>
      <c r="Y160" s="140">
        <f>$X$160*$K$160</f>
        <v>0</v>
      </c>
      <c r="Z160" s="140">
        <v>0</v>
      </c>
      <c r="AA160" s="141">
        <f>$Z$160*$K$160</f>
        <v>0</v>
      </c>
      <c r="AR160" s="6" t="s">
        <v>162</v>
      </c>
      <c r="AT160" s="6" t="s">
        <v>158</v>
      </c>
      <c r="AU160" s="6" t="s">
        <v>98</v>
      </c>
      <c r="AY160" s="6" t="s">
        <v>157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21</v>
      </c>
      <c r="BK160" s="88">
        <f>ROUND($L$160*$K$160,2)</f>
        <v>0</v>
      </c>
      <c r="BL160" s="6" t="s">
        <v>162</v>
      </c>
    </row>
    <row r="161" spans="2:64" s="6" customFormat="1" ht="27" customHeight="1">
      <c r="B161" s="23"/>
      <c r="C161" s="135" t="s">
        <v>215</v>
      </c>
      <c r="D161" s="135" t="s">
        <v>158</v>
      </c>
      <c r="E161" s="136" t="s">
        <v>216</v>
      </c>
      <c r="F161" s="205" t="s">
        <v>217</v>
      </c>
      <c r="G161" s="206"/>
      <c r="H161" s="206"/>
      <c r="I161" s="206"/>
      <c r="J161" s="137" t="s">
        <v>171</v>
      </c>
      <c r="K161" s="138">
        <v>72.4</v>
      </c>
      <c r="L161" s="207">
        <v>0</v>
      </c>
      <c r="M161" s="206"/>
      <c r="N161" s="208">
        <f>ROUND($L$161*$K$161,2)</f>
        <v>0</v>
      </c>
      <c r="O161" s="206"/>
      <c r="P161" s="206"/>
      <c r="Q161" s="206"/>
      <c r="R161" s="25"/>
      <c r="T161" s="139"/>
      <c r="U161" s="31" t="s">
        <v>45</v>
      </c>
      <c r="V161" s="140">
        <v>0</v>
      </c>
      <c r="W161" s="140">
        <f>$V$161*$K$161</f>
        <v>0</v>
      </c>
      <c r="X161" s="140">
        <v>0</v>
      </c>
      <c r="Y161" s="140">
        <f>$X$161*$K$161</f>
        <v>0</v>
      </c>
      <c r="Z161" s="140">
        <v>0</v>
      </c>
      <c r="AA161" s="141">
        <f>$Z$161*$K$161</f>
        <v>0</v>
      </c>
      <c r="AR161" s="6" t="s">
        <v>162</v>
      </c>
      <c r="AT161" s="6" t="s">
        <v>158</v>
      </c>
      <c r="AU161" s="6" t="s">
        <v>98</v>
      </c>
      <c r="AY161" s="6" t="s">
        <v>157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6" t="s">
        <v>21</v>
      </c>
      <c r="BK161" s="88">
        <f>ROUND($L$161*$K$161,2)</f>
        <v>0</v>
      </c>
      <c r="BL161" s="6" t="s">
        <v>162</v>
      </c>
    </row>
    <row r="162" spans="2:64" s="6" customFormat="1" ht="27" customHeight="1">
      <c r="B162" s="23"/>
      <c r="C162" s="135" t="s">
        <v>218</v>
      </c>
      <c r="D162" s="135" t="s">
        <v>158</v>
      </c>
      <c r="E162" s="136" t="s">
        <v>219</v>
      </c>
      <c r="F162" s="205" t="s">
        <v>220</v>
      </c>
      <c r="G162" s="206"/>
      <c r="H162" s="206"/>
      <c r="I162" s="206"/>
      <c r="J162" s="137" t="s">
        <v>171</v>
      </c>
      <c r="K162" s="138">
        <v>47.5</v>
      </c>
      <c r="L162" s="207">
        <v>0</v>
      </c>
      <c r="M162" s="206"/>
      <c r="N162" s="208">
        <f>ROUND($L$162*$K$162,2)</f>
        <v>0</v>
      </c>
      <c r="O162" s="206"/>
      <c r="P162" s="206"/>
      <c r="Q162" s="206"/>
      <c r="R162" s="25"/>
      <c r="T162" s="139"/>
      <c r="U162" s="31" t="s">
        <v>45</v>
      </c>
      <c r="V162" s="140">
        <v>0</v>
      </c>
      <c r="W162" s="140">
        <f>$V$162*$K$162</f>
        <v>0</v>
      </c>
      <c r="X162" s="140">
        <v>0</v>
      </c>
      <c r="Y162" s="140">
        <f>$X$162*$K$162</f>
        <v>0</v>
      </c>
      <c r="Z162" s="140">
        <v>0</v>
      </c>
      <c r="AA162" s="141">
        <f>$Z$162*$K$162</f>
        <v>0</v>
      </c>
      <c r="AR162" s="6" t="s">
        <v>162</v>
      </c>
      <c r="AT162" s="6" t="s">
        <v>158</v>
      </c>
      <c r="AU162" s="6" t="s">
        <v>98</v>
      </c>
      <c r="AY162" s="6" t="s">
        <v>157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6" t="s">
        <v>21</v>
      </c>
      <c r="BK162" s="88">
        <f>ROUND($L$162*$K$162,2)</f>
        <v>0</v>
      </c>
      <c r="BL162" s="6" t="s">
        <v>162</v>
      </c>
    </row>
    <row r="163" spans="2:64" s="6" customFormat="1" ht="15.75" customHeight="1">
      <c r="B163" s="23"/>
      <c r="C163" s="135" t="s">
        <v>7</v>
      </c>
      <c r="D163" s="135" t="s">
        <v>158</v>
      </c>
      <c r="E163" s="136" t="s">
        <v>221</v>
      </c>
      <c r="F163" s="205" t="s">
        <v>222</v>
      </c>
      <c r="G163" s="206"/>
      <c r="H163" s="206"/>
      <c r="I163" s="206"/>
      <c r="J163" s="137" t="s">
        <v>171</v>
      </c>
      <c r="K163" s="138">
        <v>127.74</v>
      </c>
      <c r="L163" s="207">
        <v>0</v>
      </c>
      <c r="M163" s="206"/>
      <c r="N163" s="208">
        <f>ROUND($L$163*$K$163,2)</f>
        <v>0</v>
      </c>
      <c r="O163" s="206"/>
      <c r="P163" s="206"/>
      <c r="Q163" s="206"/>
      <c r="R163" s="25"/>
      <c r="T163" s="139"/>
      <c r="U163" s="31" t="s">
        <v>45</v>
      </c>
      <c r="V163" s="140">
        <v>0.584</v>
      </c>
      <c r="W163" s="140">
        <f>$V$163*$K$163</f>
        <v>74.60015999999999</v>
      </c>
      <c r="X163" s="140">
        <v>2.45329</v>
      </c>
      <c r="Y163" s="140">
        <f>$X$163*$K$163</f>
        <v>313.38326459999996</v>
      </c>
      <c r="Z163" s="140">
        <v>0</v>
      </c>
      <c r="AA163" s="141">
        <f>$Z$163*$K$163</f>
        <v>0</v>
      </c>
      <c r="AR163" s="6" t="s">
        <v>162</v>
      </c>
      <c r="AT163" s="6" t="s">
        <v>158</v>
      </c>
      <c r="AU163" s="6" t="s">
        <v>98</v>
      </c>
      <c r="AY163" s="6" t="s">
        <v>157</v>
      </c>
      <c r="BE163" s="88">
        <f>IF($U$163="základní",$N$163,0)</f>
        <v>0</v>
      </c>
      <c r="BF163" s="88">
        <f>IF($U$163="snížená",$N$163,0)</f>
        <v>0</v>
      </c>
      <c r="BG163" s="88">
        <f>IF($U$163="zákl. přenesená",$N$163,0)</f>
        <v>0</v>
      </c>
      <c r="BH163" s="88">
        <f>IF($U$163="sníž. přenesená",$N$163,0)</f>
        <v>0</v>
      </c>
      <c r="BI163" s="88">
        <f>IF($U$163="nulová",$N$163,0)</f>
        <v>0</v>
      </c>
      <c r="BJ163" s="6" t="s">
        <v>21</v>
      </c>
      <c r="BK163" s="88">
        <f>ROUND($L$163*$K$163,2)</f>
        <v>0</v>
      </c>
      <c r="BL163" s="6" t="s">
        <v>162</v>
      </c>
    </row>
    <row r="164" spans="2:64" s="6" customFormat="1" ht="15.75" customHeight="1">
      <c r="B164" s="23"/>
      <c r="C164" s="135" t="s">
        <v>223</v>
      </c>
      <c r="D164" s="135" t="s">
        <v>158</v>
      </c>
      <c r="E164" s="136" t="s">
        <v>224</v>
      </c>
      <c r="F164" s="205" t="s">
        <v>225</v>
      </c>
      <c r="G164" s="206"/>
      <c r="H164" s="206"/>
      <c r="I164" s="206"/>
      <c r="J164" s="137" t="s">
        <v>165</v>
      </c>
      <c r="K164" s="138">
        <v>93.18</v>
      </c>
      <c r="L164" s="207">
        <v>0</v>
      </c>
      <c r="M164" s="206"/>
      <c r="N164" s="208">
        <f>ROUND($L$164*$K$164,2)</f>
        <v>0</v>
      </c>
      <c r="O164" s="206"/>
      <c r="P164" s="206"/>
      <c r="Q164" s="206"/>
      <c r="R164" s="25"/>
      <c r="T164" s="139"/>
      <c r="U164" s="31" t="s">
        <v>45</v>
      </c>
      <c r="V164" s="140">
        <v>0.364</v>
      </c>
      <c r="W164" s="140">
        <f>$V$164*$K$164</f>
        <v>33.91752</v>
      </c>
      <c r="X164" s="140">
        <v>0.00103</v>
      </c>
      <c r="Y164" s="140">
        <f>$X$164*$K$164</f>
        <v>0.09597540000000002</v>
      </c>
      <c r="Z164" s="140">
        <v>0</v>
      </c>
      <c r="AA164" s="141">
        <f>$Z$164*$K$164</f>
        <v>0</v>
      </c>
      <c r="AR164" s="6" t="s">
        <v>162</v>
      </c>
      <c r="AT164" s="6" t="s">
        <v>158</v>
      </c>
      <c r="AU164" s="6" t="s">
        <v>98</v>
      </c>
      <c r="AY164" s="6" t="s">
        <v>157</v>
      </c>
      <c r="BE164" s="88">
        <f>IF($U$164="základní",$N$164,0)</f>
        <v>0</v>
      </c>
      <c r="BF164" s="88">
        <f>IF($U$164="snížená",$N$164,0)</f>
        <v>0</v>
      </c>
      <c r="BG164" s="88">
        <f>IF($U$164="zákl. přenesená",$N$164,0)</f>
        <v>0</v>
      </c>
      <c r="BH164" s="88">
        <f>IF($U$164="sníž. přenesená",$N$164,0)</f>
        <v>0</v>
      </c>
      <c r="BI164" s="88">
        <f>IF($U$164="nulová",$N$164,0)</f>
        <v>0</v>
      </c>
      <c r="BJ164" s="6" t="s">
        <v>21</v>
      </c>
      <c r="BK164" s="88">
        <f>ROUND($L$164*$K$164,2)</f>
        <v>0</v>
      </c>
      <c r="BL164" s="6" t="s">
        <v>162</v>
      </c>
    </row>
    <row r="165" spans="2:64" s="6" customFormat="1" ht="15.75" customHeight="1">
      <c r="B165" s="23"/>
      <c r="C165" s="135" t="s">
        <v>226</v>
      </c>
      <c r="D165" s="135" t="s">
        <v>158</v>
      </c>
      <c r="E165" s="136" t="s">
        <v>227</v>
      </c>
      <c r="F165" s="205" t="s">
        <v>228</v>
      </c>
      <c r="G165" s="206"/>
      <c r="H165" s="206"/>
      <c r="I165" s="206"/>
      <c r="J165" s="137" t="s">
        <v>165</v>
      </c>
      <c r="K165" s="138">
        <v>93.18</v>
      </c>
      <c r="L165" s="207">
        <v>0</v>
      </c>
      <c r="M165" s="206"/>
      <c r="N165" s="208">
        <f>ROUND($L$165*$K$165,2)</f>
        <v>0</v>
      </c>
      <c r="O165" s="206"/>
      <c r="P165" s="206"/>
      <c r="Q165" s="206"/>
      <c r="R165" s="25"/>
      <c r="T165" s="139"/>
      <c r="U165" s="31" t="s">
        <v>45</v>
      </c>
      <c r="V165" s="140">
        <v>0.201</v>
      </c>
      <c r="W165" s="140">
        <f>$V$165*$K$165</f>
        <v>18.729180000000003</v>
      </c>
      <c r="X165" s="140">
        <v>0</v>
      </c>
      <c r="Y165" s="140">
        <f>$X$165*$K$165</f>
        <v>0</v>
      </c>
      <c r="Z165" s="140">
        <v>0</v>
      </c>
      <c r="AA165" s="141">
        <f>$Z$165*$K$165</f>
        <v>0</v>
      </c>
      <c r="AR165" s="6" t="s">
        <v>162</v>
      </c>
      <c r="AT165" s="6" t="s">
        <v>158</v>
      </c>
      <c r="AU165" s="6" t="s">
        <v>98</v>
      </c>
      <c r="AY165" s="6" t="s">
        <v>157</v>
      </c>
      <c r="BE165" s="88">
        <f>IF($U$165="základní",$N$165,0)</f>
        <v>0</v>
      </c>
      <c r="BF165" s="88">
        <f>IF($U$165="snížená",$N$165,0)</f>
        <v>0</v>
      </c>
      <c r="BG165" s="88">
        <f>IF($U$165="zákl. přenesená",$N$165,0)</f>
        <v>0</v>
      </c>
      <c r="BH165" s="88">
        <f>IF($U$165="sníž. přenesená",$N$165,0)</f>
        <v>0</v>
      </c>
      <c r="BI165" s="88">
        <f>IF($U$165="nulová",$N$165,0)</f>
        <v>0</v>
      </c>
      <c r="BJ165" s="6" t="s">
        <v>21</v>
      </c>
      <c r="BK165" s="88">
        <f>ROUND($L$165*$K$165,2)</f>
        <v>0</v>
      </c>
      <c r="BL165" s="6" t="s">
        <v>162</v>
      </c>
    </row>
    <row r="166" spans="2:64" s="6" customFormat="1" ht="27" customHeight="1">
      <c r="B166" s="23"/>
      <c r="C166" s="135" t="s">
        <v>229</v>
      </c>
      <c r="D166" s="135" t="s">
        <v>158</v>
      </c>
      <c r="E166" s="136" t="s">
        <v>230</v>
      </c>
      <c r="F166" s="205" t="s">
        <v>231</v>
      </c>
      <c r="G166" s="206"/>
      <c r="H166" s="206"/>
      <c r="I166" s="206"/>
      <c r="J166" s="137" t="s">
        <v>232</v>
      </c>
      <c r="K166" s="138">
        <v>12</v>
      </c>
      <c r="L166" s="207">
        <v>0</v>
      </c>
      <c r="M166" s="206"/>
      <c r="N166" s="208">
        <f>ROUND($L$166*$K$166,2)</f>
        <v>0</v>
      </c>
      <c r="O166" s="206"/>
      <c r="P166" s="206"/>
      <c r="Q166" s="206"/>
      <c r="R166" s="25"/>
      <c r="T166" s="139"/>
      <c r="U166" s="31" t="s">
        <v>45</v>
      </c>
      <c r="V166" s="140">
        <v>0</v>
      </c>
      <c r="W166" s="140">
        <f>$V$166*$K$166</f>
        <v>0</v>
      </c>
      <c r="X166" s="140">
        <v>0</v>
      </c>
      <c r="Y166" s="140">
        <f>$X$166*$K$166</f>
        <v>0</v>
      </c>
      <c r="Z166" s="140">
        <v>0</v>
      </c>
      <c r="AA166" s="141">
        <f>$Z$166*$K$166</f>
        <v>0</v>
      </c>
      <c r="AR166" s="6" t="s">
        <v>162</v>
      </c>
      <c r="AT166" s="6" t="s">
        <v>158</v>
      </c>
      <c r="AU166" s="6" t="s">
        <v>98</v>
      </c>
      <c r="AY166" s="6" t="s">
        <v>157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6" t="s">
        <v>21</v>
      </c>
      <c r="BK166" s="88">
        <f>ROUND($L$166*$K$166,2)</f>
        <v>0</v>
      </c>
      <c r="BL166" s="6" t="s">
        <v>162</v>
      </c>
    </row>
    <row r="167" spans="2:64" s="6" customFormat="1" ht="27" customHeight="1">
      <c r="B167" s="23"/>
      <c r="C167" s="135" t="s">
        <v>233</v>
      </c>
      <c r="D167" s="135" t="s">
        <v>158</v>
      </c>
      <c r="E167" s="136" t="s">
        <v>234</v>
      </c>
      <c r="F167" s="205" t="s">
        <v>235</v>
      </c>
      <c r="G167" s="206"/>
      <c r="H167" s="206"/>
      <c r="I167" s="206"/>
      <c r="J167" s="137" t="s">
        <v>165</v>
      </c>
      <c r="K167" s="138">
        <v>83.67</v>
      </c>
      <c r="L167" s="207">
        <v>0</v>
      </c>
      <c r="M167" s="206"/>
      <c r="N167" s="208">
        <f>ROUND($L$167*$K$167,2)</f>
        <v>0</v>
      </c>
      <c r="O167" s="206"/>
      <c r="P167" s="206"/>
      <c r="Q167" s="206"/>
      <c r="R167" s="25"/>
      <c r="T167" s="139"/>
      <c r="U167" s="31" t="s">
        <v>45</v>
      </c>
      <c r="V167" s="140">
        <v>0.94</v>
      </c>
      <c r="W167" s="140">
        <f>$V$167*$K$167</f>
        <v>78.6498</v>
      </c>
      <c r="X167" s="140">
        <v>0.67489</v>
      </c>
      <c r="Y167" s="140">
        <f>$X$167*$K$167</f>
        <v>56.4680463</v>
      </c>
      <c r="Z167" s="140">
        <v>0</v>
      </c>
      <c r="AA167" s="141">
        <f>$Z$167*$K$167</f>
        <v>0</v>
      </c>
      <c r="AR167" s="6" t="s">
        <v>162</v>
      </c>
      <c r="AT167" s="6" t="s">
        <v>158</v>
      </c>
      <c r="AU167" s="6" t="s">
        <v>98</v>
      </c>
      <c r="AY167" s="6" t="s">
        <v>157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6" t="s">
        <v>21</v>
      </c>
      <c r="BK167" s="88">
        <f>ROUND($L$167*$K$167,2)</f>
        <v>0</v>
      </c>
      <c r="BL167" s="6" t="s">
        <v>162</v>
      </c>
    </row>
    <row r="168" spans="2:64" s="6" customFormat="1" ht="27" customHeight="1">
      <c r="B168" s="23"/>
      <c r="C168" s="135" t="s">
        <v>236</v>
      </c>
      <c r="D168" s="135" t="s">
        <v>158</v>
      </c>
      <c r="E168" s="136" t="s">
        <v>237</v>
      </c>
      <c r="F168" s="205" t="s">
        <v>238</v>
      </c>
      <c r="G168" s="206"/>
      <c r="H168" s="206"/>
      <c r="I168" s="206"/>
      <c r="J168" s="137" t="s">
        <v>196</v>
      </c>
      <c r="K168" s="138">
        <v>6.369</v>
      </c>
      <c r="L168" s="207">
        <v>0</v>
      </c>
      <c r="M168" s="206"/>
      <c r="N168" s="208">
        <f>ROUND($L$168*$K$168,2)</f>
        <v>0</v>
      </c>
      <c r="O168" s="206"/>
      <c r="P168" s="206"/>
      <c r="Q168" s="206"/>
      <c r="R168" s="25"/>
      <c r="T168" s="139"/>
      <c r="U168" s="31" t="s">
        <v>45</v>
      </c>
      <c r="V168" s="140">
        <v>32.51</v>
      </c>
      <c r="W168" s="140">
        <f>$V$168*$K$168</f>
        <v>207.05619</v>
      </c>
      <c r="X168" s="140">
        <v>1.05871</v>
      </c>
      <c r="Y168" s="140">
        <f>$X$168*$K$168</f>
        <v>6.74292399</v>
      </c>
      <c r="Z168" s="140">
        <v>0</v>
      </c>
      <c r="AA168" s="141">
        <f>$Z$168*$K$168</f>
        <v>0</v>
      </c>
      <c r="AR168" s="6" t="s">
        <v>162</v>
      </c>
      <c r="AT168" s="6" t="s">
        <v>158</v>
      </c>
      <c r="AU168" s="6" t="s">
        <v>98</v>
      </c>
      <c r="AY168" s="6" t="s">
        <v>157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21</v>
      </c>
      <c r="BK168" s="88">
        <f>ROUND($L$168*$K$168,2)</f>
        <v>0</v>
      </c>
      <c r="BL168" s="6" t="s">
        <v>162</v>
      </c>
    </row>
    <row r="169" spans="2:63" s="124" customFormat="1" ht="30.75" customHeight="1">
      <c r="B169" s="125"/>
      <c r="C169" s="126"/>
      <c r="D169" s="134" t="s">
        <v>113</v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217">
        <f>$BK$169</f>
        <v>0</v>
      </c>
      <c r="O169" s="216"/>
      <c r="P169" s="216"/>
      <c r="Q169" s="216"/>
      <c r="R169" s="128"/>
      <c r="T169" s="129"/>
      <c r="U169" s="126"/>
      <c r="V169" s="126"/>
      <c r="W169" s="130">
        <f>SUM($W$170:$W$178)</f>
        <v>1493.434552</v>
      </c>
      <c r="X169" s="126"/>
      <c r="Y169" s="130">
        <f>SUM($Y$170:$Y$178)</f>
        <v>162.11243892</v>
      </c>
      <c r="Z169" s="126"/>
      <c r="AA169" s="131">
        <f>SUM($AA$170:$AA$178)</f>
        <v>0</v>
      </c>
      <c r="AR169" s="132" t="s">
        <v>21</v>
      </c>
      <c r="AT169" s="132" t="s">
        <v>79</v>
      </c>
      <c r="AU169" s="132" t="s">
        <v>21</v>
      </c>
      <c r="AY169" s="132" t="s">
        <v>157</v>
      </c>
      <c r="BK169" s="133">
        <f>SUM($BK$170:$BK$178)</f>
        <v>0</v>
      </c>
    </row>
    <row r="170" spans="2:64" s="6" customFormat="1" ht="27" customHeight="1">
      <c r="B170" s="23"/>
      <c r="C170" s="135" t="s">
        <v>239</v>
      </c>
      <c r="D170" s="135" t="s">
        <v>158</v>
      </c>
      <c r="E170" s="136" t="s">
        <v>240</v>
      </c>
      <c r="F170" s="205" t="s">
        <v>241</v>
      </c>
      <c r="G170" s="206"/>
      <c r="H170" s="206"/>
      <c r="I170" s="206"/>
      <c r="J170" s="137" t="s">
        <v>165</v>
      </c>
      <c r="K170" s="138">
        <v>12.75</v>
      </c>
      <c r="L170" s="207">
        <v>0</v>
      </c>
      <c r="M170" s="206"/>
      <c r="N170" s="208">
        <f>ROUND($L$170*$K$170,2)</f>
        <v>0</v>
      </c>
      <c r="O170" s="206"/>
      <c r="P170" s="206"/>
      <c r="Q170" s="206"/>
      <c r="R170" s="25"/>
      <c r="T170" s="139"/>
      <c r="U170" s="31" t="s">
        <v>45</v>
      </c>
      <c r="V170" s="140">
        <v>0.95</v>
      </c>
      <c r="W170" s="140">
        <f>$V$170*$K$170</f>
        <v>12.112499999999999</v>
      </c>
      <c r="X170" s="140">
        <v>0.27173</v>
      </c>
      <c r="Y170" s="140">
        <f>$X$170*$K$170</f>
        <v>3.4645575</v>
      </c>
      <c r="Z170" s="140">
        <v>0</v>
      </c>
      <c r="AA170" s="141">
        <f>$Z$170*$K$170</f>
        <v>0</v>
      </c>
      <c r="AR170" s="6" t="s">
        <v>162</v>
      </c>
      <c r="AT170" s="6" t="s">
        <v>158</v>
      </c>
      <c r="AU170" s="6" t="s">
        <v>98</v>
      </c>
      <c r="AY170" s="6" t="s">
        <v>157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21</v>
      </c>
      <c r="BK170" s="88">
        <f>ROUND($L$170*$K$170,2)</f>
        <v>0</v>
      </c>
      <c r="BL170" s="6" t="s">
        <v>162</v>
      </c>
    </row>
    <row r="171" spans="2:64" s="6" customFormat="1" ht="27" customHeight="1">
      <c r="B171" s="23"/>
      <c r="C171" s="135" t="s">
        <v>242</v>
      </c>
      <c r="D171" s="135" t="s">
        <v>158</v>
      </c>
      <c r="E171" s="136" t="s">
        <v>243</v>
      </c>
      <c r="F171" s="205" t="s">
        <v>244</v>
      </c>
      <c r="G171" s="206"/>
      <c r="H171" s="206"/>
      <c r="I171" s="206"/>
      <c r="J171" s="137" t="s">
        <v>165</v>
      </c>
      <c r="K171" s="138">
        <v>196.26</v>
      </c>
      <c r="L171" s="207">
        <v>0</v>
      </c>
      <c r="M171" s="206"/>
      <c r="N171" s="208">
        <f>ROUND($L$171*$K$171,2)</f>
        <v>0</v>
      </c>
      <c r="O171" s="206"/>
      <c r="P171" s="206"/>
      <c r="Q171" s="206"/>
      <c r="R171" s="25"/>
      <c r="T171" s="139"/>
      <c r="U171" s="31" t="s">
        <v>45</v>
      </c>
      <c r="V171" s="140">
        <v>1.04</v>
      </c>
      <c r="W171" s="140">
        <f>$V$171*$K$171</f>
        <v>204.1104</v>
      </c>
      <c r="X171" s="140">
        <v>0.32037</v>
      </c>
      <c r="Y171" s="140">
        <f>$X$171*$K$171</f>
        <v>62.875816199999996</v>
      </c>
      <c r="Z171" s="140">
        <v>0</v>
      </c>
      <c r="AA171" s="141">
        <f>$Z$171*$K$171</f>
        <v>0</v>
      </c>
      <c r="AR171" s="6" t="s">
        <v>162</v>
      </c>
      <c r="AT171" s="6" t="s">
        <v>158</v>
      </c>
      <c r="AU171" s="6" t="s">
        <v>98</v>
      </c>
      <c r="AY171" s="6" t="s">
        <v>157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6" t="s">
        <v>21</v>
      </c>
      <c r="BK171" s="88">
        <f>ROUND($L$171*$K$171,2)</f>
        <v>0</v>
      </c>
      <c r="BL171" s="6" t="s">
        <v>162</v>
      </c>
    </row>
    <row r="172" spans="2:64" s="6" customFormat="1" ht="27" customHeight="1">
      <c r="B172" s="23"/>
      <c r="C172" s="135" t="s">
        <v>245</v>
      </c>
      <c r="D172" s="135" t="s">
        <v>158</v>
      </c>
      <c r="E172" s="136" t="s">
        <v>246</v>
      </c>
      <c r="F172" s="205" t="s">
        <v>247</v>
      </c>
      <c r="G172" s="206"/>
      <c r="H172" s="206"/>
      <c r="I172" s="206"/>
      <c r="J172" s="137" t="s">
        <v>165</v>
      </c>
      <c r="K172" s="138">
        <v>85.31</v>
      </c>
      <c r="L172" s="207">
        <v>0</v>
      </c>
      <c r="M172" s="206"/>
      <c r="N172" s="208">
        <f>ROUND($L$172*$K$172,2)</f>
        <v>0</v>
      </c>
      <c r="O172" s="206"/>
      <c r="P172" s="206"/>
      <c r="Q172" s="206"/>
      <c r="R172" s="25"/>
      <c r="T172" s="139"/>
      <c r="U172" s="31" t="s">
        <v>45</v>
      </c>
      <c r="V172" s="140">
        <v>1.438</v>
      </c>
      <c r="W172" s="140">
        <f>$V$172*$K$172</f>
        <v>122.67578</v>
      </c>
      <c r="X172" s="140">
        <v>0.38811</v>
      </c>
      <c r="Y172" s="140">
        <f>$X$172*$K$172</f>
        <v>33.1096641</v>
      </c>
      <c r="Z172" s="140">
        <v>0</v>
      </c>
      <c r="AA172" s="141">
        <f>$Z$172*$K$172</f>
        <v>0</v>
      </c>
      <c r="AR172" s="6" t="s">
        <v>162</v>
      </c>
      <c r="AT172" s="6" t="s">
        <v>158</v>
      </c>
      <c r="AU172" s="6" t="s">
        <v>98</v>
      </c>
      <c r="AY172" s="6" t="s">
        <v>157</v>
      </c>
      <c r="BE172" s="88">
        <f>IF($U$172="základní",$N$172,0)</f>
        <v>0</v>
      </c>
      <c r="BF172" s="88">
        <f>IF($U$172="snížená",$N$172,0)</f>
        <v>0</v>
      </c>
      <c r="BG172" s="88">
        <f>IF($U$172="zákl. přenesená",$N$172,0)</f>
        <v>0</v>
      </c>
      <c r="BH172" s="88">
        <f>IF($U$172="sníž. přenesená",$N$172,0)</f>
        <v>0</v>
      </c>
      <c r="BI172" s="88">
        <f>IF($U$172="nulová",$N$172,0)</f>
        <v>0</v>
      </c>
      <c r="BJ172" s="6" t="s">
        <v>21</v>
      </c>
      <c r="BK172" s="88">
        <f>ROUND($L$172*$K$172,2)</f>
        <v>0</v>
      </c>
      <c r="BL172" s="6" t="s">
        <v>162</v>
      </c>
    </row>
    <row r="173" spans="2:64" s="6" customFormat="1" ht="39" customHeight="1">
      <c r="B173" s="23"/>
      <c r="C173" s="135" t="s">
        <v>248</v>
      </c>
      <c r="D173" s="135" t="s">
        <v>158</v>
      </c>
      <c r="E173" s="136" t="s">
        <v>249</v>
      </c>
      <c r="F173" s="205" t="s">
        <v>250</v>
      </c>
      <c r="G173" s="206"/>
      <c r="H173" s="206"/>
      <c r="I173" s="206"/>
      <c r="J173" s="137" t="s">
        <v>232</v>
      </c>
      <c r="K173" s="138">
        <v>38</v>
      </c>
      <c r="L173" s="207">
        <v>0</v>
      </c>
      <c r="M173" s="206"/>
      <c r="N173" s="208">
        <f>ROUND($L$173*$K$173,2)</f>
        <v>0</v>
      </c>
      <c r="O173" s="206"/>
      <c r="P173" s="206"/>
      <c r="Q173" s="206"/>
      <c r="R173" s="25"/>
      <c r="T173" s="139"/>
      <c r="U173" s="31" t="s">
        <v>45</v>
      </c>
      <c r="V173" s="140">
        <v>0</v>
      </c>
      <c r="W173" s="140">
        <f>$V$173*$K$173</f>
        <v>0</v>
      </c>
      <c r="X173" s="140">
        <v>0</v>
      </c>
      <c r="Y173" s="140">
        <f>$X$173*$K$173</f>
        <v>0</v>
      </c>
      <c r="Z173" s="140">
        <v>0</v>
      </c>
      <c r="AA173" s="141">
        <f>$Z$173*$K$173</f>
        <v>0</v>
      </c>
      <c r="AR173" s="6" t="s">
        <v>162</v>
      </c>
      <c r="AT173" s="6" t="s">
        <v>158</v>
      </c>
      <c r="AU173" s="6" t="s">
        <v>98</v>
      </c>
      <c r="AY173" s="6" t="s">
        <v>157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6" t="s">
        <v>21</v>
      </c>
      <c r="BK173" s="88">
        <f>ROUND($L$173*$K$173,2)</f>
        <v>0</v>
      </c>
      <c r="BL173" s="6" t="s">
        <v>162</v>
      </c>
    </row>
    <row r="174" spans="2:64" s="6" customFormat="1" ht="39" customHeight="1">
      <c r="B174" s="23"/>
      <c r="C174" s="135" t="s">
        <v>251</v>
      </c>
      <c r="D174" s="135" t="s">
        <v>158</v>
      </c>
      <c r="E174" s="136" t="s">
        <v>252</v>
      </c>
      <c r="F174" s="205" t="s">
        <v>253</v>
      </c>
      <c r="G174" s="206"/>
      <c r="H174" s="206"/>
      <c r="I174" s="206"/>
      <c r="J174" s="137" t="s">
        <v>232</v>
      </c>
      <c r="K174" s="138">
        <v>18</v>
      </c>
      <c r="L174" s="207">
        <v>0</v>
      </c>
      <c r="M174" s="206"/>
      <c r="N174" s="208">
        <f>ROUND($L$174*$K$174,2)</f>
        <v>0</v>
      </c>
      <c r="O174" s="206"/>
      <c r="P174" s="206"/>
      <c r="Q174" s="206"/>
      <c r="R174" s="25"/>
      <c r="T174" s="139"/>
      <c r="U174" s="31" t="s">
        <v>45</v>
      </c>
      <c r="V174" s="140">
        <v>0</v>
      </c>
      <c r="W174" s="140">
        <f>$V$174*$K$174</f>
        <v>0</v>
      </c>
      <c r="X174" s="140">
        <v>0</v>
      </c>
      <c r="Y174" s="140">
        <f>$X$174*$K$174</f>
        <v>0</v>
      </c>
      <c r="Z174" s="140">
        <v>0</v>
      </c>
      <c r="AA174" s="141">
        <f>$Z$174*$K$174</f>
        <v>0</v>
      </c>
      <c r="AR174" s="6" t="s">
        <v>162</v>
      </c>
      <c r="AT174" s="6" t="s">
        <v>158</v>
      </c>
      <c r="AU174" s="6" t="s">
        <v>98</v>
      </c>
      <c r="AY174" s="6" t="s">
        <v>157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21</v>
      </c>
      <c r="BK174" s="88">
        <f>ROUND($L$174*$K$174,2)</f>
        <v>0</v>
      </c>
      <c r="BL174" s="6" t="s">
        <v>162</v>
      </c>
    </row>
    <row r="175" spans="2:64" s="6" customFormat="1" ht="39" customHeight="1">
      <c r="B175" s="23"/>
      <c r="C175" s="135" t="s">
        <v>254</v>
      </c>
      <c r="D175" s="135" t="s">
        <v>158</v>
      </c>
      <c r="E175" s="136" t="s">
        <v>255</v>
      </c>
      <c r="F175" s="205" t="s">
        <v>256</v>
      </c>
      <c r="G175" s="206"/>
      <c r="H175" s="206"/>
      <c r="I175" s="206"/>
      <c r="J175" s="137" t="s">
        <v>165</v>
      </c>
      <c r="K175" s="138">
        <v>880</v>
      </c>
      <c r="L175" s="207">
        <v>0</v>
      </c>
      <c r="M175" s="206"/>
      <c r="N175" s="208">
        <f>ROUND($L$175*$K$175,2)</f>
        <v>0</v>
      </c>
      <c r="O175" s="206"/>
      <c r="P175" s="206"/>
      <c r="Q175" s="206"/>
      <c r="R175" s="25"/>
      <c r="T175" s="139"/>
      <c r="U175" s="31" t="s">
        <v>45</v>
      </c>
      <c r="V175" s="140">
        <v>0.932</v>
      </c>
      <c r="W175" s="140">
        <f>$V$175*$K$175</f>
        <v>820.1600000000001</v>
      </c>
      <c r="X175" s="140">
        <v>0</v>
      </c>
      <c r="Y175" s="140">
        <f>$X$175*$K$175</f>
        <v>0</v>
      </c>
      <c r="Z175" s="140">
        <v>0</v>
      </c>
      <c r="AA175" s="141">
        <f>$Z$175*$K$175</f>
        <v>0</v>
      </c>
      <c r="AR175" s="6" t="s">
        <v>162</v>
      </c>
      <c r="AT175" s="6" t="s">
        <v>158</v>
      </c>
      <c r="AU175" s="6" t="s">
        <v>98</v>
      </c>
      <c r="AY175" s="6" t="s">
        <v>157</v>
      </c>
      <c r="BE175" s="88">
        <f>IF($U$175="základní",$N$175,0)</f>
        <v>0</v>
      </c>
      <c r="BF175" s="88">
        <f>IF($U$175="snížená",$N$175,0)</f>
        <v>0</v>
      </c>
      <c r="BG175" s="88">
        <f>IF($U$175="zákl. přenesená",$N$175,0)</f>
        <v>0</v>
      </c>
      <c r="BH175" s="88">
        <f>IF($U$175="sníž. přenesená",$N$175,0)</f>
        <v>0</v>
      </c>
      <c r="BI175" s="88">
        <f>IF($U$175="nulová",$N$175,0)</f>
        <v>0</v>
      </c>
      <c r="BJ175" s="6" t="s">
        <v>21</v>
      </c>
      <c r="BK175" s="88">
        <f>ROUND($L$175*$K$175,2)</f>
        <v>0</v>
      </c>
      <c r="BL175" s="6" t="s">
        <v>162</v>
      </c>
    </row>
    <row r="176" spans="2:64" s="6" customFormat="1" ht="27" customHeight="1">
      <c r="B176" s="23"/>
      <c r="C176" s="142" t="s">
        <v>257</v>
      </c>
      <c r="D176" s="142" t="s">
        <v>258</v>
      </c>
      <c r="E176" s="143" t="s">
        <v>259</v>
      </c>
      <c r="F176" s="209" t="s">
        <v>260</v>
      </c>
      <c r="G176" s="210"/>
      <c r="H176" s="210"/>
      <c r="I176" s="210"/>
      <c r="J176" s="144" t="s">
        <v>165</v>
      </c>
      <c r="K176" s="145">
        <v>880</v>
      </c>
      <c r="L176" s="211">
        <v>0</v>
      </c>
      <c r="M176" s="210"/>
      <c r="N176" s="212">
        <f>ROUND($L$176*$K$176,2)</f>
        <v>0</v>
      </c>
      <c r="O176" s="206"/>
      <c r="P176" s="206"/>
      <c r="Q176" s="206"/>
      <c r="R176" s="25"/>
      <c r="T176" s="139"/>
      <c r="U176" s="31" t="s">
        <v>45</v>
      </c>
      <c r="V176" s="140">
        <v>0</v>
      </c>
      <c r="W176" s="140">
        <f>$V$176*$K$176</f>
        <v>0</v>
      </c>
      <c r="X176" s="140">
        <v>0.0042</v>
      </c>
      <c r="Y176" s="140">
        <f>$X$176*$K$176</f>
        <v>3.6959999999999997</v>
      </c>
      <c r="Z176" s="140">
        <v>0</v>
      </c>
      <c r="AA176" s="141">
        <f>$Z$176*$K$176</f>
        <v>0</v>
      </c>
      <c r="AR176" s="6" t="s">
        <v>188</v>
      </c>
      <c r="AT176" s="6" t="s">
        <v>258</v>
      </c>
      <c r="AU176" s="6" t="s">
        <v>98</v>
      </c>
      <c r="AY176" s="6" t="s">
        <v>157</v>
      </c>
      <c r="BE176" s="88">
        <f>IF($U$176="základní",$N$176,0)</f>
        <v>0</v>
      </c>
      <c r="BF176" s="88">
        <f>IF($U$176="snížená",$N$176,0)</f>
        <v>0</v>
      </c>
      <c r="BG176" s="88">
        <f>IF($U$176="zákl. přenesená",$N$176,0)</f>
        <v>0</v>
      </c>
      <c r="BH176" s="88">
        <f>IF($U$176="sníž. přenesená",$N$176,0)</f>
        <v>0</v>
      </c>
      <c r="BI176" s="88">
        <f>IF($U$176="nulová",$N$176,0)</f>
        <v>0</v>
      </c>
      <c r="BJ176" s="6" t="s">
        <v>21</v>
      </c>
      <c r="BK176" s="88">
        <f>ROUND($L$176*$K$176,2)</f>
        <v>0</v>
      </c>
      <c r="BL176" s="6" t="s">
        <v>162</v>
      </c>
    </row>
    <row r="177" spans="2:64" s="6" customFormat="1" ht="27" customHeight="1">
      <c r="B177" s="23"/>
      <c r="C177" s="135" t="s">
        <v>261</v>
      </c>
      <c r="D177" s="135" t="s">
        <v>158</v>
      </c>
      <c r="E177" s="136" t="s">
        <v>262</v>
      </c>
      <c r="F177" s="205" t="s">
        <v>263</v>
      </c>
      <c r="G177" s="206"/>
      <c r="H177" s="206"/>
      <c r="I177" s="206"/>
      <c r="J177" s="137" t="s">
        <v>165</v>
      </c>
      <c r="K177" s="138">
        <v>410.166</v>
      </c>
      <c r="L177" s="207">
        <v>0</v>
      </c>
      <c r="M177" s="206"/>
      <c r="N177" s="208">
        <f>ROUND($L$177*$K$177,2)</f>
        <v>0</v>
      </c>
      <c r="O177" s="206"/>
      <c r="P177" s="206"/>
      <c r="Q177" s="206"/>
      <c r="R177" s="25"/>
      <c r="T177" s="139"/>
      <c r="U177" s="31" t="s">
        <v>45</v>
      </c>
      <c r="V177" s="140">
        <v>0.572</v>
      </c>
      <c r="W177" s="140">
        <f>$V$177*$K$177</f>
        <v>234.614952</v>
      </c>
      <c r="X177" s="140">
        <v>0.09232</v>
      </c>
      <c r="Y177" s="140">
        <f>$X$177*$K$177</f>
        <v>37.86652512</v>
      </c>
      <c r="Z177" s="140">
        <v>0</v>
      </c>
      <c r="AA177" s="141">
        <f>$Z$177*$K$177</f>
        <v>0</v>
      </c>
      <c r="AR177" s="6" t="s">
        <v>162</v>
      </c>
      <c r="AT177" s="6" t="s">
        <v>158</v>
      </c>
      <c r="AU177" s="6" t="s">
        <v>98</v>
      </c>
      <c r="AY177" s="6" t="s">
        <v>157</v>
      </c>
      <c r="BE177" s="88">
        <f>IF($U$177="základní",$N$177,0)</f>
        <v>0</v>
      </c>
      <c r="BF177" s="88">
        <f>IF($U$177="snížená",$N$177,0)</f>
        <v>0</v>
      </c>
      <c r="BG177" s="88">
        <f>IF($U$177="zákl. přenesená",$N$177,0)</f>
        <v>0</v>
      </c>
      <c r="BH177" s="88">
        <f>IF($U$177="sníž. přenesená",$N$177,0)</f>
        <v>0</v>
      </c>
      <c r="BI177" s="88">
        <f>IF($U$177="nulová",$N$177,0)</f>
        <v>0</v>
      </c>
      <c r="BJ177" s="6" t="s">
        <v>21</v>
      </c>
      <c r="BK177" s="88">
        <f>ROUND($L$177*$K$177,2)</f>
        <v>0</v>
      </c>
      <c r="BL177" s="6" t="s">
        <v>162</v>
      </c>
    </row>
    <row r="178" spans="2:64" s="6" customFormat="1" ht="27" customHeight="1">
      <c r="B178" s="23"/>
      <c r="C178" s="135" t="s">
        <v>264</v>
      </c>
      <c r="D178" s="135" t="s">
        <v>158</v>
      </c>
      <c r="E178" s="136" t="s">
        <v>265</v>
      </c>
      <c r="F178" s="205" t="s">
        <v>266</v>
      </c>
      <c r="G178" s="206"/>
      <c r="H178" s="206"/>
      <c r="I178" s="206"/>
      <c r="J178" s="137" t="s">
        <v>165</v>
      </c>
      <c r="K178" s="138">
        <v>147.14</v>
      </c>
      <c r="L178" s="207">
        <v>0</v>
      </c>
      <c r="M178" s="206"/>
      <c r="N178" s="208">
        <f>ROUND($L$178*$K$178,2)</f>
        <v>0</v>
      </c>
      <c r="O178" s="206"/>
      <c r="P178" s="206"/>
      <c r="Q178" s="206"/>
      <c r="R178" s="25"/>
      <c r="T178" s="139"/>
      <c r="U178" s="31" t="s">
        <v>45</v>
      </c>
      <c r="V178" s="140">
        <v>0.678</v>
      </c>
      <c r="W178" s="140">
        <f>$V$178*$K$178</f>
        <v>99.76092</v>
      </c>
      <c r="X178" s="140">
        <v>0.1434</v>
      </c>
      <c r="Y178" s="140">
        <f>$X$178*$K$178</f>
        <v>21.099876</v>
      </c>
      <c r="Z178" s="140">
        <v>0</v>
      </c>
      <c r="AA178" s="141">
        <f>$Z$178*$K$178</f>
        <v>0</v>
      </c>
      <c r="AR178" s="6" t="s">
        <v>162</v>
      </c>
      <c r="AT178" s="6" t="s">
        <v>158</v>
      </c>
      <c r="AU178" s="6" t="s">
        <v>98</v>
      </c>
      <c r="AY178" s="6" t="s">
        <v>157</v>
      </c>
      <c r="BE178" s="88">
        <f>IF($U$178="základní",$N$178,0)</f>
        <v>0</v>
      </c>
      <c r="BF178" s="88">
        <f>IF($U$178="snížená",$N$178,0)</f>
        <v>0</v>
      </c>
      <c r="BG178" s="88">
        <f>IF($U$178="zákl. přenesená",$N$178,0)</f>
        <v>0</v>
      </c>
      <c r="BH178" s="88">
        <f>IF($U$178="sníž. přenesená",$N$178,0)</f>
        <v>0</v>
      </c>
      <c r="BI178" s="88">
        <f>IF($U$178="nulová",$N$178,0)</f>
        <v>0</v>
      </c>
      <c r="BJ178" s="6" t="s">
        <v>21</v>
      </c>
      <c r="BK178" s="88">
        <f>ROUND($L$178*$K$178,2)</f>
        <v>0</v>
      </c>
      <c r="BL178" s="6" t="s">
        <v>162</v>
      </c>
    </row>
    <row r="179" spans="2:63" s="124" customFormat="1" ht="30.75" customHeight="1">
      <c r="B179" s="125"/>
      <c r="C179" s="126"/>
      <c r="D179" s="134" t="s">
        <v>114</v>
      </c>
      <c r="E179" s="126"/>
      <c r="F179" s="126"/>
      <c r="G179" s="126"/>
      <c r="H179" s="126"/>
      <c r="I179" s="126"/>
      <c r="J179" s="126"/>
      <c r="K179" s="126"/>
      <c r="L179" s="126"/>
      <c r="M179" s="126"/>
      <c r="N179" s="217">
        <f>$BK$179</f>
        <v>0</v>
      </c>
      <c r="O179" s="216"/>
      <c r="P179" s="216"/>
      <c r="Q179" s="216"/>
      <c r="R179" s="128"/>
      <c r="T179" s="129"/>
      <c r="U179" s="126"/>
      <c r="V179" s="126"/>
      <c r="W179" s="130">
        <f>SUM($W$180:$W$190)</f>
        <v>1526.44502</v>
      </c>
      <c r="X179" s="126"/>
      <c r="Y179" s="130">
        <f>SUM($Y$180:$Y$190)</f>
        <v>110.57081928000001</v>
      </c>
      <c r="Z179" s="126"/>
      <c r="AA179" s="131">
        <f>SUM($AA$180:$AA$190)</f>
        <v>0</v>
      </c>
      <c r="AR179" s="132" t="s">
        <v>21</v>
      </c>
      <c r="AT179" s="132" t="s">
        <v>79</v>
      </c>
      <c r="AU179" s="132" t="s">
        <v>21</v>
      </c>
      <c r="AY179" s="132" t="s">
        <v>157</v>
      </c>
      <c r="BK179" s="133">
        <f>SUM($BK$180:$BK$190)</f>
        <v>0</v>
      </c>
    </row>
    <row r="180" spans="2:64" s="6" customFormat="1" ht="39" customHeight="1">
      <c r="B180" s="23"/>
      <c r="C180" s="135" t="s">
        <v>267</v>
      </c>
      <c r="D180" s="135" t="s">
        <v>158</v>
      </c>
      <c r="E180" s="136" t="s">
        <v>268</v>
      </c>
      <c r="F180" s="205" t="s">
        <v>269</v>
      </c>
      <c r="G180" s="206"/>
      <c r="H180" s="206"/>
      <c r="I180" s="206"/>
      <c r="J180" s="137" t="s">
        <v>232</v>
      </c>
      <c r="K180" s="138">
        <v>3</v>
      </c>
      <c r="L180" s="207">
        <v>0</v>
      </c>
      <c r="M180" s="206"/>
      <c r="N180" s="208">
        <f>ROUND($L$180*$K$180,2)</f>
        <v>0</v>
      </c>
      <c r="O180" s="206"/>
      <c r="P180" s="206"/>
      <c r="Q180" s="206"/>
      <c r="R180" s="25"/>
      <c r="T180" s="139"/>
      <c r="U180" s="31" t="s">
        <v>45</v>
      </c>
      <c r="V180" s="140">
        <v>0</v>
      </c>
      <c r="W180" s="140">
        <f>$V$180*$K$180</f>
        <v>0</v>
      </c>
      <c r="X180" s="140">
        <v>0</v>
      </c>
      <c r="Y180" s="140">
        <f>$X$180*$K$180</f>
        <v>0</v>
      </c>
      <c r="Z180" s="140">
        <v>0</v>
      </c>
      <c r="AA180" s="141">
        <f>$Z$180*$K$180</f>
        <v>0</v>
      </c>
      <c r="AR180" s="6" t="s">
        <v>162</v>
      </c>
      <c r="AT180" s="6" t="s">
        <v>158</v>
      </c>
      <c r="AU180" s="6" t="s">
        <v>98</v>
      </c>
      <c r="AY180" s="6" t="s">
        <v>157</v>
      </c>
      <c r="BE180" s="88">
        <f>IF($U$180="základní",$N$180,0)</f>
        <v>0</v>
      </c>
      <c r="BF180" s="88">
        <f>IF($U$180="snížená",$N$180,0)</f>
        <v>0</v>
      </c>
      <c r="BG180" s="88">
        <f>IF($U$180="zákl. přenesená",$N$180,0)</f>
        <v>0</v>
      </c>
      <c r="BH180" s="88">
        <f>IF($U$180="sníž. přenesená",$N$180,0)</f>
        <v>0</v>
      </c>
      <c r="BI180" s="88">
        <f>IF($U$180="nulová",$N$180,0)</f>
        <v>0</v>
      </c>
      <c r="BJ180" s="6" t="s">
        <v>21</v>
      </c>
      <c r="BK180" s="88">
        <f>ROUND($L$180*$K$180,2)</f>
        <v>0</v>
      </c>
      <c r="BL180" s="6" t="s">
        <v>162</v>
      </c>
    </row>
    <row r="181" spans="2:64" s="6" customFormat="1" ht="27" customHeight="1">
      <c r="B181" s="23"/>
      <c r="C181" s="135" t="s">
        <v>270</v>
      </c>
      <c r="D181" s="135" t="s">
        <v>158</v>
      </c>
      <c r="E181" s="136" t="s">
        <v>271</v>
      </c>
      <c r="F181" s="205" t="s">
        <v>272</v>
      </c>
      <c r="G181" s="206"/>
      <c r="H181" s="206"/>
      <c r="I181" s="206"/>
      <c r="J181" s="137" t="s">
        <v>232</v>
      </c>
      <c r="K181" s="138">
        <v>16</v>
      </c>
      <c r="L181" s="207">
        <v>0</v>
      </c>
      <c r="M181" s="206"/>
      <c r="N181" s="208">
        <f>ROUND($L$181*$K$181,2)</f>
        <v>0</v>
      </c>
      <c r="O181" s="206"/>
      <c r="P181" s="206"/>
      <c r="Q181" s="206"/>
      <c r="R181" s="25"/>
      <c r="T181" s="139"/>
      <c r="U181" s="31" t="s">
        <v>45</v>
      </c>
      <c r="V181" s="140">
        <v>0</v>
      </c>
      <c r="W181" s="140">
        <f>$V$181*$K$181</f>
        <v>0</v>
      </c>
      <c r="X181" s="140">
        <v>0</v>
      </c>
      <c r="Y181" s="140">
        <f>$X$181*$K$181</f>
        <v>0</v>
      </c>
      <c r="Z181" s="140">
        <v>0</v>
      </c>
      <c r="AA181" s="141">
        <f>$Z$181*$K$181</f>
        <v>0</v>
      </c>
      <c r="AR181" s="6" t="s">
        <v>162</v>
      </c>
      <c r="AT181" s="6" t="s">
        <v>158</v>
      </c>
      <c r="AU181" s="6" t="s">
        <v>98</v>
      </c>
      <c r="AY181" s="6" t="s">
        <v>157</v>
      </c>
      <c r="BE181" s="88">
        <f>IF($U$181="základní",$N$181,0)</f>
        <v>0</v>
      </c>
      <c r="BF181" s="88">
        <f>IF($U$181="snížená",$N$181,0)</f>
        <v>0</v>
      </c>
      <c r="BG181" s="88">
        <f>IF($U$181="zákl. přenesená",$N$181,0)</f>
        <v>0</v>
      </c>
      <c r="BH181" s="88">
        <f>IF($U$181="sníž. přenesená",$N$181,0)</f>
        <v>0</v>
      </c>
      <c r="BI181" s="88">
        <f>IF($U$181="nulová",$N$181,0)</f>
        <v>0</v>
      </c>
      <c r="BJ181" s="6" t="s">
        <v>21</v>
      </c>
      <c r="BK181" s="88">
        <f>ROUND($L$181*$K$181,2)</f>
        <v>0</v>
      </c>
      <c r="BL181" s="6" t="s">
        <v>162</v>
      </c>
    </row>
    <row r="182" spans="2:64" s="6" customFormat="1" ht="39" customHeight="1">
      <c r="B182" s="23"/>
      <c r="C182" s="135" t="s">
        <v>273</v>
      </c>
      <c r="D182" s="135" t="s">
        <v>158</v>
      </c>
      <c r="E182" s="136" t="s">
        <v>274</v>
      </c>
      <c r="F182" s="205" t="s">
        <v>275</v>
      </c>
      <c r="G182" s="206"/>
      <c r="H182" s="206"/>
      <c r="I182" s="206"/>
      <c r="J182" s="137" t="s">
        <v>232</v>
      </c>
      <c r="K182" s="138">
        <v>35</v>
      </c>
      <c r="L182" s="207">
        <v>0</v>
      </c>
      <c r="M182" s="206"/>
      <c r="N182" s="208">
        <f>ROUND($L$182*$K$182,2)</f>
        <v>0</v>
      </c>
      <c r="O182" s="206"/>
      <c r="P182" s="206"/>
      <c r="Q182" s="206"/>
      <c r="R182" s="25"/>
      <c r="T182" s="139"/>
      <c r="U182" s="31" t="s">
        <v>45</v>
      </c>
      <c r="V182" s="140">
        <v>0</v>
      </c>
      <c r="W182" s="140">
        <f>$V$182*$K$182</f>
        <v>0</v>
      </c>
      <c r="X182" s="140">
        <v>0</v>
      </c>
      <c r="Y182" s="140">
        <f>$X$182*$K$182</f>
        <v>0</v>
      </c>
      <c r="Z182" s="140">
        <v>0</v>
      </c>
      <c r="AA182" s="141">
        <f>$Z$182*$K$182</f>
        <v>0</v>
      </c>
      <c r="AR182" s="6" t="s">
        <v>162</v>
      </c>
      <c r="AT182" s="6" t="s">
        <v>158</v>
      </c>
      <c r="AU182" s="6" t="s">
        <v>98</v>
      </c>
      <c r="AY182" s="6" t="s">
        <v>157</v>
      </c>
      <c r="BE182" s="88">
        <f>IF($U$182="základní",$N$182,0)</f>
        <v>0</v>
      </c>
      <c r="BF182" s="88">
        <f>IF($U$182="snížená",$N$182,0)</f>
        <v>0</v>
      </c>
      <c r="BG182" s="88">
        <f>IF($U$182="zákl. přenesená",$N$182,0)</f>
        <v>0</v>
      </c>
      <c r="BH182" s="88">
        <f>IF($U$182="sníž. přenesená",$N$182,0)</f>
        <v>0</v>
      </c>
      <c r="BI182" s="88">
        <f>IF($U$182="nulová",$N$182,0)</f>
        <v>0</v>
      </c>
      <c r="BJ182" s="6" t="s">
        <v>21</v>
      </c>
      <c r="BK182" s="88">
        <f>ROUND($L$182*$K$182,2)</f>
        <v>0</v>
      </c>
      <c r="BL182" s="6" t="s">
        <v>162</v>
      </c>
    </row>
    <row r="183" spans="2:64" s="6" customFormat="1" ht="39" customHeight="1">
      <c r="B183" s="23"/>
      <c r="C183" s="135" t="s">
        <v>276</v>
      </c>
      <c r="D183" s="135" t="s">
        <v>158</v>
      </c>
      <c r="E183" s="136" t="s">
        <v>277</v>
      </c>
      <c r="F183" s="205" t="s">
        <v>278</v>
      </c>
      <c r="G183" s="206"/>
      <c r="H183" s="206"/>
      <c r="I183" s="206"/>
      <c r="J183" s="137" t="s">
        <v>232</v>
      </c>
      <c r="K183" s="138">
        <v>33</v>
      </c>
      <c r="L183" s="207">
        <v>0</v>
      </c>
      <c r="M183" s="206"/>
      <c r="N183" s="208">
        <f>ROUND($L$183*$K$183,2)</f>
        <v>0</v>
      </c>
      <c r="O183" s="206"/>
      <c r="P183" s="206"/>
      <c r="Q183" s="206"/>
      <c r="R183" s="25"/>
      <c r="T183" s="139"/>
      <c r="U183" s="31" t="s">
        <v>45</v>
      </c>
      <c r="V183" s="140">
        <v>0</v>
      </c>
      <c r="W183" s="140">
        <f>$V$183*$K$183</f>
        <v>0</v>
      </c>
      <c r="X183" s="140">
        <v>0</v>
      </c>
      <c r="Y183" s="140">
        <f>$X$183*$K$183</f>
        <v>0</v>
      </c>
      <c r="Z183" s="140">
        <v>0</v>
      </c>
      <c r="AA183" s="141">
        <f>$Z$183*$K$183</f>
        <v>0</v>
      </c>
      <c r="AR183" s="6" t="s">
        <v>162</v>
      </c>
      <c r="AT183" s="6" t="s">
        <v>158</v>
      </c>
      <c r="AU183" s="6" t="s">
        <v>98</v>
      </c>
      <c r="AY183" s="6" t="s">
        <v>157</v>
      </c>
      <c r="BE183" s="88">
        <f>IF($U$183="základní",$N$183,0)</f>
        <v>0</v>
      </c>
      <c r="BF183" s="88">
        <f>IF($U$183="snížená",$N$183,0)</f>
        <v>0</v>
      </c>
      <c r="BG183" s="88">
        <f>IF($U$183="zákl. přenesená",$N$183,0)</f>
        <v>0</v>
      </c>
      <c r="BH183" s="88">
        <f>IF($U$183="sníž. přenesená",$N$183,0)</f>
        <v>0</v>
      </c>
      <c r="BI183" s="88">
        <f>IF($U$183="nulová",$N$183,0)</f>
        <v>0</v>
      </c>
      <c r="BJ183" s="6" t="s">
        <v>21</v>
      </c>
      <c r="BK183" s="88">
        <f>ROUND($L$183*$K$183,2)</f>
        <v>0</v>
      </c>
      <c r="BL183" s="6" t="s">
        <v>162</v>
      </c>
    </row>
    <row r="184" spans="2:64" s="6" customFormat="1" ht="27" customHeight="1">
      <c r="B184" s="23"/>
      <c r="C184" s="135" t="s">
        <v>279</v>
      </c>
      <c r="D184" s="135" t="s">
        <v>158</v>
      </c>
      <c r="E184" s="136" t="s">
        <v>280</v>
      </c>
      <c r="F184" s="205" t="s">
        <v>281</v>
      </c>
      <c r="G184" s="206"/>
      <c r="H184" s="206"/>
      <c r="I184" s="206"/>
      <c r="J184" s="137" t="s">
        <v>171</v>
      </c>
      <c r="K184" s="138">
        <v>37.915</v>
      </c>
      <c r="L184" s="207">
        <v>0</v>
      </c>
      <c r="M184" s="206"/>
      <c r="N184" s="208">
        <f>ROUND($L$184*$K$184,2)</f>
        <v>0</v>
      </c>
      <c r="O184" s="206"/>
      <c r="P184" s="206"/>
      <c r="Q184" s="206"/>
      <c r="R184" s="25"/>
      <c r="T184" s="139"/>
      <c r="U184" s="31" t="s">
        <v>45</v>
      </c>
      <c r="V184" s="140">
        <v>1.152</v>
      </c>
      <c r="W184" s="140">
        <f>$V$184*$K$184</f>
        <v>43.678079999999994</v>
      </c>
      <c r="X184" s="140">
        <v>2.45336</v>
      </c>
      <c r="Y184" s="140">
        <f>$X$184*$K$184</f>
        <v>93.0191444</v>
      </c>
      <c r="Z184" s="140">
        <v>0</v>
      </c>
      <c r="AA184" s="141">
        <f>$Z$184*$K$184</f>
        <v>0</v>
      </c>
      <c r="AR184" s="6" t="s">
        <v>162</v>
      </c>
      <c r="AT184" s="6" t="s">
        <v>158</v>
      </c>
      <c r="AU184" s="6" t="s">
        <v>98</v>
      </c>
      <c r="AY184" s="6" t="s">
        <v>157</v>
      </c>
      <c r="BE184" s="88">
        <f>IF($U$184="základní",$N$184,0)</f>
        <v>0</v>
      </c>
      <c r="BF184" s="88">
        <f>IF($U$184="snížená",$N$184,0)</f>
        <v>0</v>
      </c>
      <c r="BG184" s="88">
        <f>IF($U$184="zákl. přenesená",$N$184,0)</f>
        <v>0</v>
      </c>
      <c r="BH184" s="88">
        <f>IF($U$184="sníž. přenesená",$N$184,0)</f>
        <v>0</v>
      </c>
      <c r="BI184" s="88">
        <f>IF($U$184="nulová",$N$184,0)</f>
        <v>0</v>
      </c>
      <c r="BJ184" s="6" t="s">
        <v>21</v>
      </c>
      <c r="BK184" s="88">
        <f>ROUND($L$184*$K$184,2)</f>
        <v>0</v>
      </c>
      <c r="BL184" s="6" t="s">
        <v>162</v>
      </c>
    </row>
    <row r="185" spans="2:64" s="6" customFormat="1" ht="27" customHeight="1">
      <c r="B185" s="23"/>
      <c r="C185" s="135" t="s">
        <v>282</v>
      </c>
      <c r="D185" s="135" t="s">
        <v>158</v>
      </c>
      <c r="E185" s="136" t="s">
        <v>283</v>
      </c>
      <c r="F185" s="205" t="s">
        <v>284</v>
      </c>
      <c r="G185" s="206"/>
      <c r="H185" s="206"/>
      <c r="I185" s="206"/>
      <c r="J185" s="137" t="s">
        <v>165</v>
      </c>
      <c r="K185" s="138">
        <v>267.06</v>
      </c>
      <c r="L185" s="207">
        <v>0</v>
      </c>
      <c r="M185" s="206"/>
      <c r="N185" s="208">
        <f>ROUND($L$185*$K$185,2)</f>
        <v>0</v>
      </c>
      <c r="O185" s="206"/>
      <c r="P185" s="206"/>
      <c r="Q185" s="206"/>
      <c r="R185" s="25"/>
      <c r="T185" s="139"/>
      <c r="U185" s="31" t="s">
        <v>45</v>
      </c>
      <c r="V185" s="140">
        <v>0.819</v>
      </c>
      <c r="W185" s="140">
        <f>$V$185*$K$185</f>
        <v>218.72214</v>
      </c>
      <c r="X185" s="140">
        <v>0.00077</v>
      </c>
      <c r="Y185" s="140">
        <f>$X$185*$K$185</f>
        <v>0.2056362</v>
      </c>
      <c r="Z185" s="140">
        <v>0</v>
      </c>
      <c r="AA185" s="141">
        <f>$Z$185*$K$185</f>
        <v>0</v>
      </c>
      <c r="AR185" s="6" t="s">
        <v>162</v>
      </c>
      <c r="AT185" s="6" t="s">
        <v>158</v>
      </c>
      <c r="AU185" s="6" t="s">
        <v>98</v>
      </c>
      <c r="AY185" s="6" t="s">
        <v>157</v>
      </c>
      <c r="BE185" s="88">
        <f>IF($U$185="základní",$N$185,0)</f>
        <v>0</v>
      </c>
      <c r="BF185" s="88">
        <f>IF($U$185="snížená",$N$185,0)</f>
        <v>0</v>
      </c>
      <c r="BG185" s="88">
        <f>IF($U$185="zákl. přenesená",$N$185,0)</f>
        <v>0</v>
      </c>
      <c r="BH185" s="88">
        <f>IF($U$185="sníž. přenesená",$N$185,0)</f>
        <v>0</v>
      </c>
      <c r="BI185" s="88">
        <f>IF($U$185="nulová",$N$185,0)</f>
        <v>0</v>
      </c>
      <c r="BJ185" s="6" t="s">
        <v>21</v>
      </c>
      <c r="BK185" s="88">
        <f>ROUND($L$185*$K$185,2)</f>
        <v>0</v>
      </c>
      <c r="BL185" s="6" t="s">
        <v>162</v>
      </c>
    </row>
    <row r="186" spans="2:64" s="6" customFormat="1" ht="27" customHeight="1">
      <c r="B186" s="23"/>
      <c r="C186" s="135" t="s">
        <v>285</v>
      </c>
      <c r="D186" s="135" t="s">
        <v>158</v>
      </c>
      <c r="E186" s="136" t="s">
        <v>286</v>
      </c>
      <c r="F186" s="205" t="s">
        <v>287</v>
      </c>
      <c r="G186" s="206"/>
      <c r="H186" s="206"/>
      <c r="I186" s="206"/>
      <c r="J186" s="137" t="s">
        <v>165</v>
      </c>
      <c r="K186" s="138">
        <v>267.06</v>
      </c>
      <c r="L186" s="207">
        <v>0</v>
      </c>
      <c r="M186" s="206"/>
      <c r="N186" s="208">
        <f>ROUND($L$186*$K$186,2)</f>
        <v>0</v>
      </c>
      <c r="O186" s="206"/>
      <c r="P186" s="206"/>
      <c r="Q186" s="206"/>
      <c r="R186" s="25"/>
      <c r="T186" s="139"/>
      <c r="U186" s="31" t="s">
        <v>45</v>
      </c>
      <c r="V186" s="140">
        <v>0.329</v>
      </c>
      <c r="W186" s="140">
        <f>$V$186*$K$186</f>
        <v>87.86274</v>
      </c>
      <c r="X186" s="140">
        <v>0</v>
      </c>
      <c r="Y186" s="140">
        <f>$X$186*$K$186</f>
        <v>0</v>
      </c>
      <c r="Z186" s="140">
        <v>0</v>
      </c>
      <c r="AA186" s="141">
        <f>$Z$186*$K$186</f>
        <v>0</v>
      </c>
      <c r="AR186" s="6" t="s">
        <v>162</v>
      </c>
      <c r="AT186" s="6" t="s">
        <v>158</v>
      </c>
      <c r="AU186" s="6" t="s">
        <v>98</v>
      </c>
      <c r="AY186" s="6" t="s">
        <v>157</v>
      </c>
      <c r="BE186" s="88">
        <f>IF($U$186="základní",$N$186,0)</f>
        <v>0</v>
      </c>
      <c r="BF186" s="88">
        <f>IF($U$186="snížená",$N$186,0)</f>
        <v>0</v>
      </c>
      <c r="BG186" s="88">
        <f>IF($U$186="zákl. přenesená",$N$186,0)</f>
        <v>0</v>
      </c>
      <c r="BH186" s="88">
        <f>IF($U$186="sníž. přenesená",$N$186,0)</f>
        <v>0</v>
      </c>
      <c r="BI186" s="88">
        <f>IF($U$186="nulová",$N$186,0)</f>
        <v>0</v>
      </c>
      <c r="BJ186" s="6" t="s">
        <v>21</v>
      </c>
      <c r="BK186" s="88">
        <f>ROUND($L$186*$K$186,2)</f>
        <v>0</v>
      </c>
      <c r="BL186" s="6" t="s">
        <v>162</v>
      </c>
    </row>
    <row r="187" spans="2:64" s="6" customFormat="1" ht="27" customHeight="1">
      <c r="B187" s="23"/>
      <c r="C187" s="135" t="s">
        <v>288</v>
      </c>
      <c r="D187" s="135" t="s">
        <v>158</v>
      </c>
      <c r="E187" s="136" t="s">
        <v>289</v>
      </c>
      <c r="F187" s="205" t="s">
        <v>290</v>
      </c>
      <c r="G187" s="206"/>
      <c r="H187" s="206"/>
      <c r="I187" s="206"/>
      <c r="J187" s="137" t="s">
        <v>196</v>
      </c>
      <c r="K187" s="138">
        <v>2.962</v>
      </c>
      <c r="L187" s="207">
        <v>0</v>
      </c>
      <c r="M187" s="206"/>
      <c r="N187" s="208">
        <f>ROUND($L$187*$K$187,2)</f>
        <v>0</v>
      </c>
      <c r="O187" s="206"/>
      <c r="P187" s="206"/>
      <c r="Q187" s="206"/>
      <c r="R187" s="25"/>
      <c r="T187" s="139"/>
      <c r="U187" s="31" t="s">
        <v>45</v>
      </c>
      <c r="V187" s="140">
        <v>38.63</v>
      </c>
      <c r="W187" s="140">
        <f>$V$187*$K$187</f>
        <v>114.42206000000002</v>
      </c>
      <c r="X187" s="140">
        <v>1.05214</v>
      </c>
      <c r="Y187" s="140">
        <f>$X$187*$K$187</f>
        <v>3.1164386800000003</v>
      </c>
      <c r="Z187" s="140">
        <v>0</v>
      </c>
      <c r="AA187" s="141">
        <f>$Z$187*$K$187</f>
        <v>0</v>
      </c>
      <c r="AR187" s="6" t="s">
        <v>162</v>
      </c>
      <c r="AT187" s="6" t="s">
        <v>158</v>
      </c>
      <c r="AU187" s="6" t="s">
        <v>98</v>
      </c>
      <c r="AY187" s="6" t="s">
        <v>157</v>
      </c>
      <c r="BE187" s="88">
        <f>IF($U$187="základní",$N$187,0)</f>
        <v>0</v>
      </c>
      <c r="BF187" s="88">
        <f>IF($U$187="snížená",$N$187,0)</f>
        <v>0</v>
      </c>
      <c r="BG187" s="88">
        <f>IF($U$187="zákl. přenesená",$N$187,0)</f>
        <v>0</v>
      </c>
      <c r="BH187" s="88">
        <f>IF($U$187="sníž. přenesená",$N$187,0)</f>
        <v>0</v>
      </c>
      <c r="BI187" s="88">
        <f>IF($U$187="nulová",$N$187,0)</f>
        <v>0</v>
      </c>
      <c r="BJ187" s="6" t="s">
        <v>21</v>
      </c>
      <c r="BK187" s="88">
        <f>ROUND($L$187*$K$187,2)</f>
        <v>0</v>
      </c>
      <c r="BL187" s="6" t="s">
        <v>162</v>
      </c>
    </row>
    <row r="188" spans="2:64" s="6" customFormat="1" ht="39" customHeight="1">
      <c r="B188" s="23"/>
      <c r="C188" s="135" t="s">
        <v>291</v>
      </c>
      <c r="D188" s="135" t="s">
        <v>158</v>
      </c>
      <c r="E188" s="136" t="s">
        <v>292</v>
      </c>
      <c r="F188" s="205" t="s">
        <v>293</v>
      </c>
      <c r="G188" s="206"/>
      <c r="H188" s="206"/>
      <c r="I188" s="206"/>
      <c r="J188" s="137" t="s">
        <v>232</v>
      </c>
      <c r="K188" s="138">
        <v>5</v>
      </c>
      <c r="L188" s="207">
        <v>0</v>
      </c>
      <c r="M188" s="206"/>
      <c r="N188" s="208">
        <f>ROUND($L$188*$K$188,2)</f>
        <v>0</v>
      </c>
      <c r="O188" s="206"/>
      <c r="P188" s="206"/>
      <c r="Q188" s="206"/>
      <c r="R188" s="25"/>
      <c r="T188" s="139"/>
      <c r="U188" s="31" t="s">
        <v>45</v>
      </c>
      <c r="V188" s="140">
        <v>0</v>
      </c>
      <c r="W188" s="140">
        <f>$V$188*$K$188</f>
        <v>0</v>
      </c>
      <c r="X188" s="140">
        <v>0</v>
      </c>
      <c r="Y188" s="140">
        <f>$X$188*$K$188</f>
        <v>0</v>
      </c>
      <c r="Z188" s="140">
        <v>0</v>
      </c>
      <c r="AA188" s="141">
        <f>$Z$188*$K$188</f>
        <v>0</v>
      </c>
      <c r="AR188" s="6" t="s">
        <v>162</v>
      </c>
      <c r="AT188" s="6" t="s">
        <v>158</v>
      </c>
      <c r="AU188" s="6" t="s">
        <v>98</v>
      </c>
      <c r="AY188" s="6" t="s">
        <v>157</v>
      </c>
      <c r="BE188" s="88">
        <f>IF($U$188="základní",$N$188,0)</f>
        <v>0</v>
      </c>
      <c r="BF188" s="88">
        <f>IF($U$188="snížená",$N$188,0)</f>
        <v>0</v>
      </c>
      <c r="BG188" s="88">
        <f>IF($U$188="zákl. přenesená",$N$188,0)</f>
        <v>0</v>
      </c>
      <c r="BH188" s="88">
        <f>IF($U$188="sníž. přenesená",$N$188,0)</f>
        <v>0</v>
      </c>
      <c r="BI188" s="88">
        <f>IF($U$188="nulová",$N$188,0)</f>
        <v>0</v>
      </c>
      <c r="BJ188" s="6" t="s">
        <v>21</v>
      </c>
      <c r="BK188" s="88">
        <f>ROUND($L$188*$K$188,2)</f>
        <v>0</v>
      </c>
      <c r="BL188" s="6" t="s">
        <v>162</v>
      </c>
    </row>
    <row r="189" spans="2:64" s="6" customFormat="1" ht="27" customHeight="1">
      <c r="B189" s="23"/>
      <c r="C189" s="135" t="s">
        <v>294</v>
      </c>
      <c r="D189" s="135" t="s">
        <v>158</v>
      </c>
      <c r="E189" s="136" t="s">
        <v>295</v>
      </c>
      <c r="F189" s="205" t="s">
        <v>296</v>
      </c>
      <c r="G189" s="206"/>
      <c r="H189" s="206"/>
      <c r="I189" s="206"/>
      <c r="J189" s="137" t="s">
        <v>165</v>
      </c>
      <c r="K189" s="138">
        <v>1120</v>
      </c>
      <c r="L189" s="207">
        <v>0</v>
      </c>
      <c r="M189" s="206"/>
      <c r="N189" s="208">
        <f>ROUND($L$189*$K$189,2)</f>
        <v>0</v>
      </c>
      <c r="O189" s="206"/>
      <c r="P189" s="206"/>
      <c r="Q189" s="206"/>
      <c r="R189" s="25"/>
      <c r="T189" s="139"/>
      <c r="U189" s="31" t="s">
        <v>45</v>
      </c>
      <c r="V189" s="140">
        <v>0.948</v>
      </c>
      <c r="W189" s="140">
        <f>$V$189*$K$189</f>
        <v>1061.76</v>
      </c>
      <c r="X189" s="140">
        <v>0</v>
      </c>
      <c r="Y189" s="140">
        <f>$X$189*$K$189</f>
        <v>0</v>
      </c>
      <c r="Z189" s="140">
        <v>0</v>
      </c>
      <c r="AA189" s="141">
        <f>$Z$189*$K$189</f>
        <v>0</v>
      </c>
      <c r="AR189" s="6" t="s">
        <v>162</v>
      </c>
      <c r="AT189" s="6" t="s">
        <v>158</v>
      </c>
      <c r="AU189" s="6" t="s">
        <v>98</v>
      </c>
      <c r="AY189" s="6" t="s">
        <v>157</v>
      </c>
      <c r="BE189" s="88">
        <f>IF($U$189="základní",$N$189,0)</f>
        <v>0</v>
      </c>
      <c r="BF189" s="88">
        <f>IF($U$189="snížená",$N$189,0)</f>
        <v>0</v>
      </c>
      <c r="BG189" s="88">
        <f>IF($U$189="zákl. přenesená",$N$189,0)</f>
        <v>0</v>
      </c>
      <c r="BH189" s="88">
        <f>IF($U$189="sníž. přenesená",$N$189,0)</f>
        <v>0</v>
      </c>
      <c r="BI189" s="88">
        <f>IF($U$189="nulová",$N$189,0)</f>
        <v>0</v>
      </c>
      <c r="BJ189" s="6" t="s">
        <v>21</v>
      </c>
      <c r="BK189" s="88">
        <f>ROUND($L$189*$K$189,2)</f>
        <v>0</v>
      </c>
      <c r="BL189" s="6" t="s">
        <v>162</v>
      </c>
    </row>
    <row r="190" spans="2:64" s="6" customFormat="1" ht="27" customHeight="1">
      <c r="B190" s="23"/>
      <c r="C190" s="142" t="s">
        <v>297</v>
      </c>
      <c r="D190" s="142" t="s">
        <v>258</v>
      </c>
      <c r="E190" s="143" t="s">
        <v>298</v>
      </c>
      <c r="F190" s="209" t="s">
        <v>299</v>
      </c>
      <c r="G190" s="210"/>
      <c r="H190" s="210"/>
      <c r="I190" s="210"/>
      <c r="J190" s="144" t="s">
        <v>165</v>
      </c>
      <c r="K190" s="145">
        <v>1176</v>
      </c>
      <c r="L190" s="211">
        <v>0</v>
      </c>
      <c r="M190" s="210"/>
      <c r="N190" s="212">
        <f>ROUND($L$190*$K$190,2)</f>
        <v>0</v>
      </c>
      <c r="O190" s="206"/>
      <c r="P190" s="206"/>
      <c r="Q190" s="206"/>
      <c r="R190" s="25"/>
      <c r="T190" s="139"/>
      <c r="U190" s="31" t="s">
        <v>45</v>
      </c>
      <c r="V190" s="140">
        <v>0</v>
      </c>
      <c r="W190" s="140">
        <f>$V$190*$K$190</f>
        <v>0</v>
      </c>
      <c r="X190" s="140">
        <v>0.0121</v>
      </c>
      <c r="Y190" s="140">
        <f>$X$190*$K$190</f>
        <v>14.2296</v>
      </c>
      <c r="Z190" s="140">
        <v>0</v>
      </c>
      <c r="AA190" s="141">
        <f>$Z$190*$K$190</f>
        <v>0</v>
      </c>
      <c r="AR190" s="6" t="s">
        <v>188</v>
      </c>
      <c r="AT190" s="6" t="s">
        <v>258</v>
      </c>
      <c r="AU190" s="6" t="s">
        <v>98</v>
      </c>
      <c r="AY190" s="6" t="s">
        <v>157</v>
      </c>
      <c r="BE190" s="88">
        <f>IF($U$190="základní",$N$190,0)</f>
        <v>0</v>
      </c>
      <c r="BF190" s="88">
        <f>IF($U$190="snížená",$N$190,0)</f>
        <v>0</v>
      </c>
      <c r="BG190" s="88">
        <f>IF($U$190="zákl. přenesená",$N$190,0)</f>
        <v>0</v>
      </c>
      <c r="BH190" s="88">
        <f>IF($U$190="sníž. přenesená",$N$190,0)</f>
        <v>0</v>
      </c>
      <c r="BI190" s="88">
        <f>IF($U$190="nulová",$N$190,0)</f>
        <v>0</v>
      </c>
      <c r="BJ190" s="6" t="s">
        <v>21</v>
      </c>
      <c r="BK190" s="88">
        <f>ROUND($L$190*$K$190,2)</f>
        <v>0</v>
      </c>
      <c r="BL190" s="6" t="s">
        <v>162</v>
      </c>
    </row>
    <row r="191" spans="2:63" s="124" customFormat="1" ht="30.75" customHeight="1">
      <c r="B191" s="125"/>
      <c r="C191" s="126"/>
      <c r="D191" s="134" t="s">
        <v>115</v>
      </c>
      <c r="E191" s="126"/>
      <c r="F191" s="126"/>
      <c r="G191" s="126"/>
      <c r="H191" s="126"/>
      <c r="I191" s="126"/>
      <c r="J191" s="126"/>
      <c r="K191" s="126"/>
      <c r="L191" s="126"/>
      <c r="M191" s="126"/>
      <c r="N191" s="217">
        <f>$BK$191</f>
        <v>0</v>
      </c>
      <c r="O191" s="216"/>
      <c r="P191" s="216"/>
      <c r="Q191" s="216"/>
      <c r="R191" s="128"/>
      <c r="T191" s="129"/>
      <c r="U191" s="126"/>
      <c r="V191" s="126"/>
      <c r="W191" s="130">
        <f>SUM($W$192:$W$195)</f>
        <v>58.77610000000001</v>
      </c>
      <c r="X191" s="126"/>
      <c r="Y191" s="130">
        <f>SUM($Y$192:$Y$195)</f>
        <v>0</v>
      </c>
      <c r="Z191" s="126"/>
      <c r="AA191" s="131">
        <f>SUM($AA$192:$AA$195)</f>
        <v>0</v>
      </c>
      <c r="AR191" s="132" t="s">
        <v>21</v>
      </c>
      <c r="AT191" s="132" t="s">
        <v>79</v>
      </c>
      <c r="AU191" s="132" t="s">
        <v>21</v>
      </c>
      <c r="AY191" s="132" t="s">
        <v>157</v>
      </c>
      <c r="BK191" s="133">
        <f>SUM($BK$192:$BK$195)</f>
        <v>0</v>
      </c>
    </row>
    <row r="192" spans="2:64" s="6" customFormat="1" ht="15.75" customHeight="1">
      <c r="B192" s="23"/>
      <c r="C192" s="135" t="s">
        <v>300</v>
      </c>
      <c r="D192" s="135" t="s">
        <v>158</v>
      </c>
      <c r="E192" s="136" t="s">
        <v>301</v>
      </c>
      <c r="F192" s="205" t="s">
        <v>302</v>
      </c>
      <c r="G192" s="206"/>
      <c r="H192" s="206"/>
      <c r="I192" s="206"/>
      <c r="J192" s="137" t="s">
        <v>232</v>
      </c>
      <c r="K192" s="138">
        <v>4</v>
      </c>
      <c r="L192" s="207">
        <v>0</v>
      </c>
      <c r="M192" s="206"/>
      <c r="N192" s="208">
        <f>ROUND($L$192*$K$192,2)</f>
        <v>0</v>
      </c>
      <c r="O192" s="206"/>
      <c r="P192" s="206"/>
      <c r="Q192" s="206"/>
      <c r="R192" s="25"/>
      <c r="T192" s="139"/>
      <c r="U192" s="31" t="s">
        <v>45</v>
      </c>
      <c r="V192" s="140">
        <v>2.537</v>
      </c>
      <c r="W192" s="140">
        <f>$V$192*$K$192</f>
        <v>10.148</v>
      </c>
      <c r="X192" s="140">
        <v>0</v>
      </c>
      <c r="Y192" s="140">
        <f>$X$192*$K$192</f>
        <v>0</v>
      </c>
      <c r="Z192" s="140">
        <v>0</v>
      </c>
      <c r="AA192" s="141">
        <f>$Z$192*$K$192</f>
        <v>0</v>
      </c>
      <c r="AR192" s="6" t="s">
        <v>162</v>
      </c>
      <c r="AT192" s="6" t="s">
        <v>158</v>
      </c>
      <c r="AU192" s="6" t="s">
        <v>98</v>
      </c>
      <c r="AY192" s="6" t="s">
        <v>157</v>
      </c>
      <c r="BE192" s="88">
        <f>IF($U$192="základní",$N$192,0)</f>
        <v>0</v>
      </c>
      <c r="BF192" s="88">
        <f>IF($U$192="snížená",$N$192,0)</f>
        <v>0</v>
      </c>
      <c r="BG192" s="88">
        <f>IF($U$192="zákl. přenesená",$N$192,0)</f>
        <v>0</v>
      </c>
      <c r="BH192" s="88">
        <f>IF($U$192="sníž. přenesená",$N$192,0)</f>
        <v>0</v>
      </c>
      <c r="BI192" s="88">
        <f>IF($U$192="nulová",$N$192,0)</f>
        <v>0</v>
      </c>
      <c r="BJ192" s="6" t="s">
        <v>21</v>
      </c>
      <c r="BK192" s="88">
        <f>ROUND($L$192*$K$192,2)</f>
        <v>0</v>
      </c>
      <c r="BL192" s="6" t="s">
        <v>162</v>
      </c>
    </row>
    <row r="193" spans="2:64" s="6" customFormat="1" ht="15.75" customHeight="1">
      <c r="B193" s="23"/>
      <c r="C193" s="135" t="s">
        <v>303</v>
      </c>
      <c r="D193" s="135" t="s">
        <v>158</v>
      </c>
      <c r="E193" s="136" t="s">
        <v>304</v>
      </c>
      <c r="F193" s="205" t="s">
        <v>305</v>
      </c>
      <c r="G193" s="206"/>
      <c r="H193" s="206"/>
      <c r="I193" s="206"/>
      <c r="J193" s="137" t="s">
        <v>165</v>
      </c>
      <c r="K193" s="138">
        <v>562.3</v>
      </c>
      <c r="L193" s="207">
        <v>0</v>
      </c>
      <c r="M193" s="206"/>
      <c r="N193" s="208">
        <f>ROUND($L$193*$K$193,2)</f>
        <v>0</v>
      </c>
      <c r="O193" s="206"/>
      <c r="P193" s="206"/>
      <c r="Q193" s="206"/>
      <c r="R193" s="25"/>
      <c r="T193" s="139"/>
      <c r="U193" s="31" t="s">
        <v>45</v>
      </c>
      <c r="V193" s="140">
        <v>0.057</v>
      </c>
      <c r="W193" s="140">
        <f>$V$193*$K$193</f>
        <v>32.0511</v>
      </c>
      <c r="X193" s="140">
        <v>0</v>
      </c>
      <c r="Y193" s="140">
        <f>$X$193*$K$193</f>
        <v>0</v>
      </c>
      <c r="Z193" s="140">
        <v>0</v>
      </c>
      <c r="AA193" s="141">
        <f>$Z$193*$K$193</f>
        <v>0</v>
      </c>
      <c r="AR193" s="6" t="s">
        <v>162</v>
      </c>
      <c r="AT193" s="6" t="s">
        <v>158</v>
      </c>
      <c r="AU193" s="6" t="s">
        <v>98</v>
      </c>
      <c r="AY193" s="6" t="s">
        <v>157</v>
      </c>
      <c r="BE193" s="88">
        <f>IF($U$193="základní",$N$193,0)</f>
        <v>0</v>
      </c>
      <c r="BF193" s="88">
        <f>IF($U$193="snížená",$N$193,0)</f>
        <v>0</v>
      </c>
      <c r="BG193" s="88">
        <f>IF($U$193="zákl. přenesená",$N$193,0)</f>
        <v>0</v>
      </c>
      <c r="BH193" s="88">
        <f>IF($U$193="sníž. přenesená",$N$193,0)</f>
        <v>0</v>
      </c>
      <c r="BI193" s="88">
        <f>IF($U$193="nulová",$N$193,0)</f>
        <v>0</v>
      </c>
      <c r="BJ193" s="6" t="s">
        <v>21</v>
      </c>
      <c r="BK193" s="88">
        <f>ROUND($L$193*$K$193,2)</f>
        <v>0</v>
      </c>
      <c r="BL193" s="6" t="s">
        <v>162</v>
      </c>
    </row>
    <row r="194" spans="2:64" s="6" customFormat="1" ht="27" customHeight="1">
      <c r="B194" s="23"/>
      <c r="C194" s="135" t="s">
        <v>306</v>
      </c>
      <c r="D194" s="135" t="s">
        <v>158</v>
      </c>
      <c r="E194" s="136" t="s">
        <v>307</v>
      </c>
      <c r="F194" s="205" t="s">
        <v>308</v>
      </c>
      <c r="G194" s="206"/>
      <c r="H194" s="206"/>
      <c r="I194" s="206"/>
      <c r="J194" s="137" t="s">
        <v>165</v>
      </c>
      <c r="K194" s="138">
        <v>121</v>
      </c>
      <c r="L194" s="207">
        <v>0</v>
      </c>
      <c r="M194" s="206"/>
      <c r="N194" s="208">
        <f>ROUND($L$194*$K$194,2)</f>
        <v>0</v>
      </c>
      <c r="O194" s="206"/>
      <c r="P194" s="206"/>
      <c r="Q194" s="206"/>
      <c r="R194" s="25"/>
      <c r="T194" s="139"/>
      <c r="U194" s="31" t="s">
        <v>45</v>
      </c>
      <c r="V194" s="140">
        <v>0.066</v>
      </c>
      <c r="W194" s="140">
        <f>$V$194*$K$194</f>
        <v>7.986000000000001</v>
      </c>
      <c r="X194" s="140">
        <v>0</v>
      </c>
      <c r="Y194" s="140">
        <f>$X$194*$K$194</f>
        <v>0</v>
      </c>
      <c r="Z194" s="140">
        <v>0</v>
      </c>
      <c r="AA194" s="141">
        <f>$Z$194*$K$194</f>
        <v>0</v>
      </c>
      <c r="AR194" s="6" t="s">
        <v>162</v>
      </c>
      <c r="AT194" s="6" t="s">
        <v>158</v>
      </c>
      <c r="AU194" s="6" t="s">
        <v>98</v>
      </c>
      <c r="AY194" s="6" t="s">
        <v>157</v>
      </c>
      <c r="BE194" s="88">
        <f>IF($U$194="základní",$N$194,0)</f>
        <v>0</v>
      </c>
      <c r="BF194" s="88">
        <f>IF($U$194="snížená",$N$194,0)</f>
        <v>0</v>
      </c>
      <c r="BG194" s="88">
        <f>IF($U$194="zákl. přenesená",$N$194,0)</f>
        <v>0</v>
      </c>
      <c r="BH194" s="88">
        <f>IF($U$194="sníž. přenesená",$N$194,0)</f>
        <v>0</v>
      </c>
      <c r="BI194" s="88">
        <f>IF($U$194="nulová",$N$194,0)</f>
        <v>0</v>
      </c>
      <c r="BJ194" s="6" t="s">
        <v>21</v>
      </c>
      <c r="BK194" s="88">
        <f>ROUND($L$194*$K$194,2)</f>
        <v>0</v>
      </c>
      <c r="BL194" s="6" t="s">
        <v>162</v>
      </c>
    </row>
    <row r="195" spans="2:64" s="6" customFormat="1" ht="27" customHeight="1">
      <c r="B195" s="23"/>
      <c r="C195" s="135" t="s">
        <v>309</v>
      </c>
      <c r="D195" s="135" t="s">
        <v>158</v>
      </c>
      <c r="E195" s="136" t="s">
        <v>310</v>
      </c>
      <c r="F195" s="205" t="s">
        <v>311</v>
      </c>
      <c r="G195" s="206"/>
      <c r="H195" s="206"/>
      <c r="I195" s="206"/>
      <c r="J195" s="137" t="s">
        <v>165</v>
      </c>
      <c r="K195" s="138">
        <v>121</v>
      </c>
      <c r="L195" s="207">
        <v>0</v>
      </c>
      <c r="M195" s="206"/>
      <c r="N195" s="208">
        <f>ROUND($L$195*$K$195,2)</f>
        <v>0</v>
      </c>
      <c r="O195" s="206"/>
      <c r="P195" s="206"/>
      <c r="Q195" s="206"/>
      <c r="R195" s="25"/>
      <c r="T195" s="139"/>
      <c r="U195" s="31" t="s">
        <v>45</v>
      </c>
      <c r="V195" s="140">
        <v>0.071</v>
      </c>
      <c r="W195" s="140">
        <f>$V$195*$K$195</f>
        <v>8.591</v>
      </c>
      <c r="X195" s="140">
        <v>0</v>
      </c>
      <c r="Y195" s="140">
        <f>$X$195*$K$195</f>
        <v>0</v>
      </c>
      <c r="Z195" s="140">
        <v>0</v>
      </c>
      <c r="AA195" s="141">
        <f>$Z$195*$K$195</f>
        <v>0</v>
      </c>
      <c r="AR195" s="6" t="s">
        <v>162</v>
      </c>
      <c r="AT195" s="6" t="s">
        <v>158</v>
      </c>
      <c r="AU195" s="6" t="s">
        <v>98</v>
      </c>
      <c r="AY195" s="6" t="s">
        <v>157</v>
      </c>
      <c r="BE195" s="88">
        <f>IF($U$195="základní",$N$195,0)</f>
        <v>0</v>
      </c>
      <c r="BF195" s="88">
        <f>IF($U$195="snížená",$N$195,0)</f>
        <v>0</v>
      </c>
      <c r="BG195" s="88">
        <f>IF($U$195="zákl. přenesená",$N$195,0)</f>
        <v>0</v>
      </c>
      <c r="BH195" s="88">
        <f>IF($U$195="sníž. přenesená",$N$195,0)</f>
        <v>0</v>
      </c>
      <c r="BI195" s="88">
        <f>IF($U$195="nulová",$N$195,0)</f>
        <v>0</v>
      </c>
      <c r="BJ195" s="6" t="s">
        <v>21</v>
      </c>
      <c r="BK195" s="88">
        <f>ROUND($L$195*$K$195,2)</f>
        <v>0</v>
      </c>
      <c r="BL195" s="6" t="s">
        <v>162</v>
      </c>
    </row>
    <row r="196" spans="2:63" s="124" customFormat="1" ht="30.75" customHeight="1">
      <c r="B196" s="125"/>
      <c r="C196" s="126"/>
      <c r="D196" s="134" t="s">
        <v>116</v>
      </c>
      <c r="E196" s="126"/>
      <c r="F196" s="126"/>
      <c r="G196" s="126"/>
      <c r="H196" s="126"/>
      <c r="I196" s="126"/>
      <c r="J196" s="126"/>
      <c r="K196" s="126"/>
      <c r="L196" s="126"/>
      <c r="M196" s="126"/>
      <c r="N196" s="217">
        <f>$BK$196</f>
        <v>0</v>
      </c>
      <c r="O196" s="216"/>
      <c r="P196" s="216"/>
      <c r="Q196" s="216"/>
      <c r="R196" s="128"/>
      <c r="T196" s="129"/>
      <c r="U196" s="126"/>
      <c r="V196" s="126"/>
      <c r="W196" s="130">
        <f>SUM($W$197:$W$208)</f>
        <v>1494.3335949999998</v>
      </c>
      <c r="X196" s="126"/>
      <c r="Y196" s="130">
        <f>SUM($Y$197:$Y$208)</f>
        <v>647.9692247</v>
      </c>
      <c r="Z196" s="126"/>
      <c r="AA196" s="131">
        <f>SUM($AA$197:$AA$208)</f>
        <v>0</v>
      </c>
      <c r="AR196" s="132" t="s">
        <v>21</v>
      </c>
      <c r="AT196" s="132" t="s">
        <v>79</v>
      </c>
      <c r="AU196" s="132" t="s">
        <v>21</v>
      </c>
      <c r="AY196" s="132" t="s">
        <v>157</v>
      </c>
      <c r="BK196" s="133">
        <f>SUM($BK$197:$BK$208)</f>
        <v>0</v>
      </c>
    </row>
    <row r="197" spans="2:64" s="6" customFormat="1" ht="27" customHeight="1">
      <c r="B197" s="23"/>
      <c r="C197" s="135" t="s">
        <v>312</v>
      </c>
      <c r="D197" s="135" t="s">
        <v>158</v>
      </c>
      <c r="E197" s="136" t="s">
        <v>313</v>
      </c>
      <c r="F197" s="205" t="s">
        <v>314</v>
      </c>
      <c r="G197" s="206"/>
      <c r="H197" s="206"/>
      <c r="I197" s="206"/>
      <c r="J197" s="137" t="s">
        <v>165</v>
      </c>
      <c r="K197" s="138">
        <v>1359.94</v>
      </c>
      <c r="L197" s="207">
        <v>0</v>
      </c>
      <c r="M197" s="206"/>
      <c r="N197" s="208">
        <f>ROUND($L$197*$K$197,2)</f>
        <v>0</v>
      </c>
      <c r="O197" s="206"/>
      <c r="P197" s="206"/>
      <c r="Q197" s="206"/>
      <c r="R197" s="25"/>
      <c r="T197" s="139"/>
      <c r="U197" s="31" t="s">
        <v>45</v>
      </c>
      <c r="V197" s="140">
        <v>0.37</v>
      </c>
      <c r="W197" s="140">
        <f>$V$197*$K$197</f>
        <v>503.1778</v>
      </c>
      <c r="X197" s="140">
        <v>0.01628</v>
      </c>
      <c r="Y197" s="140">
        <f>$X$197*$K$197</f>
        <v>22.1398232</v>
      </c>
      <c r="Z197" s="140">
        <v>0</v>
      </c>
      <c r="AA197" s="141">
        <f>$Z$197*$K$197</f>
        <v>0</v>
      </c>
      <c r="AR197" s="6" t="s">
        <v>162</v>
      </c>
      <c r="AT197" s="6" t="s">
        <v>158</v>
      </c>
      <c r="AU197" s="6" t="s">
        <v>98</v>
      </c>
      <c r="AY197" s="6" t="s">
        <v>157</v>
      </c>
      <c r="BE197" s="88">
        <f>IF($U$197="základní",$N$197,0)</f>
        <v>0</v>
      </c>
      <c r="BF197" s="88">
        <f>IF($U$197="snížená",$N$197,0)</f>
        <v>0</v>
      </c>
      <c r="BG197" s="88">
        <f>IF($U$197="zákl. přenesená",$N$197,0)</f>
        <v>0</v>
      </c>
      <c r="BH197" s="88">
        <f>IF($U$197="sníž. přenesená",$N$197,0)</f>
        <v>0</v>
      </c>
      <c r="BI197" s="88">
        <f>IF($U$197="nulová",$N$197,0)</f>
        <v>0</v>
      </c>
      <c r="BJ197" s="6" t="s">
        <v>21</v>
      </c>
      <c r="BK197" s="88">
        <f>ROUND($L$197*$K$197,2)</f>
        <v>0</v>
      </c>
      <c r="BL197" s="6" t="s">
        <v>162</v>
      </c>
    </row>
    <row r="198" spans="2:64" s="6" customFormat="1" ht="27" customHeight="1">
      <c r="B198" s="23"/>
      <c r="C198" s="135" t="s">
        <v>315</v>
      </c>
      <c r="D198" s="135" t="s">
        <v>158</v>
      </c>
      <c r="E198" s="136" t="s">
        <v>316</v>
      </c>
      <c r="F198" s="205" t="s">
        <v>317</v>
      </c>
      <c r="G198" s="206"/>
      <c r="H198" s="206"/>
      <c r="I198" s="206"/>
      <c r="J198" s="137" t="s">
        <v>165</v>
      </c>
      <c r="K198" s="138">
        <v>2.73</v>
      </c>
      <c r="L198" s="207">
        <v>0</v>
      </c>
      <c r="M198" s="206"/>
      <c r="N198" s="208">
        <f>ROUND($L$198*$K$198,2)</f>
        <v>0</v>
      </c>
      <c r="O198" s="206"/>
      <c r="P198" s="206"/>
      <c r="Q198" s="206"/>
      <c r="R198" s="25"/>
      <c r="T198" s="139"/>
      <c r="U198" s="31" t="s">
        <v>45</v>
      </c>
      <c r="V198" s="140">
        <v>0.67</v>
      </c>
      <c r="W198" s="140">
        <f>$V$198*$K$198</f>
        <v>1.8291000000000002</v>
      </c>
      <c r="X198" s="140">
        <v>0.01838</v>
      </c>
      <c r="Y198" s="140">
        <f>$X$198*$K$198</f>
        <v>0.050177400000000004</v>
      </c>
      <c r="Z198" s="140">
        <v>0</v>
      </c>
      <c r="AA198" s="141">
        <f>$Z$198*$K$198</f>
        <v>0</v>
      </c>
      <c r="AR198" s="6" t="s">
        <v>162</v>
      </c>
      <c r="AT198" s="6" t="s">
        <v>158</v>
      </c>
      <c r="AU198" s="6" t="s">
        <v>98</v>
      </c>
      <c r="AY198" s="6" t="s">
        <v>157</v>
      </c>
      <c r="BE198" s="88">
        <f>IF($U$198="základní",$N$198,0)</f>
        <v>0</v>
      </c>
      <c r="BF198" s="88">
        <f>IF($U$198="snížená",$N$198,0)</f>
        <v>0</v>
      </c>
      <c r="BG198" s="88">
        <f>IF($U$198="zákl. přenesená",$N$198,0)</f>
        <v>0</v>
      </c>
      <c r="BH198" s="88">
        <f>IF($U$198="sníž. přenesená",$N$198,0)</f>
        <v>0</v>
      </c>
      <c r="BI198" s="88">
        <f>IF($U$198="nulová",$N$198,0)</f>
        <v>0</v>
      </c>
      <c r="BJ198" s="6" t="s">
        <v>21</v>
      </c>
      <c r="BK198" s="88">
        <f>ROUND($L$198*$K$198,2)</f>
        <v>0</v>
      </c>
      <c r="BL198" s="6" t="s">
        <v>162</v>
      </c>
    </row>
    <row r="199" spans="2:64" s="6" customFormat="1" ht="39" customHeight="1">
      <c r="B199" s="23"/>
      <c r="C199" s="135" t="s">
        <v>318</v>
      </c>
      <c r="D199" s="135" t="s">
        <v>158</v>
      </c>
      <c r="E199" s="136" t="s">
        <v>319</v>
      </c>
      <c r="F199" s="205" t="s">
        <v>320</v>
      </c>
      <c r="G199" s="206"/>
      <c r="H199" s="206"/>
      <c r="I199" s="206"/>
      <c r="J199" s="137" t="s">
        <v>165</v>
      </c>
      <c r="K199" s="138">
        <v>241.85</v>
      </c>
      <c r="L199" s="207">
        <v>0</v>
      </c>
      <c r="M199" s="206"/>
      <c r="N199" s="208">
        <f>ROUND($L$199*$K$199,2)</f>
        <v>0</v>
      </c>
      <c r="O199" s="206"/>
      <c r="P199" s="206"/>
      <c r="Q199" s="206"/>
      <c r="R199" s="25"/>
      <c r="T199" s="139"/>
      <c r="U199" s="31" t="s">
        <v>45</v>
      </c>
      <c r="V199" s="140">
        <v>0.28</v>
      </c>
      <c r="W199" s="140">
        <f>$V$199*$K$199</f>
        <v>67.718</v>
      </c>
      <c r="X199" s="140">
        <v>0.01575</v>
      </c>
      <c r="Y199" s="140">
        <f>$X$199*$K$199</f>
        <v>3.8091375</v>
      </c>
      <c r="Z199" s="140">
        <v>0</v>
      </c>
      <c r="AA199" s="141">
        <f>$Z$199*$K$199</f>
        <v>0</v>
      </c>
      <c r="AR199" s="6" t="s">
        <v>162</v>
      </c>
      <c r="AT199" s="6" t="s">
        <v>158</v>
      </c>
      <c r="AU199" s="6" t="s">
        <v>98</v>
      </c>
      <c r="AY199" s="6" t="s">
        <v>157</v>
      </c>
      <c r="BE199" s="88">
        <f>IF($U$199="základní",$N$199,0)</f>
        <v>0</v>
      </c>
      <c r="BF199" s="88">
        <f>IF($U$199="snížená",$N$199,0)</f>
        <v>0</v>
      </c>
      <c r="BG199" s="88">
        <f>IF($U$199="zákl. přenesená",$N$199,0)</f>
        <v>0</v>
      </c>
      <c r="BH199" s="88">
        <f>IF($U$199="sníž. přenesená",$N$199,0)</f>
        <v>0</v>
      </c>
      <c r="BI199" s="88">
        <f>IF($U$199="nulová",$N$199,0)</f>
        <v>0</v>
      </c>
      <c r="BJ199" s="6" t="s">
        <v>21</v>
      </c>
      <c r="BK199" s="88">
        <f>ROUND($L$199*$K$199,2)</f>
        <v>0</v>
      </c>
      <c r="BL199" s="6" t="s">
        <v>162</v>
      </c>
    </row>
    <row r="200" spans="2:64" s="6" customFormat="1" ht="27" customHeight="1">
      <c r="B200" s="23"/>
      <c r="C200" s="135" t="s">
        <v>321</v>
      </c>
      <c r="D200" s="135" t="s">
        <v>158</v>
      </c>
      <c r="E200" s="136" t="s">
        <v>322</v>
      </c>
      <c r="F200" s="205" t="s">
        <v>323</v>
      </c>
      <c r="G200" s="206"/>
      <c r="H200" s="206"/>
      <c r="I200" s="206"/>
      <c r="J200" s="137" t="s">
        <v>165</v>
      </c>
      <c r="K200" s="138">
        <v>241.85</v>
      </c>
      <c r="L200" s="207">
        <v>0</v>
      </c>
      <c r="M200" s="206"/>
      <c r="N200" s="208">
        <f>ROUND($L$200*$K$200,2)</f>
        <v>0</v>
      </c>
      <c r="O200" s="206"/>
      <c r="P200" s="206"/>
      <c r="Q200" s="206"/>
      <c r="R200" s="25"/>
      <c r="T200" s="139"/>
      <c r="U200" s="31" t="s">
        <v>45</v>
      </c>
      <c r="V200" s="140">
        <v>0.245</v>
      </c>
      <c r="W200" s="140">
        <f>$V$200*$K$200</f>
        <v>59.253249999999994</v>
      </c>
      <c r="X200" s="140">
        <v>0.00198</v>
      </c>
      <c r="Y200" s="140">
        <f>$X$200*$K$200</f>
        <v>0.478863</v>
      </c>
      <c r="Z200" s="140">
        <v>0</v>
      </c>
      <c r="AA200" s="141">
        <f>$Z$200*$K$200</f>
        <v>0</v>
      </c>
      <c r="AR200" s="6" t="s">
        <v>162</v>
      </c>
      <c r="AT200" s="6" t="s">
        <v>158</v>
      </c>
      <c r="AU200" s="6" t="s">
        <v>98</v>
      </c>
      <c r="AY200" s="6" t="s">
        <v>157</v>
      </c>
      <c r="BE200" s="88">
        <f>IF($U$200="základní",$N$200,0)</f>
        <v>0</v>
      </c>
      <c r="BF200" s="88">
        <f>IF($U$200="snížená",$N$200,0)</f>
        <v>0</v>
      </c>
      <c r="BG200" s="88">
        <f>IF($U$200="zákl. přenesená",$N$200,0)</f>
        <v>0</v>
      </c>
      <c r="BH200" s="88">
        <f>IF($U$200="sníž. přenesená",$N$200,0)</f>
        <v>0</v>
      </c>
      <c r="BI200" s="88">
        <f>IF($U$200="nulová",$N$200,0)</f>
        <v>0</v>
      </c>
      <c r="BJ200" s="6" t="s">
        <v>21</v>
      </c>
      <c r="BK200" s="88">
        <f>ROUND($L$200*$K$200,2)</f>
        <v>0</v>
      </c>
      <c r="BL200" s="6" t="s">
        <v>162</v>
      </c>
    </row>
    <row r="201" spans="2:64" s="6" customFormat="1" ht="27" customHeight="1">
      <c r="B201" s="23"/>
      <c r="C201" s="135" t="s">
        <v>324</v>
      </c>
      <c r="D201" s="135" t="s">
        <v>158</v>
      </c>
      <c r="E201" s="136" t="s">
        <v>325</v>
      </c>
      <c r="F201" s="205" t="s">
        <v>326</v>
      </c>
      <c r="G201" s="206"/>
      <c r="H201" s="206"/>
      <c r="I201" s="206"/>
      <c r="J201" s="137" t="s">
        <v>171</v>
      </c>
      <c r="K201" s="138">
        <v>242.115</v>
      </c>
      <c r="L201" s="207">
        <v>0</v>
      </c>
      <c r="M201" s="206"/>
      <c r="N201" s="208">
        <f>ROUND($L$201*$K$201,2)</f>
        <v>0</v>
      </c>
      <c r="O201" s="206"/>
      <c r="P201" s="206"/>
      <c r="Q201" s="206"/>
      <c r="R201" s="25"/>
      <c r="T201" s="139"/>
      <c r="U201" s="31" t="s">
        <v>45</v>
      </c>
      <c r="V201" s="140">
        <v>2.58</v>
      </c>
      <c r="W201" s="140">
        <f>$V$201*$K$201</f>
        <v>624.6567</v>
      </c>
      <c r="X201" s="140">
        <v>2.45329</v>
      </c>
      <c r="Y201" s="140">
        <f>$X$201*$K$201</f>
        <v>593.97830835</v>
      </c>
      <c r="Z201" s="140">
        <v>0</v>
      </c>
      <c r="AA201" s="141">
        <f>$Z$201*$K$201</f>
        <v>0</v>
      </c>
      <c r="AR201" s="6" t="s">
        <v>162</v>
      </c>
      <c r="AT201" s="6" t="s">
        <v>158</v>
      </c>
      <c r="AU201" s="6" t="s">
        <v>98</v>
      </c>
      <c r="AY201" s="6" t="s">
        <v>157</v>
      </c>
      <c r="BE201" s="88">
        <f>IF($U$201="základní",$N$201,0)</f>
        <v>0</v>
      </c>
      <c r="BF201" s="88">
        <f>IF($U$201="snížená",$N$201,0)</f>
        <v>0</v>
      </c>
      <c r="BG201" s="88">
        <f>IF($U$201="zákl. přenesená",$N$201,0)</f>
        <v>0</v>
      </c>
      <c r="BH201" s="88">
        <f>IF($U$201="sníž. přenesená",$N$201,0)</f>
        <v>0</v>
      </c>
      <c r="BI201" s="88">
        <f>IF($U$201="nulová",$N$201,0)</f>
        <v>0</v>
      </c>
      <c r="BJ201" s="6" t="s">
        <v>21</v>
      </c>
      <c r="BK201" s="88">
        <f>ROUND($L$201*$K$201,2)</f>
        <v>0</v>
      </c>
      <c r="BL201" s="6" t="s">
        <v>162</v>
      </c>
    </row>
    <row r="202" spans="2:64" s="6" customFormat="1" ht="27" customHeight="1">
      <c r="B202" s="23"/>
      <c r="C202" s="135" t="s">
        <v>327</v>
      </c>
      <c r="D202" s="135" t="s">
        <v>158</v>
      </c>
      <c r="E202" s="136" t="s">
        <v>328</v>
      </c>
      <c r="F202" s="205" t="s">
        <v>329</v>
      </c>
      <c r="G202" s="206"/>
      <c r="H202" s="206"/>
      <c r="I202" s="206"/>
      <c r="J202" s="137" t="s">
        <v>171</v>
      </c>
      <c r="K202" s="138">
        <v>242.115</v>
      </c>
      <c r="L202" s="207">
        <v>0</v>
      </c>
      <c r="M202" s="206"/>
      <c r="N202" s="208">
        <f>ROUND($L$202*$K$202,2)</f>
        <v>0</v>
      </c>
      <c r="O202" s="206"/>
      <c r="P202" s="206"/>
      <c r="Q202" s="206"/>
      <c r="R202" s="25"/>
      <c r="T202" s="139"/>
      <c r="U202" s="31" t="s">
        <v>45</v>
      </c>
      <c r="V202" s="140">
        <v>0.675</v>
      </c>
      <c r="W202" s="140">
        <f>$V$202*$K$202</f>
        <v>163.427625</v>
      </c>
      <c r="X202" s="140">
        <v>0.01</v>
      </c>
      <c r="Y202" s="140">
        <f>$X$202*$K$202</f>
        <v>2.4211500000000004</v>
      </c>
      <c r="Z202" s="140">
        <v>0</v>
      </c>
      <c r="AA202" s="141">
        <f>$Z$202*$K$202</f>
        <v>0</v>
      </c>
      <c r="AR202" s="6" t="s">
        <v>162</v>
      </c>
      <c r="AT202" s="6" t="s">
        <v>158</v>
      </c>
      <c r="AU202" s="6" t="s">
        <v>98</v>
      </c>
      <c r="AY202" s="6" t="s">
        <v>157</v>
      </c>
      <c r="BE202" s="88">
        <f>IF($U$202="základní",$N$202,0)</f>
        <v>0</v>
      </c>
      <c r="BF202" s="88">
        <f>IF($U$202="snížená",$N$202,0)</f>
        <v>0</v>
      </c>
      <c r="BG202" s="88">
        <f>IF($U$202="zákl. přenesená",$N$202,0)</f>
        <v>0</v>
      </c>
      <c r="BH202" s="88">
        <f>IF($U$202="sníž. přenesená",$N$202,0)</f>
        <v>0</v>
      </c>
      <c r="BI202" s="88">
        <f>IF($U$202="nulová",$N$202,0)</f>
        <v>0</v>
      </c>
      <c r="BJ202" s="6" t="s">
        <v>21</v>
      </c>
      <c r="BK202" s="88">
        <f>ROUND($L$202*$K$202,2)</f>
        <v>0</v>
      </c>
      <c r="BL202" s="6" t="s">
        <v>162</v>
      </c>
    </row>
    <row r="203" spans="2:64" s="6" customFormat="1" ht="39" customHeight="1">
      <c r="B203" s="23"/>
      <c r="C203" s="135" t="s">
        <v>330</v>
      </c>
      <c r="D203" s="135" t="s">
        <v>158</v>
      </c>
      <c r="E203" s="136" t="s">
        <v>331</v>
      </c>
      <c r="F203" s="205" t="s">
        <v>332</v>
      </c>
      <c r="G203" s="206"/>
      <c r="H203" s="206"/>
      <c r="I203" s="206"/>
      <c r="J203" s="137" t="s">
        <v>171</v>
      </c>
      <c r="K203" s="138">
        <v>242.115</v>
      </c>
      <c r="L203" s="207">
        <v>0</v>
      </c>
      <c r="M203" s="206"/>
      <c r="N203" s="208">
        <f>ROUND($L$203*$K$203,2)</f>
        <v>0</v>
      </c>
      <c r="O203" s="206"/>
      <c r="P203" s="206"/>
      <c r="Q203" s="206"/>
      <c r="R203" s="25"/>
      <c r="T203" s="139"/>
      <c r="U203" s="31" t="s">
        <v>45</v>
      </c>
      <c r="V203" s="140">
        <v>0.088</v>
      </c>
      <c r="W203" s="140">
        <f>$V$203*$K$203</f>
        <v>21.30612</v>
      </c>
      <c r="X203" s="140">
        <v>0.03535</v>
      </c>
      <c r="Y203" s="140">
        <f>$X$203*$K$203</f>
        <v>8.55876525</v>
      </c>
      <c r="Z203" s="140">
        <v>0</v>
      </c>
      <c r="AA203" s="141">
        <f>$Z$203*$K$203</f>
        <v>0</v>
      </c>
      <c r="AR203" s="6" t="s">
        <v>162</v>
      </c>
      <c r="AT203" s="6" t="s">
        <v>158</v>
      </c>
      <c r="AU203" s="6" t="s">
        <v>98</v>
      </c>
      <c r="AY203" s="6" t="s">
        <v>157</v>
      </c>
      <c r="BE203" s="88">
        <f>IF($U$203="základní",$N$203,0)</f>
        <v>0</v>
      </c>
      <c r="BF203" s="88">
        <f>IF($U$203="snížená",$N$203,0)</f>
        <v>0</v>
      </c>
      <c r="BG203" s="88">
        <f>IF($U$203="zákl. přenesená",$N$203,0)</f>
        <v>0</v>
      </c>
      <c r="BH203" s="88">
        <f>IF($U$203="sníž. přenesená",$N$203,0)</f>
        <v>0</v>
      </c>
      <c r="BI203" s="88">
        <f>IF($U$203="nulová",$N$203,0)</f>
        <v>0</v>
      </c>
      <c r="BJ203" s="6" t="s">
        <v>21</v>
      </c>
      <c r="BK203" s="88">
        <f>ROUND($L$203*$K$203,2)</f>
        <v>0</v>
      </c>
      <c r="BL203" s="6" t="s">
        <v>162</v>
      </c>
    </row>
    <row r="204" spans="2:64" s="6" customFormat="1" ht="15.75" customHeight="1">
      <c r="B204" s="23"/>
      <c r="C204" s="135" t="s">
        <v>333</v>
      </c>
      <c r="D204" s="135" t="s">
        <v>158</v>
      </c>
      <c r="E204" s="136" t="s">
        <v>334</v>
      </c>
      <c r="F204" s="205" t="s">
        <v>335</v>
      </c>
      <c r="G204" s="206"/>
      <c r="H204" s="206"/>
      <c r="I204" s="206"/>
      <c r="J204" s="137" t="s">
        <v>165</v>
      </c>
      <c r="K204" s="138">
        <v>242.115</v>
      </c>
      <c r="L204" s="207">
        <v>0</v>
      </c>
      <c r="M204" s="206"/>
      <c r="N204" s="208">
        <f>ROUND($L$204*$K$204,2)</f>
        <v>0</v>
      </c>
      <c r="O204" s="206"/>
      <c r="P204" s="206"/>
      <c r="Q204" s="206"/>
      <c r="R204" s="25"/>
      <c r="T204" s="139"/>
      <c r="U204" s="31" t="s">
        <v>45</v>
      </c>
      <c r="V204" s="140">
        <v>0</v>
      </c>
      <c r="W204" s="140">
        <f>$V$204*$K$204</f>
        <v>0</v>
      </c>
      <c r="X204" s="140">
        <v>0</v>
      </c>
      <c r="Y204" s="140">
        <f>$X$204*$K$204</f>
        <v>0</v>
      </c>
      <c r="Z204" s="140">
        <v>0</v>
      </c>
      <c r="AA204" s="141">
        <f>$Z$204*$K$204</f>
        <v>0</v>
      </c>
      <c r="AR204" s="6" t="s">
        <v>162</v>
      </c>
      <c r="AT204" s="6" t="s">
        <v>158</v>
      </c>
      <c r="AU204" s="6" t="s">
        <v>98</v>
      </c>
      <c r="AY204" s="6" t="s">
        <v>157</v>
      </c>
      <c r="BE204" s="88">
        <f>IF($U$204="základní",$N$204,0)</f>
        <v>0</v>
      </c>
      <c r="BF204" s="88">
        <f>IF($U$204="snížená",$N$204,0)</f>
        <v>0</v>
      </c>
      <c r="BG204" s="88">
        <f>IF($U$204="zákl. přenesená",$N$204,0)</f>
        <v>0</v>
      </c>
      <c r="BH204" s="88">
        <f>IF($U$204="sníž. přenesená",$N$204,0)</f>
        <v>0</v>
      </c>
      <c r="BI204" s="88">
        <f>IF($U$204="nulová",$N$204,0)</f>
        <v>0</v>
      </c>
      <c r="BJ204" s="6" t="s">
        <v>21</v>
      </c>
      <c r="BK204" s="88">
        <f>ROUND($L$204*$K$204,2)</f>
        <v>0</v>
      </c>
      <c r="BL204" s="6" t="s">
        <v>162</v>
      </c>
    </row>
    <row r="205" spans="2:64" s="6" customFormat="1" ht="27" customHeight="1">
      <c r="B205" s="23"/>
      <c r="C205" s="135" t="s">
        <v>336</v>
      </c>
      <c r="D205" s="135" t="s">
        <v>158</v>
      </c>
      <c r="E205" s="136" t="s">
        <v>337</v>
      </c>
      <c r="F205" s="205" t="s">
        <v>338</v>
      </c>
      <c r="G205" s="206"/>
      <c r="H205" s="206"/>
      <c r="I205" s="206"/>
      <c r="J205" s="137" t="s">
        <v>209</v>
      </c>
      <c r="K205" s="138">
        <v>660</v>
      </c>
      <c r="L205" s="207">
        <v>0</v>
      </c>
      <c r="M205" s="206"/>
      <c r="N205" s="208">
        <f>ROUND($L$205*$K$205,2)</f>
        <v>0</v>
      </c>
      <c r="O205" s="206"/>
      <c r="P205" s="206"/>
      <c r="Q205" s="206"/>
      <c r="R205" s="25"/>
      <c r="T205" s="139"/>
      <c r="U205" s="31" t="s">
        <v>45</v>
      </c>
      <c r="V205" s="140">
        <v>0.042</v>
      </c>
      <c r="W205" s="140">
        <f>$V$205*$K$205</f>
        <v>27.720000000000002</v>
      </c>
      <c r="X205" s="140">
        <v>5E-05</v>
      </c>
      <c r="Y205" s="140">
        <f>$X$205*$K$205</f>
        <v>0.033</v>
      </c>
      <c r="Z205" s="140">
        <v>0</v>
      </c>
      <c r="AA205" s="141">
        <f>$Z$205*$K$205</f>
        <v>0</v>
      </c>
      <c r="AR205" s="6" t="s">
        <v>162</v>
      </c>
      <c r="AT205" s="6" t="s">
        <v>158</v>
      </c>
      <c r="AU205" s="6" t="s">
        <v>98</v>
      </c>
      <c r="AY205" s="6" t="s">
        <v>157</v>
      </c>
      <c r="BE205" s="88">
        <f>IF($U$205="základní",$N$205,0)</f>
        <v>0</v>
      </c>
      <c r="BF205" s="88">
        <f>IF($U$205="snížená",$N$205,0)</f>
        <v>0</v>
      </c>
      <c r="BG205" s="88">
        <f>IF($U$205="zákl. přenesená",$N$205,0)</f>
        <v>0</v>
      </c>
      <c r="BH205" s="88">
        <f>IF($U$205="sníž. přenesená",$N$205,0)</f>
        <v>0</v>
      </c>
      <c r="BI205" s="88">
        <f>IF($U$205="nulová",$N$205,0)</f>
        <v>0</v>
      </c>
      <c r="BJ205" s="6" t="s">
        <v>21</v>
      </c>
      <c r="BK205" s="88">
        <f>ROUND($L$205*$K$205,2)</f>
        <v>0</v>
      </c>
      <c r="BL205" s="6" t="s">
        <v>162</v>
      </c>
    </row>
    <row r="206" spans="2:64" s="6" customFormat="1" ht="27" customHeight="1">
      <c r="B206" s="23"/>
      <c r="C206" s="135" t="s">
        <v>339</v>
      </c>
      <c r="D206" s="135" t="s">
        <v>158</v>
      </c>
      <c r="E206" s="136" t="s">
        <v>340</v>
      </c>
      <c r="F206" s="205" t="s">
        <v>341</v>
      </c>
      <c r="G206" s="206"/>
      <c r="H206" s="206"/>
      <c r="I206" s="206"/>
      <c r="J206" s="137" t="s">
        <v>209</v>
      </c>
      <c r="K206" s="138">
        <v>660</v>
      </c>
      <c r="L206" s="207">
        <v>0</v>
      </c>
      <c r="M206" s="206"/>
      <c r="N206" s="208">
        <f>ROUND($L$206*$K$206,2)</f>
        <v>0</v>
      </c>
      <c r="O206" s="206"/>
      <c r="P206" s="206"/>
      <c r="Q206" s="206"/>
      <c r="R206" s="25"/>
      <c r="T206" s="139"/>
      <c r="U206" s="31" t="s">
        <v>45</v>
      </c>
      <c r="V206" s="140">
        <v>0</v>
      </c>
      <c r="W206" s="140">
        <f>$V$206*$K$206</f>
        <v>0</v>
      </c>
      <c r="X206" s="140">
        <v>0</v>
      </c>
      <c r="Y206" s="140">
        <f>$X$206*$K$206</f>
        <v>0</v>
      </c>
      <c r="Z206" s="140">
        <v>0</v>
      </c>
      <c r="AA206" s="141">
        <f>$Z$206*$K$206</f>
        <v>0</v>
      </c>
      <c r="AR206" s="6" t="s">
        <v>162</v>
      </c>
      <c r="AT206" s="6" t="s">
        <v>158</v>
      </c>
      <c r="AU206" s="6" t="s">
        <v>98</v>
      </c>
      <c r="AY206" s="6" t="s">
        <v>157</v>
      </c>
      <c r="BE206" s="88">
        <f>IF($U$206="základní",$N$206,0)</f>
        <v>0</v>
      </c>
      <c r="BF206" s="88">
        <f>IF($U$206="snížená",$N$206,0)</f>
        <v>0</v>
      </c>
      <c r="BG206" s="88">
        <f>IF($U$206="zákl. přenesená",$N$206,0)</f>
        <v>0</v>
      </c>
      <c r="BH206" s="88">
        <f>IF($U$206="sníž. přenesená",$N$206,0)</f>
        <v>0</v>
      </c>
      <c r="BI206" s="88">
        <f>IF($U$206="nulová",$N$206,0)</f>
        <v>0</v>
      </c>
      <c r="BJ206" s="6" t="s">
        <v>21</v>
      </c>
      <c r="BK206" s="88">
        <f>ROUND($L$206*$K$206,2)</f>
        <v>0</v>
      </c>
      <c r="BL206" s="6" t="s">
        <v>162</v>
      </c>
    </row>
    <row r="207" spans="2:64" s="6" customFormat="1" ht="15.75" customHeight="1">
      <c r="B207" s="23"/>
      <c r="C207" s="135" t="s">
        <v>342</v>
      </c>
      <c r="D207" s="135" t="s">
        <v>158</v>
      </c>
      <c r="E207" s="136" t="s">
        <v>343</v>
      </c>
      <c r="F207" s="205" t="s">
        <v>344</v>
      </c>
      <c r="G207" s="206"/>
      <c r="H207" s="206"/>
      <c r="I207" s="206"/>
      <c r="J207" s="137" t="s">
        <v>171</v>
      </c>
      <c r="K207" s="138">
        <v>13.75</v>
      </c>
      <c r="L207" s="207">
        <v>0</v>
      </c>
      <c r="M207" s="206"/>
      <c r="N207" s="208">
        <f>ROUND($L$207*$K$207,2)</f>
        <v>0</v>
      </c>
      <c r="O207" s="206"/>
      <c r="P207" s="206"/>
      <c r="Q207" s="206"/>
      <c r="R207" s="25"/>
      <c r="T207" s="139"/>
      <c r="U207" s="31" t="s">
        <v>45</v>
      </c>
      <c r="V207" s="140">
        <v>1.836</v>
      </c>
      <c r="W207" s="140">
        <f>$V$207*$K$207</f>
        <v>25.245</v>
      </c>
      <c r="X207" s="140">
        <v>1.2</v>
      </c>
      <c r="Y207" s="140">
        <f>$X$207*$K$207</f>
        <v>16.5</v>
      </c>
      <c r="Z207" s="140">
        <v>0</v>
      </c>
      <c r="AA207" s="141">
        <f>$Z$207*$K$207</f>
        <v>0</v>
      </c>
      <c r="AR207" s="6" t="s">
        <v>162</v>
      </c>
      <c r="AT207" s="6" t="s">
        <v>158</v>
      </c>
      <c r="AU207" s="6" t="s">
        <v>98</v>
      </c>
      <c r="AY207" s="6" t="s">
        <v>157</v>
      </c>
      <c r="BE207" s="88">
        <f>IF($U$207="základní",$N$207,0)</f>
        <v>0</v>
      </c>
      <c r="BF207" s="88">
        <f>IF($U$207="snížená",$N$207,0)</f>
        <v>0</v>
      </c>
      <c r="BG207" s="88">
        <f>IF($U$207="zákl. přenesená",$N$207,0)</f>
        <v>0</v>
      </c>
      <c r="BH207" s="88">
        <f>IF($U$207="sníž. přenesená",$N$207,0)</f>
        <v>0</v>
      </c>
      <c r="BI207" s="88">
        <f>IF($U$207="nulová",$N$207,0)</f>
        <v>0</v>
      </c>
      <c r="BJ207" s="6" t="s">
        <v>21</v>
      </c>
      <c r="BK207" s="88">
        <f>ROUND($L$207*$K$207,2)</f>
        <v>0</v>
      </c>
      <c r="BL207" s="6" t="s">
        <v>162</v>
      </c>
    </row>
    <row r="208" spans="2:64" s="6" customFormat="1" ht="15.75" customHeight="1">
      <c r="B208" s="23"/>
      <c r="C208" s="135" t="s">
        <v>345</v>
      </c>
      <c r="D208" s="135" t="s">
        <v>158</v>
      </c>
      <c r="E208" s="136" t="s">
        <v>346</v>
      </c>
      <c r="F208" s="205" t="s">
        <v>347</v>
      </c>
      <c r="G208" s="206"/>
      <c r="H208" s="206"/>
      <c r="I208" s="206"/>
      <c r="J208" s="137" t="s">
        <v>348</v>
      </c>
      <c r="K208" s="138">
        <v>516</v>
      </c>
      <c r="L208" s="207">
        <v>0</v>
      </c>
      <c r="M208" s="206"/>
      <c r="N208" s="208">
        <f>ROUND($L$208*$K$208,2)</f>
        <v>0</v>
      </c>
      <c r="O208" s="206"/>
      <c r="P208" s="206"/>
      <c r="Q208" s="206"/>
      <c r="R208" s="25"/>
      <c r="T208" s="139"/>
      <c r="U208" s="31" t="s">
        <v>45</v>
      </c>
      <c r="V208" s="140">
        <v>0</v>
      </c>
      <c r="W208" s="140">
        <f>$V$208*$K$208</f>
        <v>0</v>
      </c>
      <c r="X208" s="140">
        <v>0</v>
      </c>
      <c r="Y208" s="140">
        <f>$X$208*$K$208</f>
        <v>0</v>
      </c>
      <c r="Z208" s="140">
        <v>0</v>
      </c>
      <c r="AA208" s="141">
        <f>$Z$208*$K$208</f>
        <v>0</v>
      </c>
      <c r="AR208" s="6" t="s">
        <v>162</v>
      </c>
      <c r="AT208" s="6" t="s">
        <v>158</v>
      </c>
      <c r="AU208" s="6" t="s">
        <v>98</v>
      </c>
      <c r="AY208" s="6" t="s">
        <v>157</v>
      </c>
      <c r="BE208" s="88">
        <f>IF($U$208="základní",$N$208,0)</f>
        <v>0</v>
      </c>
      <c r="BF208" s="88">
        <f>IF($U$208="snížená",$N$208,0)</f>
        <v>0</v>
      </c>
      <c r="BG208" s="88">
        <f>IF($U$208="zákl. přenesená",$N$208,0)</f>
        <v>0</v>
      </c>
      <c r="BH208" s="88">
        <f>IF($U$208="sníž. přenesená",$N$208,0)</f>
        <v>0</v>
      </c>
      <c r="BI208" s="88">
        <f>IF($U$208="nulová",$N$208,0)</f>
        <v>0</v>
      </c>
      <c r="BJ208" s="6" t="s">
        <v>21</v>
      </c>
      <c r="BK208" s="88">
        <f>ROUND($L$208*$K$208,2)</f>
        <v>0</v>
      </c>
      <c r="BL208" s="6" t="s">
        <v>162</v>
      </c>
    </row>
    <row r="209" spans="2:63" s="124" customFormat="1" ht="30.75" customHeight="1">
      <c r="B209" s="125"/>
      <c r="C209" s="126"/>
      <c r="D209" s="134" t="s">
        <v>117</v>
      </c>
      <c r="E209" s="126"/>
      <c r="F209" s="126"/>
      <c r="G209" s="126"/>
      <c r="H209" s="126"/>
      <c r="I209" s="126"/>
      <c r="J209" s="126"/>
      <c r="K209" s="126"/>
      <c r="L209" s="126"/>
      <c r="M209" s="126"/>
      <c r="N209" s="217">
        <f>$BK$209</f>
        <v>0</v>
      </c>
      <c r="O209" s="216"/>
      <c r="P209" s="216"/>
      <c r="Q209" s="216"/>
      <c r="R209" s="128"/>
      <c r="T209" s="129"/>
      <c r="U209" s="126"/>
      <c r="V209" s="126"/>
      <c r="W209" s="130">
        <f>SUM($W$210:$W$219)</f>
        <v>1592.59568</v>
      </c>
      <c r="X209" s="126"/>
      <c r="Y209" s="130">
        <f>SUM($Y$210:$Y$219)</f>
        <v>0.004922</v>
      </c>
      <c r="Z209" s="126"/>
      <c r="AA209" s="131">
        <f>SUM($AA$210:$AA$219)</f>
        <v>418.2324</v>
      </c>
      <c r="AR209" s="132" t="s">
        <v>21</v>
      </c>
      <c r="AT209" s="132" t="s">
        <v>79</v>
      </c>
      <c r="AU209" s="132" t="s">
        <v>21</v>
      </c>
      <c r="AY209" s="132" t="s">
        <v>157</v>
      </c>
      <c r="BK209" s="133">
        <f>SUM($BK$210:$BK$219)</f>
        <v>0</v>
      </c>
    </row>
    <row r="210" spans="2:64" s="6" customFormat="1" ht="15.75" customHeight="1">
      <c r="B210" s="23"/>
      <c r="C210" s="135" t="s">
        <v>349</v>
      </c>
      <c r="D210" s="135" t="s">
        <v>158</v>
      </c>
      <c r="E210" s="136" t="s">
        <v>350</v>
      </c>
      <c r="F210" s="205" t="s">
        <v>351</v>
      </c>
      <c r="G210" s="206"/>
      <c r="H210" s="206"/>
      <c r="I210" s="206"/>
      <c r="J210" s="137" t="s">
        <v>209</v>
      </c>
      <c r="K210" s="138">
        <v>303</v>
      </c>
      <c r="L210" s="207">
        <v>0</v>
      </c>
      <c r="M210" s="206"/>
      <c r="N210" s="208">
        <f>ROUND($L$210*$K$210,2)</f>
        <v>0</v>
      </c>
      <c r="O210" s="206"/>
      <c r="P210" s="206"/>
      <c r="Q210" s="206"/>
      <c r="R210" s="25"/>
      <c r="T210" s="139"/>
      <c r="U210" s="31" t="s">
        <v>45</v>
      </c>
      <c r="V210" s="140">
        <v>0.307</v>
      </c>
      <c r="W210" s="140">
        <f>$V$210*$K$210</f>
        <v>93.021</v>
      </c>
      <c r="X210" s="140">
        <v>0</v>
      </c>
      <c r="Y210" s="140">
        <f>$X$210*$K$210</f>
        <v>0</v>
      </c>
      <c r="Z210" s="140">
        <v>0</v>
      </c>
      <c r="AA210" s="141">
        <f>$Z$210*$K$210</f>
        <v>0</v>
      </c>
      <c r="AR210" s="6" t="s">
        <v>162</v>
      </c>
      <c r="AT210" s="6" t="s">
        <v>158</v>
      </c>
      <c r="AU210" s="6" t="s">
        <v>98</v>
      </c>
      <c r="AY210" s="6" t="s">
        <v>157</v>
      </c>
      <c r="BE210" s="88">
        <f>IF($U$210="základní",$N$210,0)</f>
        <v>0</v>
      </c>
      <c r="BF210" s="88">
        <f>IF($U$210="snížená",$N$210,0)</f>
        <v>0</v>
      </c>
      <c r="BG210" s="88">
        <f>IF($U$210="zákl. přenesená",$N$210,0)</f>
        <v>0</v>
      </c>
      <c r="BH210" s="88">
        <f>IF($U$210="sníž. přenesená",$N$210,0)</f>
        <v>0</v>
      </c>
      <c r="BI210" s="88">
        <f>IF($U$210="nulová",$N$210,0)</f>
        <v>0</v>
      </c>
      <c r="BJ210" s="6" t="s">
        <v>21</v>
      </c>
      <c r="BK210" s="88">
        <f>ROUND($L$210*$K$210,2)</f>
        <v>0</v>
      </c>
      <c r="BL210" s="6" t="s">
        <v>162</v>
      </c>
    </row>
    <row r="211" spans="2:64" s="6" customFormat="1" ht="39" customHeight="1">
      <c r="B211" s="23"/>
      <c r="C211" s="135" t="s">
        <v>352</v>
      </c>
      <c r="D211" s="135" t="s">
        <v>158</v>
      </c>
      <c r="E211" s="136" t="s">
        <v>353</v>
      </c>
      <c r="F211" s="205" t="s">
        <v>354</v>
      </c>
      <c r="G211" s="206"/>
      <c r="H211" s="206"/>
      <c r="I211" s="206"/>
      <c r="J211" s="137" t="s">
        <v>165</v>
      </c>
      <c r="K211" s="138">
        <v>1614.24</v>
      </c>
      <c r="L211" s="207">
        <v>0</v>
      </c>
      <c r="M211" s="206"/>
      <c r="N211" s="208">
        <f>ROUND($L$211*$K$211,2)</f>
        <v>0</v>
      </c>
      <c r="O211" s="206"/>
      <c r="P211" s="206"/>
      <c r="Q211" s="206"/>
      <c r="R211" s="25"/>
      <c r="T211" s="139"/>
      <c r="U211" s="31" t="s">
        <v>45</v>
      </c>
      <c r="V211" s="140">
        <v>0.14</v>
      </c>
      <c r="W211" s="140">
        <f>$V$211*$K$211</f>
        <v>225.99360000000001</v>
      </c>
      <c r="X211" s="140">
        <v>0</v>
      </c>
      <c r="Y211" s="140">
        <f>$X$211*$K$211</f>
        <v>0</v>
      </c>
      <c r="Z211" s="140">
        <v>0</v>
      </c>
      <c r="AA211" s="141">
        <f>$Z$211*$K$211</f>
        <v>0</v>
      </c>
      <c r="AR211" s="6" t="s">
        <v>162</v>
      </c>
      <c r="AT211" s="6" t="s">
        <v>158</v>
      </c>
      <c r="AU211" s="6" t="s">
        <v>98</v>
      </c>
      <c r="AY211" s="6" t="s">
        <v>157</v>
      </c>
      <c r="BE211" s="88">
        <f>IF($U$211="základní",$N$211,0)</f>
        <v>0</v>
      </c>
      <c r="BF211" s="88">
        <f>IF($U$211="snížená",$N$211,0)</f>
        <v>0</v>
      </c>
      <c r="BG211" s="88">
        <f>IF($U$211="zákl. přenesená",$N$211,0)</f>
        <v>0</v>
      </c>
      <c r="BH211" s="88">
        <f>IF($U$211="sníž. přenesená",$N$211,0)</f>
        <v>0</v>
      </c>
      <c r="BI211" s="88">
        <f>IF($U$211="nulová",$N$211,0)</f>
        <v>0</v>
      </c>
      <c r="BJ211" s="6" t="s">
        <v>21</v>
      </c>
      <c r="BK211" s="88">
        <f>ROUND($L$211*$K$211,2)</f>
        <v>0</v>
      </c>
      <c r="BL211" s="6" t="s">
        <v>162</v>
      </c>
    </row>
    <row r="212" spans="2:64" s="6" customFormat="1" ht="39" customHeight="1">
      <c r="B212" s="23"/>
      <c r="C212" s="135" t="s">
        <v>355</v>
      </c>
      <c r="D212" s="135" t="s">
        <v>158</v>
      </c>
      <c r="E212" s="136" t="s">
        <v>356</v>
      </c>
      <c r="F212" s="205" t="s">
        <v>357</v>
      </c>
      <c r="G212" s="206"/>
      <c r="H212" s="206"/>
      <c r="I212" s="206"/>
      <c r="J212" s="137" t="s">
        <v>165</v>
      </c>
      <c r="K212" s="138">
        <v>51157.92</v>
      </c>
      <c r="L212" s="207">
        <v>0</v>
      </c>
      <c r="M212" s="206"/>
      <c r="N212" s="208">
        <f>ROUND($L$212*$K$212,2)</f>
        <v>0</v>
      </c>
      <c r="O212" s="206"/>
      <c r="P212" s="206"/>
      <c r="Q212" s="206"/>
      <c r="R212" s="25"/>
      <c r="T212" s="139"/>
      <c r="U212" s="31" t="s">
        <v>45</v>
      </c>
      <c r="V212" s="140">
        <v>0</v>
      </c>
      <c r="W212" s="140">
        <f>$V$212*$K$212</f>
        <v>0</v>
      </c>
      <c r="X212" s="140">
        <v>0</v>
      </c>
      <c r="Y212" s="140">
        <f>$X$212*$K$212</f>
        <v>0</v>
      </c>
      <c r="Z212" s="140">
        <v>0</v>
      </c>
      <c r="AA212" s="141">
        <f>$Z$212*$K$212</f>
        <v>0</v>
      </c>
      <c r="AR212" s="6" t="s">
        <v>162</v>
      </c>
      <c r="AT212" s="6" t="s">
        <v>158</v>
      </c>
      <c r="AU212" s="6" t="s">
        <v>98</v>
      </c>
      <c r="AY212" s="6" t="s">
        <v>157</v>
      </c>
      <c r="BE212" s="88">
        <f>IF($U$212="základní",$N$212,0)</f>
        <v>0</v>
      </c>
      <c r="BF212" s="88">
        <f>IF($U$212="snížená",$N$212,0)</f>
        <v>0</v>
      </c>
      <c r="BG212" s="88">
        <f>IF($U$212="zákl. přenesená",$N$212,0)</f>
        <v>0</v>
      </c>
      <c r="BH212" s="88">
        <f>IF($U$212="sníž. přenesená",$N$212,0)</f>
        <v>0</v>
      </c>
      <c r="BI212" s="88">
        <f>IF($U$212="nulová",$N$212,0)</f>
        <v>0</v>
      </c>
      <c r="BJ212" s="6" t="s">
        <v>21</v>
      </c>
      <c r="BK212" s="88">
        <f>ROUND($L$212*$K$212,2)</f>
        <v>0</v>
      </c>
      <c r="BL212" s="6" t="s">
        <v>162</v>
      </c>
    </row>
    <row r="213" spans="2:64" s="6" customFormat="1" ht="39" customHeight="1">
      <c r="B213" s="23"/>
      <c r="C213" s="135" t="s">
        <v>358</v>
      </c>
      <c r="D213" s="135" t="s">
        <v>158</v>
      </c>
      <c r="E213" s="136" t="s">
        <v>359</v>
      </c>
      <c r="F213" s="205" t="s">
        <v>360</v>
      </c>
      <c r="G213" s="206"/>
      <c r="H213" s="206"/>
      <c r="I213" s="206"/>
      <c r="J213" s="137" t="s">
        <v>165</v>
      </c>
      <c r="K213" s="138">
        <v>1614.24</v>
      </c>
      <c r="L213" s="207">
        <v>0</v>
      </c>
      <c r="M213" s="206"/>
      <c r="N213" s="208">
        <f>ROUND($L$213*$K$213,2)</f>
        <v>0</v>
      </c>
      <c r="O213" s="206"/>
      <c r="P213" s="206"/>
      <c r="Q213" s="206"/>
      <c r="R213" s="25"/>
      <c r="T213" s="139"/>
      <c r="U213" s="31" t="s">
        <v>45</v>
      </c>
      <c r="V213" s="140">
        <v>0.087</v>
      </c>
      <c r="W213" s="140">
        <f>$V$213*$K$213</f>
        <v>140.43887999999998</v>
      </c>
      <c r="X213" s="140">
        <v>0</v>
      </c>
      <c r="Y213" s="140">
        <f>$X$213*$K$213</f>
        <v>0</v>
      </c>
      <c r="Z213" s="140">
        <v>0</v>
      </c>
      <c r="AA213" s="141">
        <f>$Z$213*$K$213</f>
        <v>0</v>
      </c>
      <c r="AR213" s="6" t="s">
        <v>162</v>
      </c>
      <c r="AT213" s="6" t="s">
        <v>158</v>
      </c>
      <c r="AU213" s="6" t="s">
        <v>98</v>
      </c>
      <c r="AY213" s="6" t="s">
        <v>157</v>
      </c>
      <c r="BE213" s="88">
        <f>IF($U$213="základní",$N$213,0)</f>
        <v>0</v>
      </c>
      <c r="BF213" s="88">
        <f>IF($U$213="snížená",$N$213,0)</f>
        <v>0</v>
      </c>
      <c r="BG213" s="88">
        <f>IF($U$213="zákl. přenesená",$N$213,0)</f>
        <v>0</v>
      </c>
      <c r="BH213" s="88">
        <f>IF($U$213="sníž. přenesená",$N$213,0)</f>
        <v>0</v>
      </c>
      <c r="BI213" s="88">
        <f>IF($U$213="nulová",$N$213,0)</f>
        <v>0</v>
      </c>
      <c r="BJ213" s="6" t="s">
        <v>21</v>
      </c>
      <c r="BK213" s="88">
        <f>ROUND($L$213*$K$213,2)</f>
        <v>0</v>
      </c>
      <c r="BL213" s="6" t="s">
        <v>162</v>
      </c>
    </row>
    <row r="214" spans="2:64" s="6" customFormat="1" ht="27" customHeight="1">
      <c r="B214" s="23"/>
      <c r="C214" s="135" t="s">
        <v>361</v>
      </c>
      <c r="D214" s="135" t="s">
        <v>158</v>
      </c>
      <c r="E214" s="136" t="s">
        <v>362</v>
      </c>
      <c r="F214" s="205" t="s">
        <v>363</v>
      </c>
      <c r="G214" s="206"/>
      <c r="H214" s="206"/>
      <c r="I214" s="206"/>
      <c r="J214" s="137" t="s">
        <v>209</v>
      </c>
      <c r="K214" s="138">
        <v>25</v>
      </c>
      <c r="L214" s="207">
        <v>0</v>
      </c>
      <c r="M214" s="206"/>
      <c r="N214" s="208">
        <f>ROUND($L$214*$K$214,2)</f>
        <v>0</v>
      </c>
      <c r="O214" s="206"/>
      <c r="P214" s="206"/>
      <c r="Q214" s="206"/>
      <c r="R214" s="25"/>
      <c r="T214" s="139"/>
      <c r="U214" s="31" t="s">
        <v>45</v>
      </c>
      <c r="V214" s="140">
        <v>0.834</v>
      </c>
      <c r="W214" s="140">
        <f>$V$214*$K$214</f>
        <v>20.849999999999998</v>
      </c>
      <c r="X214" s="140">
        <v>1E-05</v>
      </c>
      <c r="Y214" s="140">
        <f>$X$214*$K$214</f>
        <v>0.00025</v>
      </c>
      <c r="Z214" s="140">
        <v>0</v>
      </c>
      <c r="AA214" s="141">
        <f>$Z$214*$K$214</f>
        <v>0</v>
      </c>
      <c r="AR214" s="6" t="s">
        <v>162</v>
      </c>
      <c r="AT214" s="6" t="s">
        <v>158</v>
      </c>
      <c r="AU214" s="6" t="s">
        <v>98</v>
      </c>
      <c r="AY214" s="6" t="s">
        <v>157</v>
      </c>
      <c r="BE214" s="88">
        <f>IF($U$214="základní",$N$214,0)</f>
        <v>0</v>
      </c>
      <c r="BF214" s="88">
        <f>IF($U$214="snížená",$N$214,0)</f>
        <v>0</v>
      </c>
      <c r="BG214" s="88">
        <f>IF($U$214="zákl. přenesená",$N$214,0)</f>
        <v>0</v>
      </c>
      <c r="BH214" s="88">
        <f>IF($U$214="sníž. přenesená",$N$214,0)</f>
        <v>0</v>
      </c>
      <c r="BI214" s="88">
        <f>IF($U$214="nulová",$N$214,0)</f>
        <v>0</v>
      </c>
      <c r="BJ214" s="6" t="s">
        <v>21</v>
      </c>
      <c r="BK214" s="88">
        <f>ROUND($L$214*$K$214,2)</f>
        <v>0</v>
      </c>
      <c r="BL214" s="6" t="s">
        <v>162</v>
      </c>
    </row>
    <row r="215" spans="2:64" s="6" customFormat="1" ht="27" customHeight="1">
      <c r="B215" s="23"/>
      <c r="C215" s="135" t="s">
        <v>364</v>
      </c>
      <c r="D215" s="135" t="s">
        <v>158</v>
      </c>
      <c r="E215" s="136" t="s">
        <v>365</v>
      </c>
      <c r="F215" s="205" t="s">
        <v>366</v>
      </c>
      <c r="G215" s="206"/>
      <c r="H215" s="206"/>
      <c r="I215" s="206"/>
      <c r="J215" s="137" t="s">
        <v>171</v>
      </c>
      <c r="K215" s="138">
        <v>490</v>
      </c>
      <c r="L215" s="207">
        <v>0</v>
      </c>
      <c r="M215" s="206"/>
      <c r="N215" s="208">
        <f>ROUND($L$215*$K$215,2)</f>
        <v>0</v>
      </c>
      <c r="O215" s="206"/>
      <c r="P215" s="206"/>
      <c r="Q215" s="206"/>
      <c r="R215" s="25"/>
      <c r="T215" s="139"/>
      <c r="U215" s="31" t="s">
        <v>45</v>
      </c>
      <c r="V215" s="140">
        <v>0.855</v>
      </c>
      <c r="W215" s="140">
        <f>$V$215*$K$215</f>
        <v>418.95</v>
      </c>
      <c r="X215" s="140">
        <v>0</v>
      </c>
      <c r="Y215" s="140">
        <f>$X$215*$K$215</f>
        <v>0</v>
      </c>
      <c r="Z215" s="140">
        <v>0.37</v>
      </c>
      <c r="AA215" s="141">
        <f>$Z$215*$K$215</f>
        <v>181.3</v>
      </c>
      <c r="AR215" s="6" t="s">
        <v>162</v>
      </c>
      <c r="AT215" s="6" t="s">
        <v>158</v>
      </c>
      <c r="AU215" s="6" t="s">
        <v>98</v>
      </c>
      <c r="AY215" s="6" t="s">
        <v>157</v>
      </c>
      <c r="BE215" s="88">
        <f>IF($U$215="základní",$N$215,0)</f>
        <v>0</v>
      </c>
      <c r="BF215" s="88">
        <f>IF($U$215="snížená",$N$215,0)</f>
        <v>0</v>
      </c>
      <c r="BG215" s="88">
        <f>IF($U$215="zákl. přenesená",$N$215,0)</f>
        <v>0</v>
      </c>
      <c r="BH215" s="88">
        <f>IF($U$215="sníž. přenesená",$N$215,0)</f>
        <v>0</v>
      </c>
      <c r="BI215" s="88">
        <f>IF($U$215="nulová",$N$215,0)</f>
        <v>0</v>
      </c>
      <c r="BJ215" s="6" t="s">
        <v>21</v>
      </c>
      <c r="BK215" s="88">
        <f>ROUND($L$215*$K$215,2)</f>
        <v>0</v>
      </c>
      <c r="BL215" s="6" t="s">
        <v>162</v>
      </c>
    </row>
    <row r="216" spans="2:64" s="6" customFormat="1" ht="27" customHeight="1">
      <c r="B216" s="23"/>
      <c r="C216" s="135" t="s">
        <v>367</v>
      </c>
      <c r="D216" s="135" t="s">
        <v>158</v>
      </c>
      <c r="E216" s="136" t="s">
        <v>368</v>
      </c>
      <c r="F216" s="205" t="s">
        <v>369</v>
      </c>
      <c r="G216" s="206"/>
      <c r="H216" s="206"/>
      <c r="I216" s="206"/>
      <c r="J216" s="137" t="s">
        <v>196</v>
      </c>
      <c r="K216" s="138">
        <v>10.26</v>
      </c>
      <c r="L216" s="207">
        <v>0</v>
      </c>
      <c r="M216" s="206"/>
      <c r="N216" s="208">
        <f>ROUND($L$216*$K$216,2)</f>
        <v>0</v>
      </c>
      <c r="O216" s="206"/>
      <c r="P216" s="206"/>
      <c r="Q216" s="206"/>
      <c r="R216" s="25"/>
      <c r="T216" s="139"/>
      <c r="U216" s="31" t="s">
        <v>45</v>
      </c>
      <c r="V216" s="140">
        <v>0</v>
      </c>
      <c r="W216" s="140">
        <f>$V$216*$K$216</f>
        <v>0</v>
      </c>
      <c r="X216" s="140">
        <v>0</v>
      </c>
      <c r="Y216" s="140">
        <f>$X$216*$K$216</f>
        <v>0</v>
      </c>
      <c r="Z216" s="140">
        <v>0</v>
      </c>
      <c r="AA216" s="141">
        <f>$Z$216*$K$216</f>
        <v>0</v>
      </c>
      <c r="AR216" s="6" t="s">
        <v>162</v>
      </c>
      <c r="AT216" s="6" t="s">
        <v>158</v>
      </c>
      <c r="AU216" s="6" t="s">
        <v>98</v>
      </c>
      <c r="AY216" s="6" t="s">
        <v>157</v>
      </c>
      <c r="BE216" s="88">
        <f>IF($U$216="základní",$N$216,0)</f>
        <v>0</v>
      </c>
      <c r="BF216" s="88">
        <f>IF($U$216="snížená",$N$216,0)</f>
        <v>0</v>
      </c>
      <c r="BG216" s="88">
        <f>IF($U$216="zákl. přenesená",$N$216,0)</f>
        <v>0</v>
      </c>
      <c r="BH216" s="88">
        <f>IF($U$216="sníž. přenesená",$N$216,0)</f>
        <v>0</v>
      </c>
      <c r="BI216" s="88">
        <f>IF($U$216="nulová",$N$216,0)</f>
        <v>0</v>
      </c>
      <c r="BJ216" s="6" t="s">
        <v>21</v>
      </c>
      <c r="BK216" s="88">
        <f>ROUND($L$216*$K$216,2)</f>
        <v>0</v>
      </c>
      <c r="BL216" s="6" t="s">
        <v>162</v>
      </c>
    </row>
    <row r="217" spans="2:64" s="6" customFormat="1" ht="27" customHeight="1">
      <c r="B217" s="23"/>
      <c r="C217" s="135" t="s">
        <v>370</v>
      </c>
      <c r="D217" s="135" t="s">
        <v>158</v>
      </c>
      <c r="E217" s="136" t="s">
        <v>371</v>
      </c>
      <c r="F217" s="205" t="s">
        <v>372</v>
      </c>
      <c r="G217" s="206"/>
      <c r="H217" s="206"/>
      <c r="I217" s="206"/>
      <c r="J217" s="137" t="s">
        <v>171</v>
      </c>
      <c r="K217" s="138">
        <v>44</v>
      </c>
      <c r="L217" s="207">
        <v>0</v>
      </c>
      <c r="M217" s="206"/>
      <c r="N217" s="208">
        <f>ROUND($L$217*$K$217,2)</f>
        <v>0</v>
      </c>
      <c r="O217" s="206"/>
      <c r="P217" s="206"/>
      <c r="Q217" s="206"/>
      <c r="R217" s="25"/>
      <c r="T217" s="139"/>
      <c r="U217" s="31" t="s">
        <v>45</v>
      </c>
      <c r="V217" s="140">
        <v>3.938</v>
      </c>
      <c r="W217" s="140">
        <f>$V$217*$K$217</f>
        <v>173.27200000000002</v>
      </c>
      <c r="X217" s="140">
        <v>0</v>
      </c>
      <c r="Y217" s="140">
        <f>$X$217*$K$217</f>
        <v>0</v>
      </c>
      <c r="Z217" s="140">
        <v>2.004</v>
      </c>
      <c r="AA217" s="141">
        <f>$Z$217*$K$217</f>
        <v>88.176</v>
      </c>
      <c r="AR217" s="6" t="s">
        <v>162</v>
      </c>
      <c r="AT217" s="6" t="s">
        <v>158</v>
      </c>
      <c r="AU217" s="6" t="s">
        <v>98</v>
      </c>
      <c r="AY217" s="6" t="s">
        <v>157</v>
      </c>
      <c r="BE217" s="88">
        <f>IF($U$217="základní",$N$217,0)</f>
        <v>0</v>
      </c>
      <c r="BF217" s="88">
        <f>IF($U$217="snížená",$N$217,0)</f>
        <v>0</v>
      </c>
      <c r="BG217" s="88">
        <f>IF($U$217="zákl. přenesená",$N$217,0)</f>
        <v>0</v>
      </c>
      <c r="BH217" s="88">
        <f>IF($U$217="sníž. přenesená",$N$217,0)</f>
        <v>0</v>
      </c>
      <c r="BI217" s="88">
        <f>IF($U$217="nulová",$N$217,0)</f>
        <v>0</v>
      </c>
      <c r="BJ217" s="6" t="s">
        <v>21</v>
      </c>
      <c r="BK217" s="88">
        <f>ROUND($L$217*$K$217,2)</f>
        <v>0</v>
      </c>
      <c r="BL217" s="6" t="s">
        <v>162</v>
      </c>
    </row>
    <row r="218" spans="2:64" s="6" customFormat="1" ht="27" customHeight="1">
      <c r="B218" s="23"/>
      <c r="C218" s="135" t="s">
        <v>373</v>
      </c>
      <c r="D218" s="135" t="s">
        <v>158</v>
      </c>
      <c r="E218" s="136" t="s">
        <v>374</v>
      </c>
      <c r="F218" s="205" t="s">
        <v>375</v>
      </c>
      <c r="G218" s="206"/>
      <c r="H218" s="206"/>
      <c r="I218" s="206"/>
      <c r="J218" s="137" t="s">
        <v>171</v>
      </c>
      <c r="K218" s="138">
        <v>62.5</v>
      </c>
      <c r="L218" s="207">
        <v>0</v>
      </c>
      <c r="M218" s="206"/>
      <c r="N218" s="208">
        <f>ROUND($L$218*$K$218,2)</f>
        <v>0</v>
      </c>
      <c r="O218" s="206"/>
      <c r="P218" s="206"/>
      <c r="Q218" s="206"/>
      <c r="R218" s="25"/>
      <c r="T218" s="139"/>
      <c r="U218" s="31" t="s">
        <v>45</v>
      </c>
      <c r="V218" s="140">
        <v>8.03</v>
      </c>
      <c r="W218" s="140">
        <f>$V$218*$K$218</f>
        <v>501.87499999999994</v>
      </c>
      <c r="X218" s="140">
        <v>0</v>
      </c>
      <c r="Y218" s="140">
        <f>$X$218*$K$218</f>
        <v>0</v>
      </c>
      <c r="Z218" s="140">
        <v>2.38</v>
      </c>
      <c r="AA218" s="141">
        <f>$Z$218*$K$218</f>
        <v>148.75</v>
      </c>
      <c r="AR218" s="6" t="s">
        <v>162</v>
      </c>
      <c r="AT218" s="6" t="s">
        <v>158</v>
      </c>
      <c r="AU218" s="6" t="s">
        <v>98</v>
      </c>
      <c r="AY218" s="6" t="s">
        <v>157</v>
      </c>
      <c r="BE218" s="88">
        <f>IF($U$218="základní",$N$218,0)</f>
        <v>0</v>
      </c>
      <c r="BF218" s="88">
        <f>IF($U$218="snížená",$N$218,0)</f>
        <v>0</v>
      </c>
      <c r="BG218" s="88">
        <f>IF($U$218="zákl. přenesená",$N$218,0)</f>
        <v>0</v>
      </c>
      <c r="BH218" s="88">
        <f>IF($U$218="sníž. přenesená",$N$218,0)</f>
        <v>0</v>
      </c>
      <c r="BI218" s="88">
        <f>IF($U$218="nulová",$N$218,0)</f>
        <v>0</v>
      </c>
      <c r="BJ218" s="6" t="s">
        <v>21</v>
      </c>
      <c r="BK218" s="88">
        <f>ROUND($L$218*$K$218,2)</f>
        <v>0</v>
      </c>
      <c r="BL218" s="6" t="s">
        <v>162</v>
      </c>
    </row>
    <row r="219" spans="2:64" s="6" customFormat="1" ht="27" customHeight="1">
      <c r="B219" s="23"/>
      <c r="C219" s="135" t="s">
        <v>376</v>
      </c>
      <c r="D219" s="135" t="s">
        <v>158</v>
      </c>
      <c r="E219" s="136" t="s">
        <v>377</v>
      </c>
      <c r="F219" s="205" t="s">
        <v>378</v>
      </c>
      <c r="G219" s="206"/>
      <c r="H219" s="206"/>
      <c r="I219" s="206"/>
      <c r="J219" s="137" t="s">
        <v>209</v>
      </c>
      <c r="K219" s="138">
        <v>6.4</v>
      </c>
      <c r="L219" s="207">
        <v>0</v>
      </c>
      <c r="M219" s="206"/>
      <c r="N219" s="208">
        <f>ROUND($L$219*$K$219,2)</f>
        <v>0</v>
      </c>
      <c r="O219" s="206"/>
      <c r="P219" s="206"/>
      <c r="Q219" s="206"/>
      <c r="R219" s="25"/>
      <c r="T219" s="139"/>
      <c r="U219" s="31" t="s">
        <v>45</v>
      </c>
      <c r="V219" s="140">
        <v>2.843</v>
      </c>
      <c r="W219" s="140">
        <f>$V$219*$K$219</f>
        <v>18.1952</v>
      </c>
      <c r="X219" s="140">
        <v>0.00073</v>
      </c>
      <c r="Y219" s="140">
        <f>$X$219*$K$219</f>
        <v>0.004672</v>
      </c>
      <c r="Z219" s="140">
        <v>0.001</v>
      </c>
      <c r="AA219" s="141">
        <f>$Z$219*$K$219</f>
        <v>0.0064</v>
      </c>
      <c r="AR219" s="6" t="s">
        <v>162</v>
      </c>
      <c r="AT219" s="6" t="s">
        <v>158</v>
      </c>
      <c r="AU219" s="6" t="s">
        <v>98</v>
      </c>
      <c r="AY219" s="6" t="s">
        <v>157</v>
      </c>
      <c r="BE219" s="88">
        <f>IF($U$219="základní",$N$219,0)</f>
        <v>0</v>
      </c>
      <c r="BF219" s="88">
        <f>IF($U$219="snížená",$N$219,0)</f>
        <v>0</v>
      </c>
      <c r="BG219" s="88">
        <f>IF($U$219="zákl. přenesená",$N$219,0)</f>
        <v>0</v>
      </c>
      <c r="BH219" s="88">
        <f>IF($U$219="sníž. přenesená",$N$219,0)</f>
        <v>0</v>
      </c>
      <c r="BI219" s="88">
        <f>IF($U$219="nulová",$N$219,0)</f>
        <v>0</v>
      </c>
      <c r="BJ219" s="6" t="s">
        <v>21</v>
      </c>
      <c r="BK219" s="88">
        <f>ROUND($L$219*$K$219,2)</f>
        <v>0</v>
      </c>
      <c r="BL219" s="6" t="s">
        <v>162</v>
      </c>
    </row>
    <row r="220" spans="2:63" s="124" customFormat="1" ht="30.75" customHeight="1">
      <c r="B220" s="125"/>
      <c r="C220" s="126"/>
      <c r="D220" s="134" t="s">
        <v>118</v>
      </c>
      <c r="E220" s="126"/>
      <c r="F220" s="126"/>
      <c r="G220" s="126"/>
      <c r="H220" s="126"/>
      <c r="I220" s="126"/>
      <c r="J220" s="126"/>
      <c r="K220" s="126"/>
      <c r="L220" s="126"/>
      <c r="M220" s="126"/>
      <c r="N220" s="217">
        <f>$BK$220</f>
        <v>0</v>
      </c>
      <c r="O220" s="216"/>
      <c r="P220" s="216"/>
      <c r="Q220" s="216"/>
      <c r="R220" s="128"/>
      <c r="T220" s="129"/>
      <c r="U220" s="126"/>
      <c r="V220" s="126"/>
      <c r="W220" s="130">
        <f>SUM($W$221:$W$224)</f>
        <v>183.82594</v>
      </c>
      <c r="X220" s="126"/>
      <c r="Y220" s="130">
        <f>SUM($Y$221:$Y$224)</f>
        <v>0</v>
      </c>
      <c r="Z220" s="126"/>
      <c r="AA220" s="131">
        <f>SUM($AA$221:$AA$224)</f>
        <v>0</v>
      </c>
      <c r="AR220" s="132" t="s">
        <v>21</v>
      </c>
      <c r="AT220" s="132" t="s">
        <v>79</v>
      </c>
      <c r="AU220" s="132" t="s">
        <v>21</v>
      </c>
      <c r="AY220" s="132" t="s">
        <v>157</v>
      </c>
      <c r="BK220" s="133">
        <f>SUM($BK$221:$BK$224)</f>
        <v>0</v>
      </c>
    </row>
    <row r="221" spans="2:64" s="6" customFormat="1" ht="39" customHeight="1">
      <c r="B221" s="23"/>
      <c r="C221" s="135" t="s">
        <v>379</v>
      </c>
      <c r="D221" s="135" t="s">
        <v>158</v>
      </c>
      <c r="E221" s="136" t="s">
        <v>380</v>
      </c>
      <c r="F221" s="205" t="s">
        <v>381</v>
      </c>
      <c r="G221" s="206"/>
      <c r="H221" s="206"/>
      <c r="I221" s="206"/>
      <c r="J221" s="137" t="s">
        <v>196</v>
      </c>
      <c r="K221" s="138">
        <v>516.365</v>
      </c>
      <c r="L221" s="207">
        <v>0</v>
      </c>
      <c r="M221" s="206"/>
      <c r="N221" s="208">
        <f>ROUND($L$221*$K$221,2)</f>
        <v>0</v>
      </c>
      <c r="O221" s="206"/>
      <c r="P221" s="206"/>
      <c r="Q221" s="206"/>
      <c r="R221" s="25"/>
      <c r="T221" s="139"/>
      <c r="U221" s="31" t="s">
        <v>45</v>
      </c>
      <c r="V221" s="140">
        <v>0.08</v>
      </c>
      <c r="W221" s="140">
        <f>$V$221*$K$221</f>
        <v>41.309200000000004</v>
      </c>
      <c r="X221" s="140">
        <v>0</v>
      </c>
      <c r="Y221" s="140">
        <f>$X$221*$K$221</f>
        <v>0</v>
      </c>
      <c r="Z221" s="140">
        <v>0</v>
      </c>
      <c r="AA221" s="141">
        <f>$Z$221*$K$221</f>
        <v>0</v>
      </c>
      <c r="AR221" s="6" t="s">
        <v>162</v>
      </c>
      <c r="AT221" s="6" t="s">
        <v>158</v>
      </c>
      <c r="AU221" s="6" t="s">
        <v>98</v>
      </c>
      <c r="AY221" s="6" t="s">
        <v>157</v>
      </c>
      <c r="BE221" s="88">
        <f>IF($U$221="základní",$N$221,0)</f>
        <v>0</v>
      </c>
      <c r="BF221" s="88">
        <f>IF($U$221="snížená",$N$221,0)</f>
        <v>0</v>
      </c>
      <c r="BG221" s="88">
        <f>IF($U$221="zákl. přenesená",$N$221,0)</f>
        <v>0</v>
      </c>
      <c r="BH221" s="88">
        <f>IF($U$221="sníž. přenesená",$N$221,0)</f>
        <v>0</v>
      </c>
      <c r="BI221" s="88">
        <f>IF($U$221="nulová",$N$221,0)</f>
        <v>0</v>
      </c>
      <c r="BJ221" s="6" t="s">
        <v>21</v>
      </c>
      <c r="BK221" s="88">
        <f>ROUND($L$221*$K$221,2)</f>
        <v>0</v>
      </c>
      <c r="BL221" s="6" t="s">
        <v>162</v>
      </c>
    </row>
    <row r="222" spans="2:64" s="6" customFormat="1" ht="27" customHeight="1">
      <c r="B222" s="23"/>
      <c r="C222" s="135" t="s">
        <v>382</v>
      </c>
      <c r="D222" s="135" t="s">
        <v>158</v>
      </c>
      <c r="E222" s="136" t="s">
        <v>383</v>
      </c>
      <c r="F222" s="205" t="s">
        <v>384</v>
      </c>
      <c r="G222" s="206"/>
      <c r="H222" s="206"/>
      <c r="I222" s="206"/>
      <c r="J222" s="137" t="s">
        <v>196</v>
      </c>
      <c r="K222" s="138">
        <v>5163.65</v>
      </c>
      <c r="L222" s="207">
        <v>0</v>
      </c>
      <c r="M222" s="206"/>
      <c r="N222" s="208">
        <f>ROUND($L$222*$K$222,2)</f>
        <v>0</v>
      </c>
      <c r="O222" s="206"/>
      <c r="P222" s="206"/>
      <c r="Q222" s="206"/>
      <c r="R222" s="25"/>
      <c r="T222" s="139"/>
      <c r="U222" s="31" t="s">
        <v>45</v>
      </c>
      <c r="V222" s="140">
        <v>0.014</v>
      </c>
      <c r="W222" s="140">
        <f>$V$222*$K$222</f>
        <v>72.2911</v>
      </c>
      <c r="X222" s="140">
        <v>0</v>
      </c>
      <c r="Y222" s="140">
        <f>$X$222*$K$222</f>
        <v>0</v>
      </c>
      <c r="Z222" s="140">
        <v>0</v>
      </c>
      <c r="AA222" s="141">
        <f>$Z$222*$K$222</f>
        <v>0</v>
      </c>
      <c r="AR222" s="6" t="s">
        <v>162</v>
      </c>
      <c r="AT222" s="6" t="s">
        <v>158</v>
      </c>
      <c r="AU222" s="6" t="s">
        <v>98</v>
      </c>
      <c r="AY222" s="6" t="s">
        <v>157</v>
      </c>
      <c r="BE222" s="88">
        <f>IF($U$222="základní",$N$222,0)</f>
        <v>0</v>
      </c>
      <c r="BF222" s="88">
        <f>IF($U$222="snížená",$N$222,0)</f>
        <v>0</v>
      </c>
      <c r="BG222" s="88">
        <f>IF($U$222="zákl. přenesená",$N$222,0)</f>
        <v>0</v>
      </c>
      <c r="BH222" s="88">
        <f>IF($U$222="sníž. přenesená",$N$222,0)</f>
        <v>0</v>
      </c>
      <c r="BI222" s="88">
        <f>IF($U$222="nulová",$N$222,0)</f>
        <v>0</v>
      </c>
      <c r="BJ222" s="6" t="s">
        <v>21</v>
      </c>
      <c r="BK222" s="88">
        <f>ROUND($L$222*$K$222,2)</f>
        <v>0</v>
      </c>
      <c r="BL222" s="6" t="s">
        <v>162</v>
      </c>
    </row>
    <row r="223" spans="2:64" s="6" customFormat="1" ht="15.75" customHeight="1">
      <c r="B223" s="23"/>
      <c r="C223" s="135" t="s">
        <v>385</v>
      </c>
      <c r="D223" s="135" t="s">
        <v>158</v>
      </c>
      <c r="E223" s="136" t="s">
        <v>386</v>
      </c>
      <c r="F223" s="205" t="s">
        <v>387</v>
      </c>
      <c r="G223" s="206"/>
      <c r="H223" s="206"/>
      <c r="I223" s="206"/>
      <c r="J223" s="137" t="s">
        <v>196</v>
      </c>
      <c r="K223" s="138">
        <v>516.365</v>
      </c>
      <c r="L223" s="207">
        <v>0</v>
      </c>
      <c r="M223" s="206"/>
      <c r="N223" s="208">
        <f>ROUND($L$223*$K$223,2)</f>
        <v>0</v>
      </c>
      <c r="O223" s="206"/>
      <c r="P223" s="206"/>
      <c r="Q223" s="206"/>
      <c r="R223" s="25"/>
      <c r="T223" s="139"/>
      <c r="U223" s="31" t="s">
        <v>45</v>
      </c>
      <c r="V223" s="140">
        <v>0.136</v>
      </c>
      <c r="W223" s="140">
        <f>$V$223*$K$223</f>
        <v>70.22564000000001</v>
      </c>
      <c r="X223" s="140">
        <v>0</v>
      </c>
      <c r="Y223" s="140">
        <f>$X$223*$K$223</f>
        <v>0</v>
      </c>
      <c r="Z223" s="140">
        <v>0</v>
      </c>
      <c r="AA223" s="141">
        <f>$Z$223*$K$223</f>
        <v>0</v>
      </c>
      <c r="AR223" s="6" t="s">
        <v>162</v>
      </c>
      <c r="AT223" s="6" t="s">
        <v>158</v>
      </c>
      <c r="AU223" s="6" t="s">
        <v>98</v>
      </c>
      <c r="AY223" s="6" t="s">
        <v>157</v>
      </c>
      <c r="BE223" s="88">
        <f>IF($U$223="základní",$N$223,0)</f>
        <v>0</v>
      </c>
      <c r="BF223" s="88">
        <f>IF($U$223="snížená",$N$223,0)</f>
        <v>0</v>
      </c>
      <c r="BG223" s="88">
        <f>IF($U$223="zákl. přenesená",$N$223,0)</f>
        <v>0</v>
      </c>
      <c r="BH223" s="88">
        <f>IF($U$223="sníž. přenesená",$N$223,0)</f>
        <v>0</v>
      </c>
      <c r="BI223" s="88">
        <f>IF($U$223="nulová",$N$223,0)</f>
        <v>0</v>
      </c>
      <c r="BJ223" s="6" t="s">
        <v>21</v>
      </c>
      <c r="BK223" s="88">
        <f>ROUND($L$223*$K$223,2)</f>
        <v>0</v>
      </c>
      <c r="BL223" s="6" t="s">
        <v>162</v>
      </c>
    </row>
    <row r="224" spans="2:64" s="6" customFormat="1" ht="27" customHeight="1">
      <c r="B224" s="23"/>
      <c r="C224" s="135" t="s">
        <v>388</v>
      </c>
      <c r="D224" s="135" t="s">
        <v>158</v>
      </c>
      <c r="E224" s="136" t="s">
        <v>389</v>
      </c>
      <c r="F224" s="205" t="s">
        <v>390</v>
      </c>
      <c r="G224" s="206"/>
      <c r="H224" s="206"/>
      <c r="I224" s="206"/>
      <c r="J224" s="137" t="s">
        <v>196</v>
      </c>
      <c r="K224" s="138">
        <v>516.365</v>
      </c>
      <c r="L224" s="207">
        <v>0</v>
      </c>
      <c r="M224" s="206"/>
      <c r="N224" s="208">
        <f>ROUND($L$224*$K$224,2)</f>
        <v>0</v>
      </c>
      <c r="O224" s="206"/>
      <c r="P224" s="206"/>
      <c r="Q224" s="206"/>
      <c r="R224" s="25"/>
      <c r="T224" s="139"/>
      <c r="U224" s="31" t="s">
        <v>45</v>
      </c>
      <c r="V224" s="140">
        <v>0</v>
      </c>
      <c r="W224" s="140">
        <f>$V$224*$K$224</f>
        <v>0</v>
      </c>
      <c r="X224" s="140">
        <v>0</v>
      </c>
      <c r="Y224" s="140">
        <f>$X$224*$K$224</f>
        <v>0</v>
      </c>
      <c r="Z224" s="140">
        <v>0</v>
      </c>
      <c r="AA224" s="141">
        <f>$Z$224*$K$224</f>
        <v>0</v>
      </c>
      <c r="AR224" s="6" t="s">
        <v>162</v>
      </c>
      <c r="AT224" s="6" t="s">
        <v>158</v>
      </c>
      <c r="AU224" s="6" t="s">
        <v>98</v>
      </c>
      <c r="AY224" s="6" t="s">
        <v>157</v>
      </c>
      <c r="BE224" s="88">
        <f>IF($U$224="základní",$N$224,0)</f>
        <v>0</v>
      </c>
      <c r="BF224" s="88">
        <f>IF($U$224="snížená",$N$224,0)</f>
        <v>0</v>
      </c>
      <c r="BG224" s="88">
        <f>IF($U$224="zákl. přenesená",$N$224,0)</f>
        <v>0</v>
      </c>
      <c r="BH224" s="88">
        <f>IF($U$224="sníž. přenesená",$N$224,0)</f>
        <v>0</v>
      </c>
      <c r="BI224" s="88">
        <f>IF($U$224="nulová",$N$224,0)</f>
        <v>0</v>
      </c>
      <c r="BJ224" s="6" t="s">
        <v>21</v>
      </c>
      <c r="BK224" s="88">
        <f>ROUND($L$224*$K$224,2)</f>
        <v>0</v>
      </c>
      <c r="BL224" s="6" t="s">
        <v>162</v>
      </c>
    </row>
    <row r="225" spans="2:63" s="124" customFormat="1" ht="30.75" customHeight="1">
      <c r="B225" s="125"/>
      <c r="C225" s="126"/>
      <c r="D225" s="134" t="s">
        <v>119</v>
      </c>
      <c r="E225" s="126"/>
      <c r="F225" s="126"/>
      <c r="G225" s="126"/>
      <c r="H225" s="126"/>
      <c r="I225" s="126"/>
      <c r="J225" s="126"/>
      <c r="K225" s="126"/>
      <c r="L225" s="126"/>
      <c r="M225" s="126"/>
      <c r="N225" s="217">
        <f>$BK$225</f>
        <v>0</v>
      </c>
      <c r="O225" s="216"/>
      <c r="P225" s="216"/>
      <c r="Q225" s="216"/>
      <c r="R225" s="128"/>
      <c r="T225" s="129"/>
      <c r="U225" s="126"/>
      <c r="V225" s="126"/>
      <c r="W225" s="130">
        <f>$W$226</f>
        <v>165.591871</v>
      </c>
      <c r="X225" s="126"/>
      <c r="Y225" s="130">
        <f>$Y$226</f>
        <v>0</v>
      </c>
      <c r="Z225" s="126"/>
      <c r="AA225" s="131">
        <f>$AA$226</f>
        <v>0</v>
      </c>
      <c r="AR225" s="132" t="s">
        <v>21</v>
      </c>
      <c r="AT225" s="132" t="s">
        <v>79</v>
      </c>
      <c r="AU225" s="132" t="s">
        <v>21</v>
      </c>
      <c r="AY225" s="132" t="s">
        <v>157</v>
      </c>
      <c r="BK225" s="133">
        <f>$BK$226</f>
        <v>0</v>
      </c>
    </row>
    <row r="226" spans="2:64" s="6" customFormat="1" ht="27" customHeight="1">
      <c r="B226" s="23"/>
      <c r="C226" s="135" t="s">
        <v>391</v>
      </c>
      <c r="D226" s="135" t="s">
        <v>158</v>
      </c>
      <c r="E226" s="136" t="s">
        <v>392</v>
      </c>
      <c r="F226" s="205" t="s">
        <v>393</v>
      </c>
      <c r="G226" s="206"/>
      <c r="H226" s="206"/>
      <c r="I226" s="206"/>
      <c r="J226" s="137" t="s">
        <v>196</v>
      </c>
      <c r="K226" s="138">
        <v>1303.873</v>
      </c>
      <c r="L226" s="207">
        <v>0</v>
      </c>
      <c r="M226" s="206"/>
      <c r="N226" s="208">
        <f>ROUND($L$226*$K$226,2)</f>
        <v>0</v>
      </c>
      <c r="O226" s="206"/>
      <c r="P226" s="206"/>
      <c r="Q226" s="206"/>
      <c r="R226" s="25"/>
      <c r="T226" s="139"/>
      <c r="U226" s="31" t="s">
        <v>45</v>
      </c>
      <c r="V226" s="140">
        <v>0.127</v>
      </c>
      <c r="W226" s="140">
        <f>$V$226*$K$226</f>
        <v>165.591871</v>
      </c>
      <c r="X226" s="140">
        <v>0</v>
      </c>
      <c r="Y226" s="140">
        <f>$X$226*$K$226</f>
        <v>0</v>
      </c>
      <c r="Z226" s="140">
        <v>0</v>
      </c>
      <c r="AA226" s="141">
        <f>$Z$226*$K$226</f>
        <v>0</v>
      </c>
      <c r="AR226" s="6" t="s">
        <v>162</v>
      </c>
      <c r="AT226" s="6" t="s">
        <v>158</v>
      </c>
      <c r="AU226" s="6" t="s">
        <v>98</v>
      </c>
      <c r="AY226" s="6" t="s">
        <v>157</v>
      </c>
      <c r="BE226" s="88">
        <f>IF($U$226="základní",$N$226,0)</f>
        <v>0</v>
      </c>
      <c r="BF226" s="88">
        <f>IF($U$226="snížená",$N$226,0)</f>
        <v>0</v>
      </c>
      <c r="BG226" s="88">
        <f>IF($U$226="zákl. přenesená",$N$226,0)</f>
        <v>0</v>
      </c>
      <c r="BH226" s="88">
        <f>IF($U$226="sníž. přenesená",$N$226,0)</f>
        <v>0</v>
      </c>
      <c r="BI226" s="88">
        <f>IF($U$226="nulová",$N$226,0)</f>
        <v>0</v>
      </c>
      <c r="BJ226" s="6" t="s">
        <v>21</v>
      </c>
      <c r="BK226" s="88">
        <f>ROUND($L$226*$K$226,2)</f>
        <v>0</v>
      </c>
      <c r="BL226" s="6" t="s">
        <v>162</v>
      </c>
    </row>
    <row r="227" spans="2:63" s="124" customFormat="1" ht="37.5" customHeight="1">
      <c r="B227" s="125"/>
      <c r="C227" s="126"/>
      <c r="D227" s="127" t="s">
        <v>120</v>
      </c>
      <c r="E227" s="126"/>
      <c r="F227" s="126"/>
      <c r="G227" s="126"/>
      <c r="H227" s="126"/>
      <c r="I227" s="126"/>
      <c r="J227" s="126"/>
      <c r="K227" s="126"/>
      <c r="L227" s="126"/>
      <c r="M227" s="126"/>
      <c r="N227" s="201">
        <f>$BK$227</f>
        <v>0</v>
      </c>
      <c r="O227" s="216"/>
      <c r="P227" s="216"/>
      <c r="Q227" s="216"/>
      <c r="R227" s="128"/>
      <c r="T227" s="129"/>
      <c r="U227" s="126"/>
      <c r="V227" s="126"/>
      <c r="W227" s="130">
        <f>$W$228+$W$232+$W$238+$W$244+$W$265+$W$269+$W$272+$W$275+$W$277+$W$280+$W$282+$W$290</f>
        <v>128215.94928600002</v>
      </c>
      <c r="X227" s="126"/>
      <c r="Y227" s="130">
        <f>$Y$228+$Y$232+$Y$238+$Y$244+$Y$265+$Y$269+$Y$272+$Y$275+$Y$277+$Y$280+$Y$282+$Y$290</f>
        <v>11.437985999999999</v>
      </c>
      <c r="Z227" s="126"/>
      <c r="AA227" s="131">
        <f>$AA$228+$AA$232+$AA$238+$AA$244+$AA$265+$AA$269+$AA$272+$AA$275+$AA$277+$AA$280+$AA$282+$AA$290</f>
        <v>0</v>
      </c>
      <c r="AR227" s="132" t="s">
        <v>21</v>
      </c>
      <c r="AT227" s="132" t="s">
        <v>79</v>
      </c>
      <c r="AU227" s="132" t="s">
        <v>80</v>
      </c>
      <c r="AY227" s="132" t="s">
        <v>157</v>
      </c>
      <c r="BK227" s="133">
        <f>$BK$228+$BK$232+$BK$238+$BK$244+$BK$265+$BK$269+$BK$272+$BK$275+$BK$277+$BK$280+$BK$282+$BK$290</f>
        <v>0</v>
      </c>
    </row>
    <row r="228" spans="2:63" s="124" customFormat="1" ht="21" customHeight="1">
      <c r="B228" s="125"/>
      <c r="C228" s="126"/>
      <c r="D228" s="134" t="s">
        <v>121</v>
      </c>
      <c r="E228" s="126"/>
      <c r="F228" s="126"/>
      <c r="G228" s="126"/>
      <c r="H228" s="126"/>
      <c r="I228" s="126"/>
      <c r="J228" s="126"/>
      <c r="K228" s="126"/>
      <c r="L228" s="126"/>
      <c r="M228" s="126"/>
      <c r="N228" s="217">
        <f>$BK$228</f>
        <v>0</v>
      </c>
      <c r="O228" s="216"/>
      <c r="P228" s="216"/>
      <c r="Q228" s="216"/>
      <c r="R228" s="128"/>
      <c r="T228" s="129"/>
      <c r="U228" s="126"/>
      <c r="V228" s="126"/>
      <c r="W228" s="130">
        <f>SUM($W$229:$W$231)</f>
        <v>13100.79505</v>
      </c>
      <c r="X228" s="126"/>
      <c r="Y228" s="130">
        <f>SUM($Y$229:$Y$231)</f>
        <v>0</v>
      </c>
      <c r="Z228" s="126"/>
      <c r="AA228" s="131">
        <f>SUM($AA$229:$AA$231)</f>
        <v>0</v>
      </c>
      <c r="AR228" s="132" t="s">
        <v>21</v>
      </c>
      <c r="AT228" s="132" t="s">
        <v>79</v>
      </c>
      <c r="AU228" s="132" t="s">
        <v>21</v>
      </c>
      <c r="AY228" s="132" t="s">
        <v>157</v>
      </c>
      <c r="BK228" s="133">
        <f>SUM($BK$229:$BK$231)</f>
        <v>0</v>
      </c>
    </row>
    <row r="229" spans="2:64" s="6" customFormat="1" ht="39" customHeight="1">
      <c r="B229" s="23"/>
      <c r="C229" s="135" t="s">
        <v>394</v>
      </c>
      <c r="D229" s="135" t="s">
        <v>185</v>
      </c>
      <c r="E229" s="136" t="s">
        <v>395</v>
      </c>
      <c r="F229" s="205" t="s">
        <v>396</v>
      </c>
      <c r="G229" s="206"/>
      <c r="H229" s="206"/>
      <c r="I229" s="206"/>
      <c r="J229" s="137" t="s">
        <v>165</v>
      </c>
      <c r="K229" s="138">
        <v>423.15</v>
      </c>
      <c r="L229" s="207">
        <v>0</v>
      </c>
      <c r="M229" s="206"/>
      <c r="N229" s="208">
        <f>ROUND($L$229*$K$229,2)</f>
        <v>0</v>
      </c>
      <c r="O229" s="206"/>
      <c r="P229" s="206"/>
      <c r="Q229" s="206"/>
      <c r="R229" s="25"/>
      <c r="T229" s="139"/>
      <c r="U229" s="31" t="s">
        <v>45</v>
      </c>
      <c r="V229" s="140">
        <v>28.03</v>
      </c>
      <c r="W229" s="140">
        <f>$V$229*$K$229</f>
        <v>11860.8945</v>
      </c>
      <c r="X229" s="140">
        <v>0</v>
      </c>
      <c r="Y229" s="140">
        <f>$X$229*$K$229</f>
        <v>0</v>
      </c>
      <c r="Z229" s="140">
        <v>0</v>
      </c>
      <c r="AA229" s="141">
        <f>$Z$229*$K$229</f>
        <v>0</v>
      </c>
      <c r="AR229" s="6" t="s">
        <v>212</v>
      </c>
      <c r="AT229" s="6" t="s">
        <v>158</v>
      </c>
      <c r="AU229" s="6" t="s">
        <v>98</v>
      </c>
      <c r="AY229" s="6" t="s">
        <v>157</v>
      </c>
      <c r="BE229" s="88">
        <f>IF($U$229="základní",$N$229,0)</f>
        <v>0</v>
      </c>
      <c r="BF229" s="88">
        <f>IF($U$229="snížená",$N$229,0)</f>
        <v>0</v>
      </c>
      <c r="BG229" s="88">
        <f>IF($U$229="zákl. přenesená",$N$229,0)</f>
        <v>0</v>
      </c>
      <c r="BH229" s="88">
        <f>IF($U$229="sníž. přenesená",$N$229,0)</f>
        <v>0</v>
      </c>
      <c r="BI229" s="88">
        <f>IF($U$229="nulová",$N$229,0)</f>
        <v>0</v>
      </c>
      <c r="BJ229" s="6" t="s">
        <v>21</v>
      </c>
      <c r="BK229" s="88">
        <f>ROUND($L$229*$K$229,2)</f>
        <v>0</v>
      </c>
      <c r="BL229" s="6" t="s">
        <v>212</v>
      </c>
    </row>
    <row r="230" spans="2:64" s="6" customFormat="1" ht="39" customHeight="1">
      <c r="B230" s="23"/>
      <c r="C230" s="135" t="s">
        <v>397</v>
      </c>
      <c r="D230" s="135" t="s">
        <v>185</v>
      </c>
      <c r="E230" s="136" t="s">
        <v>398</v>
      </c>
      <c r="F230" s="205" t="s">
        <v>399</v>
      </c>
      <c r="G230" s="206"/>
      <c r="H230" s="206"/>
      <c r="I230" s="206"/>
      <c r="J230" s="137" t="s">
        <v>165</v>
      </c>
      <c r="K230" s="138">
        <v>27.125</v>
      </c>
      <c r="L230" s="207">
        <v>0</v>
      </c>
      <c r="M230" s="206"/>
      <c r="N230" s="208">
        <f>ROUND($L$230*$K$230,2)</f>
        <v>0</v>
      </c>
      <c r="O230" s="206"/>
      <c r="P230" s="206"/>
      <c r="Q230" s="206"/>
      <c r="R230" s="25"/>
      <c r="T230" s="139"/>
      <c r="U230" s="31" t="s">
        <v>45</v>
      </c>
      <c r="V230" s="140">
        <v>45.69</v>
      </c>
      <c r="W230" s="140">
        <f>$V$230*$K$230</f>
        <v>1239.34125</v>
      </c>
      <c r="X230" s="140">
        <v>0</v>
      </c>
      <c r="Y230" s="140">
        <f>$X$230*$K$230</f>
        <v>0</v>
      </c>
      <c r="Z230" s="140">
        <v>0</v>
      </c>
      <c r="AA230" s="141">
        <f>$Z$230*$K$230</f>
        <v>0</v>
      </c>
      <c r="AR230" s="6" t="s">
        <v>212</v>
      </c>
      <c r="AT230" s="6" t="s">
        <v>158</v>
      </c>
      <c r="AU230" s="6" t="s">
        <v>98</v>
      </c>
      <c r="AY230" s="6" t="s">
        <v>157</v>
      </c>
      <c r="BE230" s="88">
        <f>IF($U$230="základní",$N$230,0)</f>
        <v>0</v>
      </c>
      <c r="BF230" s="88">
        <f>IF($U$230="snížená",$N$230,0)</f>
        <v>0</v>
      </c>
      <c r="BG230" s="88">
        <f>IF($U$230="zákl. přenesená",$N$230,0)</f>
        <v>0</v>
      </c>
      <c r="BH230" s="88">
        <f>IF($U$230="sníž. přenesená",$N$230,0)</f>
        <v>0</v>
      </c>
      <c r="BI230" s="88">
        <f>IF($U$230="nulová",$N$230,0)</f>
        <v>0</v>
      </c>
      <c r="BJ230" s="6" t="s">
        <v>21</v>
      </c>
      <c r="BK230" s="88">
        <f>ROUND($L$230*$K$230,2)</f>
        <v>0</v>
      </c>
      <c r="BL230" s="6" t="s">
        <v>212</v>
      </c>
    </row>
    <row r="231" spans="2:64" s="6" customFormat="1" ht="27" customHeight="1">
      <c r="B231" s="23"/>
      <c r="C231" s="135" t="s">
        <v>400</v>
      </c>
      <c r="D231" s="135" t="s">
        <v>158</v>
      </c>
      <c r="E231" s="136" t="s">
        <v>401</v>
      </c>
      <c r="F231" s="205" t="s">
        <v>402</v>
      </c>
      <c r="G231" s="206"/>
      <c r="H231" s="206"/>
      <c r="I231" s="206"/>
      <c r="J231" s="137" t="s">
        <v>196</v>
      </c>
      <c r="K231" s="138">
        <v>0.35</v>
      </c>
      <c r="L231" s="207">
        <v>0</v>
      </c>
      <c r="M231" s="206"/>
      <c r="N231" s="208">
        <f>ROUND($L$231*$K$231,2)</f>
        <v>0</v>
      </c>
      <c r="O231" s="206"/>
      <c r="P231" s="206"/>
      <c r="Q231" s="206"/>
      <c r="R231" s="25"/>
      <c r="T231" s="139"/>
      <c r="U231" s="31" t="s">
        <v>45</v>
      </c>
      <c r="V231" s="140">
        <v>1.598</v>
      </c>
      <c r="W231" s="140">
        <f>$V$231*$K$231</f>
        <v>0.5593</v>
      </c>
      <c r="X231" s="140">
        <v>0</v>
      </c>
      <c r="Y231" s="140">
        <f>$X$231*$K$231</f>
        <v>0</v>
      </c>
      <c r="Z231" s="140">
        <v>0</v>
      </c>
      <c r="AA231" s="141">
        <f>$Z$231*$K$231</f>
        <v>0</v>
      </c>
      <c r="AR231" s="6" t="s">
        <v>212</v>
      </c>
      <c r="AT231" s="6" t="s">
        <v>158</v>
      </c>
      <c r="AU231" s="6" t="s">
        <v>98</v>
      </c>
      <c r="AY231" s="6" t="s">
        <v>157</v>
      </c>
      <c r="BE231" s="88">
        <f>IF($U$231="základní",$N$231,0)</f>
        <v>0</v>
      </c>
      <c r="BF231" s="88">
        <f>IF($U$231="snížená",$N$231,0)</f>
        <v>0</v>
      </c>
      <c r="BG231" s="88">
        <f>IF($U$231="zákl. přenesená",$N$231,0)</f>
        <v>0</v>
      </c>
      <c r="BH231" s="88">
        <f>IF($U$231="sníž. přenesená",$N$231,0)</f>
        <v>0</v>
      </c>
      <c r="BI231" s="88">
        <f>IF($U$231="nulová",$N$231,0)</f>
        <v>0</v>
      </c>
      <c r="BJ231" s="6" t="s">
        <v>21</v>
      </c>
      <c r="BK231" s="88">
        <f>ROUND($L$231*$K$231,2)</f>
        <v>0</v>
      </c>
      <c r="BL231" s="6" t="s">
        <v>212</v>
      </c>
    </row>
    <row r="232" spans="2:63" s="124" customFormat="1" ht="30.75" customHeight="1">
      <c r="B232" s="125"/>
      <c r="C232" s="126"/>
      <c r="D232" s="134" t="s">
        <v>122</v>
      </c>
      <c r="E232" s="126"/>
      <c r="F232" s="126"/>
      <c r="G232" s="126"/>
      <c r="H232" s="126"/>
      <c r="I232" s="126"/>
      <c r="J232" s="126"/>
      <c r="K232" s="126"/>
      <c r="L232" s="126"/>
      <c r="M232" s="126"/>
      <c r="N232" s="217">
        <f>$BK$232</f>
        <v>0</v>
      </c>
      <c r="O232" s="216"/>
      <c r="P232" s="216"/>
      <c r="Q232" s="216"/>
      <c r="R232" s="128"/>
      <c r="T232" s="129"/>
      <c r="U232" s="126"/>
      <c r="V232" s="126"/>
      <c r="W232" s="130">
        <f>SUM($W$233:$W$237)</f>
        <v>272.65723</v>
      </c>
      <c r="X232" s="126"/>
      <c r="Y232" s="130">
        <f>SUM($Y$233:$Y$237)</f>
        <v>3.327296</v>
      </c>
      <c r="Z232" s="126"/>
      <c r="AA232" s="131">
        <f>SUM($AA$233:$AA$237)</f>
        <v>0</v>
      </c>
      <c r="AR232" s="132" t="s">
        <v>21</v>
      </c>
      <c r="AT232" s="132" t="s">
        <v>79</v>
      </c>
      <c r="AU232" s="132" t="s">
        <v>21</v>
      </c>
      <c r="AY232" s="132" t="s">
        <v>157</v>
      </c>
      <c r="BK232" s="133">
        <f>SUM($BK$233:$BK$237)</f>
        <v>0</v>
      </c>
    </row>
    <row r="233" spans="2:64" s="6" customFormat="1" ht="27" customHeight="1">
      <c r="B233" s="23"/>
      <c r="C233" s="135" t="s">
        <v>403</v>
      </c>
      <c r="D233" s="135" t="s">
        <v>158</v>
      </c>
      <c r="E233" s="136" t="s">
        <v>404</v>
      </c>
      <c r="F233" s="205" t="s">
        <v>405</v>
      </c>
      <c r="G233" s="206"/>
      <c r="H233" s="206"/>
      <c r="I233" s="206"/>
      <c r="J233" s="137" t="s">
        <v>165</v>
      </c>
      <c r="K233" s="138">
        <v>1120</v>
      </c>
      <c r="L233" s="207">
        <v>0</v>
      </c>
      <c r="M233" s="206"/>
      <c r="N233" s="208">
        <f>ROUND($L$233*$K$233,2)</f>
        <v>0</v>
      </c>
      <c r="O233" s="206"/>
      <c r="P233" s="206"/>
      <c r="Q233" s="206"/>
      <c r="R233" s="25"/>
      <c r="T233" s="139"/>
      <c r="U233" s="31" t="s">
        <v>45</v>
      </c>
      <c r="V233" s="140">
        <v>0.135</v>
      </c>
      <c r="W233" s="140">
        <f>$V$233*$K$233</f>
        <v>151.20000000000002</v>
      </c>
      <c r="X233" s="140">
        <v>0.0002</v>
      </c>
      <c r="Y233" s="140">
        <f>$X$233*$K$233</f>
        <v>0.224</v>
      </c>
      <c r="Z233" s="140">
        <v>0</v>
      </c>
      <c r="AA233" s="141">
        <f>$Z$233*$K$233</f>
        <v>0</v>
      </c>
      <c r="AR233" s="6" t="s">
        <v>162</v>
      </c>
      <c r="AT233" s="6" t="s">
        <v>158</v>
      </c>
      <c r="AU233" s="6" t="s">
        <v>98</v>
      </c>
      <c r="AY233" s="6" t="s">
        <v>157</v>
      </c>
      <c r="BE233" s="88">
        <f>IF($U$233="základní",$N$233,0)</f>
        <v>0</v>
      </c>
      <c r="BF233" s="88">
        <f>IF($U$233="snížená",$N$233,0)</f>
        <v>0</v>
      </c>
      <c r="BG233" s="88">
        <f>IF($U$233="zákl. přenesená",$N$233,0)</f>
        <v>0</v>
      </c>
      <c r="BH233" s="88">
        <f>IF($U$233="sníž. přenesená",$N$233,0)</f>
        <v>0</v>
      </c>
      <c r="BI233" s="88">
        <f>IF($U$233="nulová",$N$233,0)</f>
        <v>0</v>
      </c>
      <c r="BJ233" s="6" t="s">
        <v>21</v>
      </c>
      <c r="BK233" s="88">
        <f>ROUND($L$233*$K$233,2)</f>
        <v>0</v>
      </c>
      <c r="BL233" s="6" t="s">
        <v>162</v>
      </c>
    </row>
    <row r="234" spans="2:64" s="6" customFormat="1" ht="15.75" customHeight="1">
      <c r="B234" s="23"/>
      <c r="C234" s="142" t="s">
        <v>406</v>
      </c>
      <c r="D234" s="142" t="s">
        <v>258</v>
      </c>
      <c r="E234" s="143" t="s">
        <v>407</v>
      </c>
      <c r="F234" s="209" t="s">
        <v>408</v>
      </c>
      <c r="G234" s="210"/>
      <c r="H234" s="210"/>
      <c r="I234" s="210"/>
      <c r="J234" s="144" t="s">
        <v>165</v>
      </c>
      <c r="K234" s="145">
        <v>1142.4</v>
      </c>
      <c r="L234" s="211">
        <v>0</v>
      </c>
      <c r="M234" s="210"/>
      <c r="N234" s="212">
        <f>ROUND($L$234*$K$234,2)</f>
        <v>0</v>
      </c>
      <c r="O234" s="206"/>
      <c r="P234" s="206"/>
      <c r="Q234" s="206"/>
      <c r="R234" s="25"/>
      <c r="T234" s="139"/>
      <c r="U234" s="31" t="s">
        <v>45</v>
      </c>
      <c r="V234" s="140">
        <v>0</v>
      </c>
      <c r="W234" s="140">
        <f>$V$234*$K$234</f>
        <v>0</v>
      </c>
      <c r="X234" s="140">
        <v>0.0026</v>
      </c>
      <c r="Y234" s="140">
        <f>$X$234*$K$234</f>
        <v>2.97024</v>
      </c>
      <c r="Z234" s="140">
        <v>0</v>
      </c>
      <c r="AA234" s="141">
        <f>$Z$234*$K$234</f>
        <v>0</v>
      </c>
      <c r="AR234" s="6" t="s">
        <v>188</v>
      </c>
      <c r="AT234" s="6" t="s">
        <v>258</v>
      </c>
      <c r="AU234" s="6" t="s">
        <v>98</v>
      </c>
      <c r="AY234" s="6" t="s">
        <v>157</v>
      </c>
      <c r="BE234" s="88">
        <f>IF($U$234="základní",$N$234,0)</f>
        <v>0</v>
      </c>
      <c r="BF234" s="88">
        <f>IF($U$234="snížená",$N$234,0)</f>
        <v>0</v>
      </c>
      <c r="BG234" s="88">
        <f>IF($U$234="zákl. přenesená",$N$234,0)</f>
        <v>0</v>
      </c>
      <c r="BH234" s="88">
        <f>IF($U$234="sníž. přenesená",$N$234,0)</f>
        <v>0</v>
      </c>
      <c r="BI234" s="88">
        <f>IF($U$234="nulová",$N$234,0)</f>
        <v>0</v>
      </c>
      <c r="BJ234" s="6" t="s">
        <v>21</v>
      </c>
      <c r="BK234" s="88">
        <f>ROUND($L$234*$K$234,2)</f>
        <v>0</v>
      </c>
      <c r="BL234" s="6" t="s">
        <v>162</v>
      </c>
    </row>
    <row r="235" spans="2:64" s="6" customFormat="1" ht="27" customHeight="1">
      <c r="B235" s="23"/>
      <c r="C235" s="135" t="s">
        <v>409</v>
      </c>
      <c r="D235" s="135" t="s">
        <v>158</v>
      </c>
      <c r="E235" s="136" t="s">
        <v>410</v>
      </c>
      <c r="F235" s="205" t="s">
        <v>411</v>
      </c>
      <c r="G235" s="206"/>
      <c r="H235" s="206"/>
      <c r="I235" s="206"/>
      <c r="J235" s="137" t="s">
        <v>165</v>
      </c>
      <c r="K235" s="138">
        <v>1120</v>
      </c>
      <c r="L235" s="207">
        <v>0</v>
      </c>
      <c r="M235" s="206"/>
      <c r="N235" s="208">
        <f>ROUND($L$235*$K$235,2)</f>
        <v>0</v>
      </c>
      <c r="O235" s="206"/>
      <c r="P235" s="206"/>
      <c r="Q235" s="206"/>
      <c r="R235" s="25"/>
      <c r="T235" s="139"/>
      <c r="U235" s="31" t="s">
        <v>45</v>
      </c>
      <c r="V235" s="140">
        <v>0.103</v>
      </c>
      <c r="W235" s="140">
        <f>$V$235*$K$235</f>
        <v>115.36</v>
      </c>
      <c r="X235" s="140">
        <v>0</v>
      </c>
      <c r="Y235" s="140">
        <f>$X$235*$K$235</f>
        <v>0</v>
      </c>
      <c r="Z235" s="140">
        <v>0</v>
      </c>
      <c r="AA235" s="141">
        <f>$Z$235*$K$235</f>
        <v>0</v>
      </c>
      <c r="AR235" s="6" t="s">
        <v>162</v>
      </c>
      <c r="AT235" s="6" t="s">
        <v>158</v>
      </c>
      <c r="AU235" s="6" t="s">
        <v>98</v>
      </c>
      <c r="AY235" s="6" t="s">
        <v>157</v>
      </c>
      <c r="BE235" s="88">
        <f>IF($U$235="základní",$N$235,0)</f>
        <v>0</v>
      </c>
      <c r="BF235" s="88">
        <f>IF($U$235="snížená",$N$235,0)</f>
        <v>0</v>
      </c>
      <c r="BG235" s="88">
        <f>IF($U$235="zákl. přenesená",$N$235,0)</f>
        <v>0</v>
      </c>
      <c r="BH235" s="88">
        <f>IF($U$235="sníž. přenesená",$N$235,0)</f>
        <v>0</v>
      </c>
      <c r="BI235" s="88">
        <f>IF($U$235="nulová",$N$235,0)</f>
        <v>0</v>
      </c>
      <c r="BJ235" s="6" t="s">
        <v>21</v>
      </c>
      <c r="BK235" s="88">
        <f>ROUND($L$235*$K$235,2)</f>
        <v>0</v>
      </c>
      <c r="BL235" s="6" t="s">
        <v>162</v>
      </c>
    </row>
    <row r="236" spans="2:64" s="6" customFormat="1" ht="27" customHeight="1">
      <c r="B236" s="23"/>
      <c r="C236" s="142" t="s">
        <v>412</v>
      </c>
      <c r="D236" s="142" t="s">
        <v>258</v>
      </c>
      <c r="E236" s="143" t="s">
        <v>413</v>
      </c>
      <c r="F236" s="209" t="s">
        <v>414</v>
      </c>
      <c r="G236" s="210"/>
      <c r="H236" s="210"/>
      <c r="I236" s="210"/>
      <c r="J236" s="144" t="s">
        <v>165</v>
      </c>
      <c r="K236" s="145">
        <v>1209.6</v>
      </c>
      <c r="L236" s="211">
        <v>0</v>
      </c>
      <c r="M236" s="210"/>
      <c r="N236" s="212">
        <f>ROUND($L$236*$K$236,2)</f>
        <v>0</v>
      </c>
      <c r="O236" s="206"/>
      <c r="P236" s="206"/>
      <c r="Q236" s="206"/>
      <c r="R236" s="25"/>
      <c r="T236" s="139"/>
      <c r="U236" s="31" t="s">
        <v>45</v>
      </c>
      <c r="V236" s="140">
        <v>0</v>
      </c>
      <c r="W236" s="140">
        <f>$V$236*$K$236</f>
        <v>0</v>
      </c>
      <c r="X236" s="140">
        <v>0.00011</v>
      </c>
      <c r="Y236" s="140">
        <f>$X$236*$K$236</f>
        <v>0.133056</v>
      </c>
      <c r="Z236" s="140">
        <v>0</v>
      </c>
      <c r="AA236" s="141">
        <f>$Z$236*$K$236</f>
        <v>0</v>
      </c>
      <c r="AR236" s="6" t="s">
        <v>188</v>
      </c>
      <c r="AT236" s="6" t="s">
        <v>258</v>
      </c>
      <c r="AU236" s="6" t="s">
        <v>98</v>
      </c>
      <c r="AY236" s="6" t="s">
        <v>157</v>
      </c>
      <c r="BE236" s="88">
        <f>IF($U$236="základní",$N$236,0)</f>
        <v>0</v>
      </c>
      <c r="BF236" s="88">
        <f>IF($U$236="snížená",$N$236,0)</f>
        <v>0</v>
      </c>
      <c r="BG236" s="88">
        <f>IF($U$236="zákl. přenesená",$N$236,0)</f>
        <v>0</v>
      </c>
      <c r="BH236" s="88">
        <f>IF($U$236="sníž. přenesená",$N$236,0)</f>
        <v>0</v>
      </c>
      <c r="BI236" s="88">
        <f>IF($U$236="nulová",$N$236,0)</f>
        <v>0</v>
      </c>
      <c r="BJ236" s="6" t="s">
        <v>21</v>
      </c>
      <c r="BK236" s="88">
        <f>ROUND($L$236*$K$236,2)</f>
        <v>0</v>
      </c>
      <c r="BL236" s="6" t="s">
        <v>162</v>
      </c>
    </row>
    <row r="237" spans="2:64" s="6" customFormat="1" ht="27" customHeight="1">
      <c r="B237" s="23"/>
      <c r="C237" s="135" t="s">
        <v>415</v>
      </c>
      <c r="D237" s="135" t="s">
        <v>158</v>
      </c>
      <c r="E237" s="136" t="s">
        <v>416</v>
      </c>
      <c r="F237" s="205" t="s">
        <v>417</v>
      </c>
      <c r="G237" s="206"/>
      <c r="H237" s="206"/>
      <c r="I237" s="206"/>
      <c r="J237" s="137" t="s">
        <v>196</v>
      </c>
      <c r="K237" s="138">
        <v>3.33</v>
      </c>
      <c r="L237" s="207">
        <v>0</v>
      </c>
      <c r="M237" s="206"/>
      <c r="N237" s="208">
        <f>ROUND($L$237*$K$237,2)</f>
        <v>0</v>
      </c>
      <c r="O237" s="206"/>
      <c r="P237" s="206"/>
      <c r="Q237" s="206"/>
      <c r="R237" s="25"/>
      <c r="T237" s="139"/>
      <c r="U237" s="31" t="s">
        <v>45</v>
      </c>
      <c r="V237" s="140">
        <v>1.831</v>
      </c>
      <c r="W237" s="140">
        <f>$V$237*$K$237</f>
        <v>6.09723</v>
      </c>
      <c r="X237" s="140">
        <v>0</v>
      </c>
      <c r="Y237" s="140">
        <f>$X$237*$K$237</f>
        <v>0</v>
      </c>
      <c r="Z237" s="140">
        <v>0</v>
      </c>
      <c r="AA237" s="141">
        <f>$Z$237*$K$237</f>
        <v>0</v>
      </c>
      <c r="AR237" s="6" t="s">
        <v>212</v>
      </c>
      <c r="AT237" s="6" t="s">
        <v>158</v>
      </c>
      <c r="AU237" s="6" t="s">
        <v>98</v>
      </c>
      <c r="AY237" s="6" t="s">
        <v>157</v>
      </c>
      <c r="BE237" s="88">
        <f>IF($U$237="základní",$N$237,0)</f>
        <v>0</v>
      </c>
      <c r="BF237" s="88">
        <f>IF($U$237="snížená",$N$237,0)</f>
        <v>0</v>
      </c>
      <c r="BG237" s="88">
        <f>IF($U$237="zákl. přenesená",$N$237,0)</f>
        <v>0</v>
      </c>
      <c r="BH237" s="88">
        <f>IF($U$237="sníž. přenesená",$N$237,0)</f>
        <v>0</v>
      </c>
      <c r="BI237" s="88">
        <f>IF($U$237="nulová",$N$237,0)</f>
        <v>0</v>
      </c>
      <c r="BJ237" s="6" t="s">
        <v>21</v>
      </c>
      <c r="BK237" s="88">
        <f>ROUND($L$237*$K$237,2)</f>
        <v>0</v>
      </c>
      <c r="BL237" s="6" t="s">
        <v>212</v>
      </c>
    </row>
    <row r="238" spans="2:63" s="124" customFormat="1" ht="30.75" customHeight="1">
      <c r="B238" s="125"/>
      <c r="C238" s="126"/>
      <c r="D238" s="134" t="s">
        <v>123</v>
      </c>
      <c r="E238" s="126"/>
      <c r="F238" s="126"/>
      <c r="G238" s="126"/>
      <c r="H238" s="126"/>
      <c r="I238" s="126"/>
      <c r="J238" s="126"/>
      <c r="K238" s="126"/>
      <c r="L238" s="126"/>
      <c r="M238" s="126"/>
      <c r="N238" s="217">
        <f>$BK$238</f>
        <v>0</v>
      </c>
      <c r="O238" s="216"/>
      <c r="P238" s="216"/>
      <c r="Q238" s="216"/>
      <c r="R238" s="128"/>
      <c r="T238" s="129"/>
      <c r="U238" s="126"/>
      <c r="V238" s="126"/>
      <c r="W238" s="130">
        <f>SUM($W$239:$W$243)</f>
        <v>83.437</v>
      </c>
      <c r="X238" s="126"/>
      <c r="Y238" s="130">
        <f>SUM($Y$239:$Y$243)</f>
        <v>0.63916</v>
      </c>
      <c r="Z238" s="126"/>
      <c r="AA238" s="131">
        <f>SUM($AA$239:$AA$243)</f>
        <v>0</v>
      </c>
      <c r="AR238" s="132" t="s">
        <v>21</v>
      </c>
      <c r="AT238" s="132" t="s">
        <v>79</v>
      </c>
      <c r="AU238" s="132" t="s">
        <v>21</v>
      </c>
      <c r="AY238" s="132" t="s">
        <v>157</v>
      </c>
      <c r="BK238" s="133">
        <f>SUM($BK$239:$BK$243)</f>
        <v>0</v>
      </c>
    </row>
    <row r="239" spans="2:64" s="6" customFormat="1" ht="15.75" customHeight="1">
      <c r="B239" s="23"/>
      <c r="C239" s="135" t="s">
        <v>418</v>
      </c>
      <c r="D239" s="135" t="s">
        <v>158</v>
      </c>
      <c r="E239" s="136" t="s">
        <v>419</v>
      </c>
      <c r="F239" s="205" t="s">
        <v>420</v>
      </c>
      <c r="G239" s="206"/>
      <c r="H239" s="206"/>
      <c r="I239" s="206"/>
      <c r="J239" s="137" t="s">
        <v>209</v>
      </c>
      <c r="K239" s="138">
        <v>104</v>
      </c>
      <c r="L239" s="207">
        <v>0</v>
      </c>
      <c r="M239" s="206"/>
      <c r="N239" s="208">
        <f>ROUND($L$239*$K$239,2)</f>
        <v>0</v>
      </c>
      <c r="O239" s="206"/>
      <c r="P239" s="206"/>
      <c r="Q239" s="206"/>
      <c r="R239" s="25"/>
      <c r="T239" s="139"/>
      <c r="U239" s="31" t="s">
        <v>45</v>
      </c>
      <c r="V239" s="140">
        <v>0.505</v>
      </c>
      <c r="W239" s="140">
        <f>$V$239*$K$239</f>
        <v>52.52</v>
      </c>
      <c r="X239" s="140">
        <v>0.00398</v>
      </c>
      <c r="Y239" s="140">
        <f>$X$239*$K$239</f>
        <v>0.41392</v>
      </c>
      <c r="Z239" s="140">
        <v>0</v>
      </c>
      <c r="AA239" s="141">
        <f>$Z$239*$K$239</f>
        <v>0</v>
      </c>
      <c r="AR239" s="6" t="s">
        <v>162</v>
      </c>
      <c r="AT239" s="6" t="s">
        <v>158</v>
      </c>
      <c r="AU239" s="6" t="s">
        <v>98</v>
      </c>
      <c r="AY239" s="6" t="s">
        <v>157</v>
      </c>
      <c r="BE239" s="88">
        <f>IF($U$239="základní",$N$239,0)</f>
        <v>0</v>
      </c>
      <c r="BF239" s="88">
        <f>IF($U$239="snížená",$N$239,0)</f>
        <v>0</v>
      </c>
      <c r="BG239" s="88">
        <f>IF($U$239="zákl. přenesená",$N$239,0)</f>
        <v>0</v>
      </c>
      <c r="BH239" s="88">
        <f>IF($U$239="sníž. přenesená",$N$239,0)</f>
        <v>0</v>
      </c>
      <c r="BI239" s="88">
        <f>IF($U$239="nulová",$N$239,0)</f>
        <v>0</v>
      </c>
      <c r="BJ239" s="6" t="s">
        <v>21</v>
      </c>
      <c r="BK239" s="88">
        <f>ROUND($L$239*$K$239,2)</f>
        <v>0</v>
      </c>
      <c r="BL239" s="6" t="s">
        <v>162</v>
      </c>
    </row>
    <row r="240" spans="2:64" s="6" customFormat="1" ht="27" customHeight="1">
      <c r="B240" s="23"/>
      <c r="C240" s="135" t="s">
        <v>421</v>
      </c>
      <c r="D240" s="135" t="s">
        <v>158</v>
      </c>
      <c r="E240" s="136" t="s">
        <v>422</v>
      </c>
      <c r="F240" s="205" t="s">
        <v>423</v>
      </c>
      <c r="G240" s="206"/>
      <c r="H240" s="206"/>
      <c r="I240" s="206"/>
      <c r="J240" s="137" t="s">
        <v>232</v>
      </c>
      <c r="K240" s="138">
        <v>4</v>
      </c>
      <c r="L240" s="207">
        <v>0</v>
      </c>
      <c r="M240" s="206"/>
      <c r="N240" s="208">
        <f>ROUND($L$240*$K$240,2)</f>
        <v>0</v>
      </c>
      <c r="O240" s="206"/>
      <c r="P240" s="206"/>
      <c r="Q240" s="206"/>
      <c r="R240" s="25"/>
      <c r="T240" s="139"/>
      <c r="U240" s="31" t="s">
        <v>45</v>
      </c>
      <c r="V240" s="140">
        <v>0.445</v>
      </c>
      <c r="W240" s="140">
        <f>$V$240*$K$240</f>
        <v>1.78</v>
      </c>
      <c r="X240" s="140">
        <v>0.00373</v>
      </c>
      <c r="Y240" s="140">
        <f>$X$240*$K$240</f>
        <v>0.01492</v>
      </c>
      <c r="Z240" s="140">
        <v>0</v>
      </c>
      <c r="AA240" s="141">
        <f>$Z$240*$K$240</f>
        <v>0</v>
      </c>
      <c r="AR240" s="6" t="s">
        <v>162</v>
      </c>
      <c r="AT240" s="6" t="s">
        <v>158</v>
      </c>
      <c r="AU240" s="6" t="s">
        <v>98</v>
      </c>
      <c r="AY240" s="6" t="s">
        <v>157</v>
      </c>
      <c r="BE240" s="88">
        <f>IF($U$240="základní",$N$240,0)</f>
        <v>0</v>
      </c>
      <c r="BF240" s="88">
        <f>IF($U$240="snížená",$N$240,0)</f>
        <v>0</v>
      </c>
      <c r="BG240" s="88">
        <f>IF($U$240="zákl. přenesená",$N$240,0)</f>
        <v>0</v>
      </c>
      <c r="BH240" s="88">
        <f>IF($U$240="sníž. přenesená",$N$240,0)</f>
        <v>0</v>
      </c>
      <c r="BI240" s="88">
        <f>IF($U$240="nulová",$N$240,0)</f>
        <v>0</v>
      </c>
      <c r="BJ240" s="6" t="s">
        <v>21</v>
      </c>
      <c r="BK240" s="88">
        <f>ROUND($L$240*$K$240,2)</f>
        <v>0</v>
      </c>
      <c r="BL240" s="6" t="s">
        <v>162</v>
      </c>
    </row>
    <row r="241" spans="2:64" s="6" customFormat="1" ht="27" customHeight="1">
      <c r="B241" s="23"/>
      <c r="C241" s="135" t="s">
        <v>424</v>
      </c>
      <c r="D241" s="135" t="s">
        <v>158</v>
      </c>
      <c r="E241" s="136" t="s">
        <v>425</v>
      </c>
      <c r="F241" s="205" t="s">
        <v>426</v>
      </c>
      <c r="G241" s="206"/>
      <c r="H241" s="206"/>
      <c r="I241" s="206"/>
      <c r="J241" s="137" t="s">
        <v>209</v>
      </c>
      <c r="K241" s="138">
        <v>69</v>
      </c>
      <c r="L241" s="207">
        <v>0</v>
      </c>
      <c r="M241" s="206"/>
      <c r="N241" s="208">
        <f>ROUND($L$241*$K$241,2)</f>
        <v>0</v>
      </c>
      <c r="O241" s="206"/>
      <c r="P241" s="206"/>
      <c r="Q241" s="206"/>
      <c r="R241" s="25"/>
      <c r="T241" s="139"/>
      <c r="U241" s="31" t="s">
        <v>45</v>
      </c>
      <c r="V241" s="140">
        <v>0</v>
      </c>
      <c r="W241" s="140">
        <f>$V$241*$K$241</f>
        <v>0</v>
      </c>
      <c r="X241" s="140">
        <v>0</v>
      </c>
      <c r="Y241" s="140">
        <f>$X$241*$K$241</f>
        <v>0</v>
      </c>
      <c r="Z241" s="140">
        <v>0</v>
      </c>
      <c r="AA241" s="141">
        <f>$Z$241*$K$241</f>
        <v>0</v>
      </c>
      <c r="AR241" s="6" t="s">
        <v>162</v>
      </c>
      <c r="AT241" s="6" t="s">
        <v>158</v>
      </c>
      <c r="AU241" s="6" t="s">
        <v>98</v>
      </c>
      <c r="AY241" s="6" t="s">
        <v>157</v>
      </c>
      <c r="BE241" s="88">
        <f>IF($U$241="základní",$N$241,0)</f>
        <v>0</v>
      </c>
      <c r="BF241" s="88">
        <f>IF($U$241="snížená",$N$241,0)</f>
        <v>0</v>
      </c>
      <c r="BG241" s="88">
        <f>IF($U$241="zákl. přenesená",$N$241,0)</f>
        <v>0</v>
      </c>
      <c r="BH241" s="88">
        <f>IF($U$241="sníž. přenesená",$N$241,0)</f>
        <v>0</v>
      </c>
      <c r="BI241" s="88">
        <f>IF($U$241="nulová",$N$241,0)</f>
        <v>0</v>
      </c>
      <c r="BJ241" s="6" t="s">
        <v>21</v>
      </c>
      <c r="BK241" s="88">
        <f>ROUND($L$241*$K$241,2)</f>
        <v>0</v>
      </c>
      <c r="BL241" s="6" t="s">
        <v>162</v>
      </c>
    </row>
    <row r="242" spans="2:64" s="6" customFormat="1" ht="15.75" customHeight="1">
      <c r="B242" s="23"/>
      <c r="C242" s="135" t="s">
        <v>427</v>
      </c>
      <c r="D242" s="135" t="s">
        <v>158</v>
      </c>
      <c r="E242" s="136" t="s">
        <v>428</v>
      </c>
      <c r="F242" s="205" t="s">
        <v>429</v>
      </c>
      <c r="G242" s="206"/>
      <c r="H242" s="206"/>
      <c r="I242" s="206"/>
      <c r="J242" s="137" t="s">
        <v>209</v>
      </c>
      <c r="K242" s="138">
        <v>44</v>
      </c>
      <c r="L242" s="207">
        <v>0</v>
      </c>
      <c r="M242" s="206"/>
      <c r="N242" s="208">
        <f>ROUND($L$242*$K$242,2)</f>
        <v>0</v>
      </c>
      <c r="O242" s="206"/>
      <c r="P242" s="206"/>
      <c r="Q242" s="206"/>
      <c r="R242" s="25"/>
      <c r="T242" s="139"/>
      <c r="U242" s="31" t="s">
        <v>45</v>
      </c>
      <c r="V242" s="140">
        <v>0.591</v>
      </c>
      <c r="W242" s="140">
        <f>$V$242*$K$242</f>
        <v>26.003999999999998</v>
      </c>
      <c r="X242" s="140">
        <v>0.00478</v>
      </c>
      <c r="Y242" s="140">
        <f>$X$242*$K$242</f>
        <v>0.21032</v>
      </c>
      <c r="Z242" s="140">
        <v>0</v>
      </c>
      <c r="AA242" s="141">
        <f>$Z$242*$K$242</f>
        <v>0</v>
      </c>
      <c r="AR242" s="6" t="s">
        <v>162</v>
      </c>
      <c r="AT242" s="6" t="s">
        <v>158</v>
      </c>
      <c r="AU242" s="6" t="s">
        <v>98</v>
      </c>
      <c r="AY242" s="6" t="s">
        <v>157</v>
      </c>
      <c r="BE242" s="88">
        <f>IF($U$242="základní",$N$242,0)</f>
        <v>0</v>
      </c>
      <c r="BF242" s="88">
        <f>IF($U$242="snížená",$N$242,0)</f>
        <v>0</v>
      </c>
      <c r="BG242" s="88">
        <f>IF($U$242="zákl. přenesená",$N$242,0)</f>
        <v>0</v>
      </c>
      <c r="BH242" s="88">
        <f>IF($U$242="sníž. přenesená",$N$242,0)</f>
        <v>0</v>
      </c>
      <c r="BI242" s="88">
        <f>IF($U$242="nulová",$N$242,0)</f>
        <v>0</v>
      </c>
      <c r="BJ242" s="6" t="s">
        <v>21</v>
      </c>
      <c r="BK242" s="88">
        <f>ROUND($L$242*$K$242,2)</f>
        <v>0</v>
      </c>
      <c r="BL242" s="6" t="s">
        <v>162</v>
      </c>
    </row>
    <row r="243" spans="2:64" s="6" customFormat="1" ht="27" customHeight="1">
      <c r="B243" s="23"/>
      <c r="C243" s="135" t="s">
        <v>430</v>
      </c>
      <c r="D243" s="135" t="s">
        <v>158</v>
      </c>
      <c r="E243" s="136" t="s">
        <v>431</v>
      </c>
      <c r="F243" s="205" t="s">
        <v>432</v>
      </c>
      <c r="G243" s="206"/>
      <c r="H243" s="206"/>
      <c r="I243" s="206"/>
      <c r="J243" s="137" t="s">
        <v>196</v>
      </c>
      <c r="K243" s="138">
        <v>0.65</v>
      </c>
      <c r="L243" s="207">
        <v>0</v>
      </c>
      <c r="M243" s="206"/>
      <c r="N243" s="208">
        <f>ROUND($L$243*$K$243,2)</f>
        <v>0</v>
      </c>
      <c r="O243" s="206"/>
      <c r="P243" s="206"/>
      <c r="Q243" s="206"/>
      <c r="R243" s="25"/>
      <c r="T243" s="139"/>
      <c r="U243" s="31" t="s">
        <v>45</v>
      </c>
      <c r="V243" s="140">
        <v>4.82</v>
      </c>
      <c r="W243" s="140">
        <f>$V$243*$K$243</f>
        <v>3.1330000000000005</v>
      </c>
      <c r="X243" s="140">
        <v>0</v>
      </c>
      <c r="Y243" s="140">
        <f>$X$243*$K$243</f>
        <v>0</v>
      </c>
      <c r="Z243" s="140">
        <v>0</v>
      </c>
      <c r="AA243" s="141">
        <f>$Z$243*$K$243</f>
        <v>0</v>
      </c>
      <c r="AR243" s="6" t="s">
        <v>212</v>
      </c>
      <c r="AT243" s="6" t="s">
        <v>158</v>
      </c>
      <c r="AU243" s="6" t="s">
        <v>98</v>
      </c>
      <c r="AY243" s="6" t="s">
        <v>157</v>
      </c>
      <c r="BE243" s="88">
        <f>IF($U$243="základní",$N$243,0)</f>
        <v>0</v>
      </c>
      <c r="BF243" s="88">
        <f>IF($U$243="snížená",$N$243,0)</f>
        <v>0</v>
      </c>
      <c r="BG243" s="88">
        <f>IF($U$243="zákl. přenesená",$N$243,0)</f>
        <v>0</v>
      </c>
      <c r="BH243" s="88">
        <f>IF($U$243="sníž. přenesená",$N$243,0)</f>
        <v>0</v>
      </c>
      <c r="BI243" s="88">
        <f>IF($U$243="nulová",$N$243,0)</f>
        <v>0</v>
      </c>
      <c r="BJ243" s="6" t="s">
        <v>21</v>
      </c>
      <c r="BK243" s="88">
        <f>ROUND($L$243*$K$243,2)</f>
        <v>0</v>
      </c>
      <c r="BL243" s="6" t="s">
        <v>212</v>
      </c>
    </row>
    <row r="244" spans="2:63" s="124" customFormat="1" ht="30.75" customHeight="1">
      <c r="B244" s="125"/>
      <c r="C244" s="126"/>
      <c r="D244" s="134" t="s">
        <v>124</v>
      </c>
      <c r="E244" s="126"/>
      <c r="F244" s="126"/>
      <c r="G244" s="126"/>
      <c r="H244" s="126"/>
      <c r="I244" s="126"/>
      <c r="J244" s="126"/>
      <c r="K244" s="126"/>
      <c r="L244" s="126"/>
      <c r="M244" s="126"/>
      <c r="N244" s="217">
        <f>$BK$244</f>
        <v>0</v>
      </c>
      <c r="O244" s="216"/>
      <c r="P244" s="216"/>
      <c r="Q244" s="216"/>
      <c r="R244" s="128"/>
      <c r="T244" s="129"/>
      <c r="U244" s="126"/>
      <c r="V244" s="126"/>
      <c r="W244" s="130">
        <f>SUM($W$245:$W$264)</f>
        <v>1786.5456</v>
      </c>
      <c r="X244" s="126"/>
      <c r="Y244" s="130">
        <f>SUM($Y$245:$Y$264)</f>
        <v>2.5591</v>
      </c>
      <c r="Z244" s="126"/>
      <c r="AA244" s="131">
        <f>SUM($AA$245:$AA$264)</f>
        <v>0</v>
      </c>
      <c r="AR244" s="132" t="s">
        <v>21</v>
      </c>
      <c r="AT244" s="132" t="s">
        <v>79</v>
      </c>
      <c r="AU244" s="132" t="s">
        <v>21</v>
      </c>
      <c r="AY244" s="132" t="s">
        <v>157</v>
      </c>
      <c r="BK244" s="133">
        <f>SUM($BK$245:$BK$264)</f>
        <v>0</v>
      </c>
    </row>
    <row r="245" spans="2:64" s="6" customFormat="1" ht="27" customHeight="1">
      <c r="B245" s="23"/>
      <c r="C245" s="135" t="s">
        <v>433</v>
      </c>
      <c r="D245" s="135" t="s">
        <v>158</v>
      </c>
      <c r="E245" s="136" t="s">
        <v>434</v>
      </c>
      <c r="F245" s="205" t="s">
        <v>435</v>
      </c>
      <c r="G245" s="206"/>
      <c r="H245" s="206"/>
      <c r="I245" s="206"/>
      <c r="J245" s="137" t="s">
        <v>232</v>
      </c>
      <c r="K245" s="138">
        <v>24</v>
      </c>
      <c r="L245" s="207">
        <v>0</v>
      </c>
      <c r="M245" s="206"/>
      <c r="N245" s="208">
        <f>ROUND($L$245*$K$245,2)</f>
        <v>0</v>
      </c>
      <c r="O245" s="206"/>
      <c r="P245" s="206"/>
      <c r="Q245" s="206"/>
      <c r="R245" s="25"/>
      <c r="T245" s="139"/>
      <c r="U245" s="31" t="s">
        <v>45</v>
      </c>
      <c r="V245" s="140">
        <v>4.094</v>
      </c>
      <c r="W245" s="140">
        <f>$V$245*$K$245</f>
        <v>98.256</v>
      </c>
      <c r="X245" s="140">
        <v>0</v>
      </c>
      <c r="Y245" s="140">
        <f>$X$245*$K$245</f>
        <v>0</v>
      </c>
      <c r="Z245" s="140">
        <v>0</v>
      </c>
      <c r="AA245" s="141">
        <f>$Z$245*$K$245</f>
        <v>0</v>
      </c>
      <c r="AR245" s="6" t="s">
        <v>162</v>
      </c>
      <c r="AT245" s="6" t="s">
        <v>158</v>
      </c>
      <c r="AU245" s="6" t="s">
        <v>98</v>
      </c>
      <c r="AY245" s="6" t="s">
        <v>157</v>
      </c>
      <c r="BE245" s="88">
        <f>IF($U$245="základní",$N$245,0)</f>
        <v>0</v>
      </c>
      <c r="BF245" s="88">
        <f>IF($U$245="snížená",$N$245,0)</f>
        <v>0</v>
      </c>
      <c r="BG245" s="88">
        <f>IF($U$245="zákl. přenesená",$N$245,0)</f>
        <v>0</v>
      </c>
      <c r="BH245" s="88">
        <f>IF($U$245="sníž. přenesená",$N$245,0)</f>
        <v>0</v>
      </c>
      <c r="BI245" s="88">
        <f>IF($U$245="nulová",$N$245,0)</f>
        <v>0</v>
      </c>
      <c r="BJ245" s="6" t="s">
        <v>21</v>
      </c>
      <c r="BK245" s="88">
        <f>ROUND($L$245*$K$245,2)</f>
        <v>0</v>
      </c>
      <c r="BL245" s="6" t="s">
        <v>162</v>
      </c>
    </row>
    <row r="246" spans="2:64" s="6" customFormat="1" ht="15.75" customHeight="1">
      <c r="B246" s="23"/>
      <c r="C246" s="142" t="s">
        <v>436</v>
      </c>
      <c r="D246" s="142" t="s">
        <v>258</v>
      </c>
      <c r="E246" s="143" t="s">
        <v>437</v>
      </c>
      <c r="F246" s="209" t="s">
        <v>438</v>
      </c>
      <c r="G246" s="210"/>
      <c r="H246" s="210"/>
      <c r="I246" s="210"/>
      <c r="J246" s="144" t="s">
        <v>232</v>
      </c>
      <c r="K246" s="145">
        <v>24</v>
      </c>
      <c r="L246" s="211">
        <v>0</v>
      </c>
      <c r="M246" s="210"/>
      <c r="N246" s="212">
        <f>ROUND($L$246*$K$246,2)</f>
        <v>0</v>
      </c>
      <c r="O246" s="206"/>
      <c r="P246" s="206"/>
      <c r="Q246" s="206"/>
      <c r="R246" s="25"/>
      <c r="T246" s="139"/>
      <c r="U246" s="31" t="s">
        <v>45</v>
      </c>
      <c r="V246" s="140">
        <v>0</v>
      </c>
      <c r="W246" s="140">
        <f>$V$246*$K$246</f>
        <v>0</v>
      </c>
      <c r="X246" s="140">
        <v>0.013</v>
      </c>
      <c r="Y246" s="140">
        <f>$X$246*$K$246</f>
        <v>0.312</v>
      </c>
      <c r="Z246" s="140">
        <v>0</v>
      </c>
      <c r="AA246" s="141">
        <f>$Z$246*$K$246</f>
        <v>0</v>
      </c>
      <c r="AR246" s="6" t="s">
        <v>188</v>
      </c>
      <c r="AT246" s="6" t="s">
        <v>258</v>
      </c>
      <c r="AU246" s="6" t="s">
        <v>98</v>
      </c>
      <c r="AY246" s="6" t="s">
        <v>157</v>
      </c>
      <c r="BE246" s="88">
        <f>IF($U$246="základní",$N$246,0)</f>
        <v>0</v>
      </c>
      <c r="BF246" s="88">
        <f>IF($U$246="snížená",$N$246,0)</f>
        <v>0</v>
      </c>
      <c r="BG246" s="88">
        <f>IF($U$246="zákl. přenesená",$N$246,0)</f>
        <v>0</v>
      </c>
      <c r="BH246" s="88">
        <f>IF($U$246="sníž. přenesená",$N$246,0)</f>
        <v>0</v>
      </c>
      <c r="BI246" s="88">
        <f>IF($U$246="nulová",$N$246,0)</f>
        <v>0</v>
      </c>
      <c r="BJ246" s="6" t="s">
        <v>21</v>
      </c>
      <c r="BK246" s="88">
        <f>ROUND($L$246*$K$246,2)</f>
        <v>0</v>
      </c>
      <c r="BL246" s="6" t="s">
        <v>162</v>
      </c>
    </row>
    <row r="247" spans="2:64" s="6" customFormat="1" ht="27" customHeight="1">
      <c r="B247" s="23"/>
      <c r="C247" s="135" t="s">
        <v>439</v>
      </c>
      <c r="D247" s="135" t="s">
        <v>158</v>
      </c>
      <c r="E247" s="136" t="s">
        <v>440</v>
      </c>
      <c r="F247" s="205" t="s">
        <v>441</v>
      </c>
      <c r="G247" s="206"/>
      <c r="H247" s="206"/>
      <c r="I247" s="206"/>
      <c r="J247" s="137" t="s">
        <v>165</v>
      </c>
      <c r="K247" s="138">
        <v>12</v>
      </c>
      <c r="L247" s="207">
        <v>0</v>
      </c>
      <c r="M247" s="206"/>
      <c r="N247" s="208">
        <f>ROUND($L$247*$K$247,2)</f>
        <v>0</v>
      </c>
      <c r="O247" s="206"/>
      <c r="P247" s="206"/>
      <c r="Q247" s="206"/>
      <c r="R247" s="25"/>
      <c r="T247" s="139"/>
      <c r="U247" s="31" t="s">
        <v>45</v>
      </c>
      <c r="V247" s="140">
        <v>0</v>
      </c>
      <c r="W247" s="140">
        <f>$V$247*$K$247</f>
        <v>0</v>
      </c>
      <c r="X247" s="140">
        <v>0</v>
      </c>
      <c r="Y247" s="140">
        <f>$X$247*$K$247</f>
        <v>0</v>
      </c>
      <c r="Z247" s="140">
        <v>0</v>
      </c>
      <c r="AA247" s="141">
        <f>$Z$247*$K$247</f>
        <v>0</v>
      </c>
      <c r="AR247" s="6" t="s">
        <v>162</v>
      </c>
      <c r="AT247" s="6" t="s">
        <v>158</v>
      </c>
      <c r="AU247" s="6" t="s">
        <v>98</v>
      </c>
      <c r="AY247" s="6" t="s">
        <v>157</v>
      </c>
      <c r="BE247" s="88">
        <f>IF($U$247="základní",$N$247,0)</f>
        <v>0</v>
      </c>
      <c r="BF247" s="88">
        <f>IF($U$247="snížená",$N$247,0)</f>
        <v>0</v>
      </c>
      <c r="BG247" s="88">
        <f>IF($U$247="zákl. přenesená",$N$247,0)</f>
        <v>0</v>
      </c>
      <c r="BH247" s="88">
        <f>IF($U$247="sníž. přenesená",$N$247,0)</f>
        <v>0</v>
      </c>
      <c r="BI247" s="88">
        <f>IF($U$247="nulová",$N$247,0)</f>
        <v>0</v>
      </c>
      <c r="BJ247" s="6" t="s">
        <v>21</v>
      </c>
      <c r="BK247" s="88">
        <f>ROUND($L$247*$K$247,2)</f>
        <v>0</v>
      </c>
      <c r="BL247" s="6" t="s">
        <v>162</v>
      </c>
    </row>
    <row r="248" spans="2:64" s="6" customFormat="1" ht="15.75" customHeight="1">
      <c r="B248" s="23"/>
      <c r="C248" s="135" t="s">
        <v>442</v>
      </c>
      <c r="D248" s="135" t="s">
        <v>158</v>
      </c>
      <c r="E248" s="136" t="s">
        <v>443</v>
      </c>
      <c r="F248" s="205" t="s">
        <v>444</v>
      </c>
      <c r="G248" s="206"/>
      <c r="H248" s="206"/>
      <c r="I248" s="206"/>
      <c r="J248" s="137" t="s">
        <v>445</v>
      </c>
      <c r="K248" s="138">
        <v>2</v>
      </c>
      <c r="L248" s="207">
        <v>0</v>
      </c>
      <c r="M248" s="206"/>
      <c r="N248" s="208">
        <f>ROUND($L$248*$K$248,2)</f>
        <v>0</v>
      </c>
      <c r="O248" s="206"/>
      <c r="P248" s="206"/>
      <c r="Q248" s="206"/>
      <c r="R248" s="25"/>
      <c r="T248" s="139"/>
      <c r="U248" s="31" t="s">
        <v>45</v>
      </c>
      <c r="V248" s="140">
        <v>0.017</v>
      </c>
      <c r="W248" s="140">
        <f>$V$248*$K$248</f>
        <v>0.034</v>
      </c>
      <c r="X248" s="140">
        <v>5E-05</v>
      </c>
      <c r="Y248" s="140">
        <f>$X$248*$K$248</f>
        <v>0.0001</v>
      </c>
      <c r="Z248" s="140">
        <v>0</v>
      </c>
      <c r="AA248" s="141">
        <f>$Z$248*$K$248</f>
        <v>0</v>
      </c>
      <c r="AR248" s="6" t="s">
        <v>162</v>
      </c>
      <c r="AT248" s="6" t="s">
        <v>158</v>
      </c>
      <c r="AU248" s="6" t="s">
        <v>98</v>
      </c>
      <c r="AY248" s="6" t="s">
        <v>157</v>
      </c>
      <c r="BE248" s="88">
        <f>IF($U$248="základní",$N$248,0)</f>
        <v>0</v>
      </c>
      <c r="BF248" s="88">
        <f>IF($U$248="snížená",$N$248,0)</f>
        <v>0</v>
      </c>
      <c r="BG248" s="88">
        <f>IF($U$248="zákl. přenesená",$N$248,0)</f>
        <v>0</v>
      </c>
      <c r="BH248" s="88">
        <f>IF($U$248="sníž. přenesená",$N$248,0)</f>
        <v>0</v>
      </c>
      <c r="BI248" s="88">
        <f>IF($U$248="nulová",$N$248,0)</f>
        <v>0</v>
      </c>
      <c r="BJ248" s="6" t="s">
        <v>21</v>
      </c>
      <c r="BK248" s="88">
        <f>ROUND($L$248*$K$248,2)</f>
        <v>0</v>
      </c>
      <c r="BL248" s="6" t="s">
        <v>162</v>
      </c>
    </row>
    <row r="249" spans="2:64" s="6" customFormat="1" ht="27" customHeight="1">
      <c r="B249" s="23"/>
      <c r="C249" s="135" t="s">
        <v>446</v>
      </c>
      <c r="D249" s="135" t="s">
        <v>158</v>
      </c>
      <c r="E249" s="136" t="s">
        <v>447</v>
      </c>
      <c r="F249" s="205" t="s">
        <v>448</v>
      </c>
      <c r="G249" s="206"/>
      <c r="H249" s="206"/>
      <c r="I249" s="206"/>
      <c r="J249" s="137" t="s">
        <v>232</v>
      </c>
      <c r="K249" s="138">
        <v>2</v>
      </c>
      <c r="L249" s="207">
        <v>0</v>
      </c>
      <c r="M249" s="206"/>
      <c r="N249" s="208">
        <f>ROUND($L$249*$K$249,2)</f>
        <v>0</v>
      </c>
      <c r="O249" s="206"/>
      <c r="P249" s="206"/>
      <c r="Q249" s="206"/>
      <c r="R249" s="25"/>
      <c r="T249" s="139"/>
      <c r="U249" s="31" t="s">
        <v>45</v>
      </c>
      <c r="V249" s="140">
        <v>7.62</v>
      </c>
      <c r="W249" s="140">
        <f>$V$249*$K$249</f>
        <v>15.24</v>
      </c>
      <c r="X249" s="140">
        <v>0</v>
      </c>
      <c r="Y249" s="140">
        <f>$X$249*$K$249</f>
        <v>0</v>
      </c>
      <c r="Z249" s="140">
        <v>0</v>
      </c>
      <c r="AA249" s="141">
        <f>$Z$249*$K$249</f>
        <v>0</v>
      </c>
      <c r="AR249" s="6" t="s">
        <v>162</v>
      </c>
      <c r="AT249" s="6" t="s">
        <v>158</v>
      </c>
      <c r="AU249" s="6" t="s">
        <v>98</v>
      </c>
      <c r="AY249" s="6" t="s">
        <v>157</v>
      </c>
      <c r="BE249" s="88">
        <f>IF($U$249="základní",$N$249,0)</f>
        <v>0</v>
      </c>
      <c r="BF249" s="88">
        <f>IF($U$249="snížená",$N$249,0)</f>
        <v>0</v>
      </c>
      <c r="BG249" s="88">
        <f>IF($U$249="zákl. přenesená",$N$249,0)</f>
        <v>0</v>
      </c>
      <c r="BH249" s="88">
        <f>IF($U$249="sníž. přenesená",$N$249,0)</f>
        <v>0</v>
      </c>
      <c r="BI249" s="88">
        <f>IF($U$249="nulová",$N$249,0)</f>
        <v>0</v>
      </c>
      <c r="BJ249" s="6" t="s">
        <v>21</v>
      </c>
      <c r="BK249" s="88">
        <f>ROUND($L$249*$K$249,2)</f>
        <v>0</v>
      </c>
      <c r="BL249" s="6" t="s">
        <v>162</v>
      </c>
    </row>
    <row r="250" spans="2:64" s="6" customFormat="1" ht="27" customHeight="1">
      <c r="B250" s="23"/>
      <c r="C250" s="142" t="s">
        <v>449</v>
      </c>
      <c r="D250" s="142" t="s">
        <v>258</v>
      </c>
      <c r="E250" s="143" t="s">
        <v>450</v>
      </c>
      <c r="F250" s="209" t="s">
        <v>451</v>
      </c>
      <c r="G250" s="210"/>
      <c r="H250" s="210"/>
      <c r="I250" s="210"/>
      <c r="J250" s="144" t="s">
        <v>232</v>
      </c>
      <c r="K250" s="145">
        <v>2</v>
      </c>
      <c r="L250" s="211">
        <v>0</v>
      </c>
      <c r="M250" s="210"/>
      <c r="N250" s="212">
        <f>ROUND($L$250*$K$250,2)</f>
        <v>0</v>
      </c>
      <c r="O250" s="206"/>
      <c r="P250" s="206"/>
      <c r="Q250" s="206"/>
      <c r="R250" s="25"/>
      <c r="T250" s="139"/>
      <c r="U250" s="31" t="s">
        <v>45</v>
      </c>
      <c r="V250" s="140">
        <v>0</v>
      </c>
      <c r="W250" s="140">
        <f>$V$250*$K$250</f>
        <v>0</v>
      </c>
      <c r="X250" s="140">
        <v>0.045</v>
      </c>
      <c r="Y250" s="140">
        <f>$X$250*$K$250</f>
        <v>0.09</v>
      </c>
      <c r="Z250" s="140">
        <v>0</v>
      </c>
      <c r="AA250" s="141">
        <f>$Z$250*$K$250</f>
        <v>0</v>
      </c>
      <c r="AR250" s="6" t="s">
        <v>188</v>
      </c>
      <c r="AT250" s="6" t="s">
        <v>258</v>
      </c>
      <c r="AU250" s="6" t="s">
        <v>98</v>
      </c>
      <c r="AY250" s="6" t="s">
        <v>157</v>
      </c>
      <c r="BE250" s="88">
        <f>IF($U$250="základní",$N$250,0)</f>
        <v>0</v>
      </c>
      <c r="BF250" s="88">
        <f>IF($U$250="snížená",$N$250,0)</f>
        <v>0</v>
      </c>
      <c r="BG250" s="88">
        <f>IF($U$250="zákl. přenesená",$N$250,0)</f>
        <v>0</v>
      </c>
      <c r="BH250" s="88">
        <f>IF($U$250="sníž. přenesená",$N$250,0)</f>
        <v>0</v>
      </c>
      <c r="BI250" s="88">
        <f>IF($U$250="nulová",$N$250,0)</f>
        <v>0</v>
      </c>
      <c r="BJ250" s="6" t="s">
        <v>21</v>
      </c>
      <c r="BK250" s="88">
        <f>ROUND($L$250*$K$250,2)</f>
        <v>0</v>
      </c>
      <c r="BL250" s="6" t="s">
        <v>162</v>
      </c>
    </row>
    <row r="251" spans="2:64" s="6" customFormat="1" ht="27" customHeight="1">
      <c r="B251" s="23"/>
      <c r="C251" s="135" t="s">
        <v>452</v>
      </c>
      <c r="D251" s="135" t="s">
        <v>158</v>
      </c>
      <c r="E251" s="136" t="s">
        <v>453</v>
      </c>
      <c r="F251" s="205" t="s">
        <v>454</v>
      </c>
      <c r="G251" s="206"/>
      <c r="H251" s="206"/>
      <c r="I251" s="206"/>
      <c r="J251" s="137" t="s">
        <v>232</v>
      </c>
      <c r="K251" s="138">
        <v>1</v>
      </c>
      <c r="L251" s="207">
        <v>0</v>
      </c>
      <c r="M251" s="206"/>
      <c r="N251" s="208">
        <f>ROUND($L$251*$K$251,2)</f>
        <v>0</v>
      </c>
      <c r="O251" s="206"/>
      <c r="P251" s="206"/>
      <c r="Q251" s="206"/>
      <c r="R251" s="25"/>
      <c r="T251" s="139"/>
      <c r="U251" s="31" t="s">
        <v>45</v>
      </c>
      <c r="V251" s="140">
        <v>13.65</v>
      </c>
      <c r="W251" s="140">
        <f>$V$251*$K$251</f>
        <v>13.65</v>
      </c>
      <c r="X251" s="140">
        <v>0</v>
      </c>
      <c r="Y251" s="140">
        <f>$X$251*$K$251</f>
        <v>0</v>
      </c>
      <c r="Z251" s="140">
        <v>0</v>
      </c>
      <c r="AA251" s="141">
        <f>$Z$251*$K$251</f>
        <v>0</v>
      </c>
      <c r="AR251" s="6" t="s">
        <v>162</v>
      </c>
      <c r="AT251" s="6" t="s">
        <v>158</v>
      </c>
      <c r="AU251" s="6" t="s">
        <v>98</v>
      </c>
      <c r="AY251" s="6" t="s">
        <v>157</v>
      </c>
      <c r="BE251" s="88">
        <f>IF($U$251="základní",$N$251,0)</f>
        <v>0</v>
      </c>
      <c r="BF251" s="88">
        <f>IF($U$251="snížená",$N$251,0)</f>
        <v>0</v>
      </c>
      <c r="BG251" s="88">
        <f>IF($U$251="zákl. přenesená",$N$251,0)</f>
        <v>0</v>
      </c>
      <c r="BH251" s="88">
        <f>IF($U$251="sníž. přenesená",$N$251,0)</f>
        <v>0</v>
      </c>
      <c r="BI251" s="88">
        <f>IF($U$251="nulová",$N$251,0)</f>
        <v>0</v>
      </c>
      <c r="BJ251" s="6" t="s">
        <v>21</v>
      </c>
      <c r="BK251" s="88">
        <f>ROUND($L$251*$K$251,2)</f>
        <v>0</v>
      </c>
      <c r="BL251" s="6" t="s">
        <v>162</v>
      </c>
    </row>
    <row r="252" spans="2:64" s="6" customFormat="1" ht="27" customHeight="1">
      <c r="B252" s="23"/>
      <c r="C252" s="142" t="s">
        <v>455</v>
      </c>
      <c r="D252" s="142" t="s">
        <v>258</v>
      </c>
      <c r="E252" s="143" t="s">
        <v>456</v>
      </c>
      <c r="F252" s="209" t="s">
        <v>457</v>
      </c>
      <c r="G252" s="210"/>
      <c r="H252" s="210"/>
      <c r="I252" s="210"/>
      <c r="J252" s="144" t="s">
        <v>232</v>
      </c>
      <c r="K252" s="145">
        <v>1</v>
      </c>
      <c r="L252" s="211">
        <v>0</v>
      </c>
      <c r="M252" s="210"/>
      <c r="N252" s="212">
        <f>ROUND($L$252*$K$252,2)</f>
        <v>0</v>
      </c>
      <c r="O252" s="206"/>
      <c r="P252" s="206"/>
      <c r="Q252" s="206"/>
      <c r="R252" s="25"/>
      <c r="T252" s="139"/>
      <c r="U252" s="31" t="s">
        <v>45</v>
      </c>
      <c r="V252" s="140">
        <v>0</v>
      </c>
      <c r="W252" s="140">
        <f>$V$252*$K$252</f>
        <v>0</v>
      </c>
      <c r="X252" s="140">
        <v>0.195</v>
      </c>
      <c r="Y252" s="140">
        <f>$X$252*$K$252</f>
        <v>0.195</v>
      </c>
      <c r="Z252" s="140">
        <v>0</v>
      </c>
      <c r="AA252" s="141">
        <f>$Z$252*$K$252</f>
        <v>0</v>
      </c>
      <c r="AR252" s="6" t="s">
        <v>188</v>
      </c>
      <c r="AT252" s="6" t="s">
        <v>258</v>
      </c>
      <c r="AU252" s="6" t="s">
        <v>98</v>
      </c>
      <c r="AY252" s="6" t="s">
        <v>157</v>
      </c>
      <c r="BE252" s="88">
        <f>IF($U$252="základní",$N$252,0)</f>
        <v>0</v>
      </c>
      <c r="BF252" s="88">
        <f>IF($U$252="snížená",$N$252,0)</f>
        <v>0</v>
      </c>
      <c r="BG252" s="88">
        <f>IF($U$252="zákl. přenesená",$N$252,0)</f>
        <v>0</v>
      </c>
      <c r="BH252" s="88">
        <f>IF($U$252="sníž. přenesená",$N$252,0)</f>
        <v>0</v>
      </c>
      <c r="BI252" s="88">
        <f>IF($U$252="nulová",$N$252,0)</f>
        <v>0</v>
      </c>
      <c r="BJ252" s="6" t="s">
        <v>21</v>
      </c>
      <c r="BK252" s="88">
        <f>ROUND($L$252*$K$252,2)</f>
        <v>0</v>
      </c>
      <c r="BL252" s="6" t="s">
        <v>162</v>
      </c>
    </row>
    <row r="253" spans="2:64" s="6" customFormat="1" ht="27" customHeight="1">
      <c r="B253" s="23"/>
      <c r="C253" s="135" t="s">
        <v>458</v>
      </c>
      <c r="D253" s="135" t="s">
        <v>158</v>
      </c>
      <c r="E253" s="136" t="s">
        <v>459</v>
      </c>
      <c r="F253" s="205" t="s">
        <v>460</v>
      </c>
      <c r="G253" s="206"/>
      <c r="H253" s="206"/>
      <c r="I253" s="206"/>
      <c r="J253" s="137" t="s">
        <v>232</v>
      </c>
      <c r="K253" s="138">
        <v>3</v>
      </c>
      <c r="L253" s="207">
        <v>0</v>
      </c>
      <c r="M253" s="206"/>
      <c r="N253" s="208">
        <f>ROUND($L$253*$K$253,2)</f>
        <v>0</v>
      </c>
      <c r="O253" s="206"/>
      <c r="P253" s="206"/>
      <c r="Q253" s="206"/>
      <c r="R253" s="25"/>
      <c r="T253" s="139"/>
      <c r="U253" s="31" t="s">
        <v>45</v>
      </c>
      <c r="V253" s="140">
        <v>2.05</v>
      </c>
      <c r="W253" s="140">
        <f>$V$253*$K$253</f>
        <v>6.1499999999999995</v>
      </c>
      <c r="X253" s="140">
        <v>0</v>
      </c>
      <c r="Y253" s="140">
        <f>$X$253*$K$253</f>
        <v>0</v>
      </c>
      <c r="Z253" s="140">
        <v>0</v>
      </c>
      <c r="AA253" s="141">
        <f>$Z$253*$K$253</f>
        <v>0</v>
      </c>
      <c r="AR253" s="6" t="s">
        <v>162</v>
      </c>
      <c r="AT253" s="6" t="s">
        <v>158</v>
      </c>
      <c r="AU253" s="6" t="s">
        <v>98</v>
      </c>
      <c r="AY253" s="6" t="s">
        <v>157</v>
      </c>
      <c r="BE253" s="88">
        <f>IF($U$253="základní",$N$253,0)</f>
        <v>0</v>
      </c>
      <c r="BF253" s="88">
        <f>IF($U$253="snížená",$N$253,0)</f>
        <v>0</v>
      </c>
      <c r="BG253" s="88">
        <f>IF($U$253="zákl. přenesená",$N$253,0)</f>
        <v>0</v>
      </c>
      <c r="BH253" s="88">
        <f>IF($U$253="sníž. přenesená",$N$253,0)</f>
        <v>0</v>
      </c>
      <c r="BI253" s="88">
        <f>IF($U$253="nulová",$N$253,0)</f>
        <v>0</v>
      </c>
      <c r="BJ253" s="6" t="s">
        <v>21</v>
      </c>
      <c r="BK253" s="88">
        <f>ROUND($L$253*$K$253,2)</f>
        <v>0</v>
      </c>
      <c r="BL253" s="6" t="s">
        <v>162</v>
      </c>
    </row>
    <row r="254" spans="2:64" s="6" customFormat="1" ht="39" customHeight="1">
      <c r="B254" s="23"/>
      <c r="C254" s="142" t="s">
        <v>461</v>
      </c>
      <c r="D254" s="142" t="s">
        <v>258</v>
      </c>
      <c r="E254" s="143" t="s">
        <v>462</v>
      </c>
      <c r="F254" s="209" t="s">
        <v>463</v>
      </c>
      <c r="G254" s="210"/>
      <c r="H254" s="210"/>
      <c r="I254" s="210"/>
      <c r="J254" s="144" t="s">
        <v>232</v>
      </c>
      <c r="K254" s="145">
        <v>3</v>
      </c>
      <c r="L254" s="211">
        <v>0</v>
      </c>
      <c r="M254" s="210"/>
      <c r="N254" s="212">
        <f>ROUND($L$254*$K$254,2)</f>
        <v>0</v>
      </c>
      <c r="O254" s="206"/>
      <c r="P254" s="206"/>
      <c r="Q254" s="206"/>
      <c r="R254" s="25"/>
      <c r="T254" s="139"/>
      <c r="U254" s="31" t="s">
        <v>45</v>
      </c>
      <c r="V254" s="140">
        <v>0</v>
      </c>
      <c r="W254" s="140">
        <f>$V$254*$K$254</f>
        <v>0</v>
      </c>
      <c r="X254" s="140">
        <v>0.084</v>
      </c>
      <c r="Y254" s="140">
        <f>$X$254*$K$254</f>
        <v>0.252</v>
      </c>
      <c r="Z254" s="140">
        <v>0</v>
      </c>
      <c r="AA254" s="141">
        <f>$Z$254*$K$254</f>
        <v>0</v>
      </c>
      <c r="AR254" s="6" t="s">
        <v>188</v>
      </c>
      <c r="AT254" s="6" t="s">
        <v>258</v>
      </c>
      <c r="AU254" s="6" t="s">
        <v>98</v>
      </c>
      <c r="AY254" s="6" t="s">
        <v>157</v>
      </c>
      <c r="BE254" s="88">
        <f>IF($U$254="základní",$N$254,0)</f>
        <v>0</v>
      </c>
      <c r="BF254" s="88">
        <f>IF($U$254="snížená",$N$254,0)</f>
        <v>0</v>
      </c>
      <c r="BG254" s="88">
        <f>IF($U$254="zákl. přenesená",$N$254,0)</f>
        <v>0</v>
      </c>
      <c r="BH254" s="88">
        <f>IF($U$254="sníž. přenesená",$N$254,0)</f>
        <v>0</v>
      </c>
      <c r="BI254" s="88">
        <f>IF($U$254="nulová",$N$254,0)</f>
        <v>0</v>
      </c>
      <c r="BJ254" s="6" t="s">
        <v>21</v>
      </c>
      <c r="BK254" s="88">
        <f>ROUND($L$254*$K$254,2)</f>
        <v>0</v>
      </c>
      <c r="BL254" s="6" t="s">
        <v>162</v>
      </c>
    </row>
    <row r="255" spans="2:64" s="6" customFormat="1" ht="27" customHeight="1">
      <c r="B255" s="23"/>
      <c r="C255" s="135" t="s">
        <v>464</v>
      </c>
      <c r="D255" s="135" t="s">
        <v>158</v>
      </c>
      <c r="E255" s="136" t="s">
        <v>465</v>
      </c>
      <c r="F255" s="205" t="s">
        <v>466</v>
      </c>
      <c r="G255" s="206"/>
      <c r="H255" s="206"/>
      <c r="I255" s="206"/>
      <c r="J255" s="137" t="s">
        <v>232</v>
      </c>
      <c r="K255" s="138">
        <v>8</v>
      </c>
      <c r="L255" s="207">
        <v>0</v>
      </c>
      <c r="M255" s="206"/>
      <c r="N255" s="208">
        <f>ROUND($L$255*$K$255,2)</f>
        <v>0</v>
      </c>
      <c r="O255" s="206"/>
      <c r="P255" s="206"/>
      <c r="Q255" s="206"/>
      <c r="R255" s="25"/>
      <c r="T255" s="139"/>
      <c r="U255" s="31" t="s">
        <v>45</v>
      </c>
      <c r="V255" s="140">
        <v>3.1</v>
      </c>
      <c r="W255" s="140">
        <f>$V$255*$K$255</f>
        <v>24.8</v>
      </c>
      <c r="X255" s="140">
        <v>0</v>
      </c>
      <c r="Y255" s="140">
        <f>$X$255*$K$255</f>
        <v>0</v>
      </c>
      <c r="Z255" s="140">
        <v>0</v>
      </c>
      <c r="AA255" s="141">
        <f>$Z$255*$K$255</f>
        <v>0</v>
      </c>
      <c r="AR255" s="6" t="s">
        <v>162</v>
      </c>
      <c r="AT255" s="6" t="s">
        <v>158</v>
      </c>
      <c r="AU255" s="6" t="s">
        <v>98</v>
      </c>
      <c r="AY255" s="6" t="s">
        <v>157</v>
      </c>
      <c r="BE255" s="88">
        <f>IF($U$255="základní",$N$255,0)</f>
        <v>0</v>
      </c>
      <c r="BF255" s="88">
        <f>IF($U$255="snížená",$N$255,0)</f>
        <v>0</v>
      </c>
      <c r="BG255" s="88">
        <f>IF($U$255="zákl. přenesená",$N$255,0)</f>
        <v>0</v>
      </c>
      <c r="BH255" s="88">
        <f>IF($U$255="sníž. přenesená",$N$255,0)</f>
        <v>0</v>
      </c>
      <c r="BI255" s="88">
        <f>IF($U$255="nulová",$N$255,0)</f>
        <v>0</v>
      </c>
      <c r="BJ255" s="6" t="s">
        <v>21</v>
      </c>
      <c r="BK255" s="88">
        <f>ROUND($L$255*$K$255,2)</f>
        <v>0</v>
      </c>
      <c r="BL255" s="6" t="s">
        <v>162</v>
      </c>
    </row>
    <row r="256" spans="2:64" s="6" customFormat="1" ht="27" customHeight="1">
      <c r="B256" s="23"/>
      <c r="C256" s="142" t="s">
        <v>467</v>
      </c>
      <c r="D256" s="142" t="s">
        <v>258</v>
      </c>
      <c r="E256" s="143" t="s">
        <v>468</v>
      </c>
      <c r="F256" s="209" t="s">
        <v>469</v>
      </c>
      <c r="G256" s="210"/>
      <c r="H256" s="210"/>
      <c r="I256" s="210"/>
      <c r="J256" s="144" t="s">
        <v>232</v>
      </c>
      <c r="K256" s="145">
        <v>1</v>
      </c>
      <c r="L256" s="211">
        <v>0</v>
      </c>
      <c r="M256" s="210"/>
      <c r="N256" s="212">
        <f>ROUND($L$256*$K$256,2)</f>
        <v>0</v>
      </c>
      <c r="O256" s="206"/>
      <c r="P256" s="206"/>
      <c r="Q256" s="206"/>
      <c r="R256" s="25"/>
      <c r="T256" s="139"/>
      <c r="U256" s="31" t="s">
        <v>45</v>
      </c>
      <c r="V256" s="140">
        <v>0</v>
      </c>
      <c r="W256" s="140">
        <f>$V$256*$K$256</f>
        <v>0</v>
      </c>
      <c r="X256" s="140">
        <v>0.18</v>
      </c>
      <c r="Y256" s="140">
        <f>$X$256*$K$256</f>
        <v>0.18</v>
      </c>
      <c r="Z256" s="140">
        <v>0</v>
      </c>
      <c r="AA256" s="141">
        <f>$Z$256*$K$256</f>
        <v>0</v>
      </c>
      <c r="AR256" s="6" t="s">
        <v>188</v>
      </c>
      <c r="AT256" s="6" t="s">
        <v>258</v>
      </c>
      <c r="AU256" s="6" t="s">
        <v>98</v>
      </c>
      <c r="AY256" s="6" t="s">
        <v>157</v>
      </c>
      <c r="BE256" s="88">
        <f>IF($U$256="základní",$N$256,0)</f>
        <v>0</v>
      </c>
      <c r="BF256" s="88">
        <f>IF($U$256="snížená",$N$256,0)</f>
        <v>0</v>
      </c>
      <c r="BG256" s="88">
        <f>IF($U$256="zákl. přenesená",$N$256,0)</f>
        <v>0</v>
      </c>
      <c r="BH256" s="88">
        <f>IF($U$256="sníž. přenesená",$N$256,0)</f>
        <v>0</v>
      </c>
      <c r="BI256" s="88">
        <f>IF($U$256="nulová",$N$256,0)</f>
        <v>0</v>
      </c>
      <c r="BJ256" s="6" t="s">
        <v>21</v>
      </c>
      <c r="BK256" s="88">
        <f>ROUND($L$256*$K$256,2)</f>
        <v>0</v>
      </c>
      <c r="BL256" s="6" t="s">
        <v>162</v>
      </c>
    </row>
    <row r="257" spans="2:64" s="6" customFormat="1" ht="39" customHeight="1">
      <c r="B257" s="23"/>
      <c r="C257" s="142" t="s">
        <v>27</v>
      </c>
      <c r="D257" s="142" t="s">
        <v>258</v>
      </c>
      <c r="E257" s="143" t="s">
        <v>470</v>
      </c>
      <c r="F257" s="209" t="s">
        <v>471</v>
      </c>
      <c r="G257" s="210"/>
      <c r="H257" s="210"/>
      <c r="I257" s="210"/>
      <c r="J257" s="144" t="s">
        <v>232</v>
      </c>
      <c r="K257" s="145">
        <v>4</v>
      </c>
      <c r="L257" s="211">
        <v>0</v>
      </c>
      <c r="M257" s="210"/>
      <c r="N257" s="212">
        <f>ROUND($L$257*$K$257,2)</f>
        <v>0</v>
      </c>
      <c r="O257" s="206"/>
      <c r="P257" s="206"/>
      <c r="Q257" s="206"/>
      <c r="R257" s="25"/>
      <c r="T257" s="139"/>
      <c r="U257" s="31" t="s">
        <v>45</v>
      </c>
      <c r="V257" s="140">
        <v>0</v>
      </c>
      <c r="W257" s="140">
        <f>$V$257*$K$257</f>
        <v>0</v>
      </c>
      <c r="X257" s="140">
        <v>0.153</v>
      </c>
      <c r="Y257" s="140">
        <f>$X$257*$K$257</f>
        <v>0.612</v>
      </c>
      <c r="Z257" s="140">
        <v>0</v>
      </c>
      <c r="AA257" s="141">
        <f>$Z$257*$K$257</f>
        <v>0</v>
      </c>
      <c r="AR257" s="6" t="s">
        <v>188</v>
      </c>
      <c r="AT257" s="6" t="s">
        <v>258</v>
      </c>
      <c r="AU257" s="6" t="s">
        <v>98</v>
      </c>
      <c r="AY257" s="6" t="s">
        <v>157</v>
      </c>
      <c r="BE257" s="88">
        <f>IF($U$257="základní",$N$257,0)</f>
        <v>0</v>
      </c>
      <c r="BF257" s="88">
        <f>IF($U$257="snížená",$N$257,0)</f>
        <v>0</v>
      </c>
      <c r="BG257" s="88">
        <f>IF($U$257="zákl. přenesená",$N$257,0)</f>
        <v>0</v>
      </c>
      <c r="BH257" s="88">
        <f>IF($U$257="sníž. přenesená",$N$257,0)</f>
        <v>0</v>
      </c>
      <c r="BI257" s="88">
        <f>IF($U$257="nulová",$N$257,0)</f>
        <v>0</v>
      </c>
      <c r="BJ257" s="6" t="s">
        <v>21</v>
      </c>
      <c r="BK257" s="88">
        <f>ROUND($L$257*$K$257,2)</f>
        <v>0</v>
      </c>
      <c r="BL257" s="6" t="s">
        <v>162</v>
      </c>
    </row>
    <row r="258" spans="2:64" s="6" customFormat="1" ht="39" customHeight="1">
      <c r="B258" s="23"/>
      <c r="C258" s="142" t="s">
        <v>472</v>
      </c>
      <c r="D258" s="142" t="s">
        <v>258</v>
      </c>
      <c r="E258" s="143" t="s">
        <v>473</v>
      </c>
      <c r="F258" s="209" t="s">
        <v>474</v>
      </c>
      <c r="G258" s="210"/>
      <c r="H258" s="210"/>
      <c r="I258" s="210"/>
      <c r="J258" s="144" t="s">
        <v>232</v>
      </c>
      <c r="K258" s="145">
        <v>1</v>
      </c>
      <c r="L258" s="211">
        <v>0</v>
      </c>
      <c r="M258" s="210"/>
      <c r="N258" s="212">
        <f>ROUND($L$258*$K$258,2)</f>
        <v>0</v>
      </c>
      <c r="O258" s="206"/>
      <c r="P258" s="206"/>
      <c r="Q258" s="206"/>
      <c r="R258" s="25"/>
      <c r="T258" s="139"/>
      <c r="U258" s="31" t="s">
        <v>45</v>
      </c>
      <c r="V258" s="140">
        <v>0</v>
      </c>
      <c r="W258" s="140">
        <f>$V$258*$K$258</f>
        <v>0</v>
      </c>
      <c r="X258" s="140">
        <v>0.2</v>
      </c>
      <c r="Y258" s="140">
        <f>$X$258*$K$258</f>
        <v>0.2</v>
      </c>
      <c r="Z258" s="140">
        <v>0</v>
      </c>
      <c r="AA258" s="141">
        <f>$Z$258*$K$258</f>
        <v>0</v>
      </c>
      <c r="AR258" s="6" t="s">
        <v>188</v>
      </c>
      <c r="AT258" s="6" t="s">
        <v>258</v>
      </c>
      <c r="AU258" s="6" t="s">
        <v>98</v>
      </c>
      <c r="AY258" s="6" t="s">
        <v>157</v>
      </c>
      <c r="BE258" s="88">
        <f>IF($U$258="základní",$N$258,0)</f>
        <v>0</v>
      </c>
      <c r="BF258" s="88">
        <f>IF($U$258="snížená",$N$258,0)</f>
        <v>0</v>
      </c>
      <c r="BG258" s="88">
        <f>IF($U$258="zákl. přenesená",$N$258,0)</f>
        <v>0</v>
      </c>
      <c r="BH258" s="88">
        <f>IF($U$258="sníž. přenesená",$N$258,0)</f>
        <v>0</v>
      </c>
      <c r="BI258" s="88">
        <f>IF($U$258="nulová",$N$258,0)</f>
        <v>0</v>
      </c>
      <c r="BJ258" s="6" t="s">
        <v>21</v>
      </c>
      <c r="BK258" s="88">
        <f>ROUND($L$258*$K$258,2)</f>
        <v>0</v>
      </c>
      <c r="BL258" s="6" t="s">
        <v>162</v>
      </c>
    </row>
    <row r="259" spans="2:64" s="6" customFormat="1" ht="39" customHeight="1">
      <c r="B259" s="23"/>
      <c r="C259" s="142" t="s">
        <v>475</v>
      </c>
      <c r="D259" s="142" t="s">
        <v>258</v>
      </c>
      <c r="E259" s="143" t="s">
        <v>476</v>
      </c>
      <c r="F259" s="209" t="s">
        <v>477</v>
      </c>
      <c r="G259" s="210"/>
      <c r="H259" s="210"/>
      <c r="I259" s="210"/>
      <c r="J259" s="144" t="s">
        <v>232</v>
      </c>
      <c r="K259" s="145">
        <v>2</v>
      </c>
      <c r="L259" s="211">
        <v>0</v>
      </c>
      <c r="M259" s="210"/>
      <c r="N259" s="212">
        <f>ROUND($L$259*$K$259,2)</f>
        <v>0</v>
      </c>
      <c r="O259" s="206"/>
      <c r="P259" s="206"/>
      <c r="Q259" s="206"/>
      <c r="R259" s="25"/>
      <c r="T259" s="139"/>
      <c r="U259" s="31" t="s">
        <v>45</v>
      </c>
      <c r="V259" s="140">
        <v>0</v>
      </c>
      <c r="W259" s="140">
        <f>$V$259*$K$259</f>
        <v>0</v>
      </c>
      <c r="X259" s="140">
        <v>0.212</v>
      </c>
      <c r="Y259" s="140">
        <f>$X$259*$K$259</f>
        <v>0.424</v>
      </c>
      <c r="Z259" s="140">
        <v>0</v>
      </c>
      <c r="AA259" s="141">
        <f>$Z$259*$K$259</f>
        <v>0</v>
      </c>
      <c r="AR259" s="6" t="s">
        <v>188</v>
      </c>
      <c r="AT259" s="6" t="s">
        <v>258</v>
      </c>
      <c r="AU259" s="6" t="s">
        <v>98</v>
      </c>
      <c r="AY259" s="6" t="s">
        <v>157</v>
      </c>
      <c r="BE259" s="88">
        <f>IF($U$259="základní",$N$259,0)</f>
        <v>0</v>
      </c>
      <c r="BF259" s="88">
        <f>IF($U$259="snížená",$N$259,0)</f>
        <v>0</v>
      </c>
      <c r="BG259" s="88">
        <f>IF($U$259="zákl. přenesená",$N$259,0)</f>
        <v>0</v>
      </c>
      <c r="BH259" s="88">
        <f>IF($U$259="sníž. přenesená",$N$259,0)</f>
        <v>0</v>
      </c>
      <c r="BI259" s="88">
        <f>IF($U$259="nulová",$N$259,0)</f>
        <v>0</v>
      </c>
      <c r="BJ259" s="6" t="s">
        <v>21</v>
      </c>
      <c r="BK259" s="88">
        <f>ROUND($L$259*$K$259,2)</f>
        <v>0</v>
      </c>
      <c r="BL259" s="6" t="s">
        <v>162</v>
      </c>
    </row>
    <row r="260" spans="2:64" s="6" customFormat="1" ht="27" customHeight="1">
      <c r="B260" s="23"/>
      <c r="C260" s="135" t="s">
        <v>478</v>
      </c>
      <c r="D260" s="135" t="s">
        <v>158</v>
      </c>
      <c r="E260" s="136" t="s">
        <v>479</v>
      </c>
      <c r="F260" s="205" t="s">
        <v>480</v>
      </c>
      <c r="G260" s="206"/>
      <c r="H260" s="206"/>
      <c r="I260" s="206"/>
      <c r="J260" s="137" t="s">
        <v>232</v>
      </c>
      <c r="K260" s="138">
        <v>2</v>
      </c>
      <c r="L260" s="207">
        <v>0</v>
      </c>
      <c r="M260" s="206"/>
      <c r="N260" s="208">
        <f>ROUND($L$260*$K$260,2)</f>
        <v>0</v>
      </c>
      <c r="O260" s="206"/>
      <c r="P260" s="206"/>
      <c r="Q260" s="206"/>
      <c r="R260" s="25"/>
      <c r="T260" s="139"/>
      <c r="U260" s="31" t="s">
        <v>45</v>
      </c>
      <c r="V260" s="140">
        <v>13.5</v>
      </c>
      <c r="W260" s="140">
        <f>$V$260*$K$260</f>
        <v>27</v>
      </c>
      <c r="X260" s="140">
        <v>0</v>
      </c>
      <c r="Y260" s="140">
        <f>$X$260*$K$260</f>
        <v>0</v>
      </c>
      <c r="Z260" s="140">
        <v>0</v>
      </c>
      <c r="AA260" s="141">
        <f>$Z$260*$K$260</f>
        <v>0</v>
      </c>
      <c r="AR260" s="6" t="s">
        <v>162</v>
      </c>
      <c r="AT260" s="6" t="s">
        <v>158</v>
      </c>
      <c r="AU260" s="6" t="s">
        <v>98</v>
      </c>
      <c r="AY260" s="6" t="s">
        <v>157</v>
      </c>
      <c r="BE260" s="88">
        <f>IF($U$260="základní",$N$260,0)</f>
        <v>0</v>
      </c>
      <c r="BF260" s="88">
        <f>IF($U$260="snížená",$N$260,0)</f>
        <v>0</v>
      </c>
      <c r="BG260" s="88">
        <f>IF($U$260="zákl. přenesená",$N$260,0)</f>
        <v>0</v>
      </c>
      <c r="BH260" s="88">
        <f>IF($U$260="sníž. přenesená",$N$260,0)</f>
        <v>0</v>
      </c>
      <c r="BI260" s="88">
        <f>IF($U$260="nulová",$N$260,0)</f>
        <v>0</v>
      </c>
      <c r="BJ260" s="6" t="s">
        <v>21</v>
      </c>
      <c r="BK260" s="88">
        <f>ROUND($L$260*$K$260,2)</f>
        <v>0</v>
      </c>
      <c r="BL260" s="6" t="s">
        <v>162</v>
      </c>
    </row>
    <row r="261" spans="2:64" s="6" customFormat="1" ht="27" customHeight="1">
      <c r="B261" s="23"/>
      <c r="C261" s="142" t="s">
        <v>481</v>
      </c>
      <c r="D261" s="142" t="s">
        <v>258</v>
      </c>
      <c r="E261" s="143" t="s">
        <v>482</v>
      </c>
      <c r="F261" s="209" t="s">
        <v>483</v>
      </c>
      <c r="G261" s="210"/>
      <c r="H261" s="210"/>
      <c r="I261" s="210"/>
      <c r="J261" s="144" t="s">
        <v>232</v>
      </c>
      <c r="K261" s="145">
        <v>2</v>
      </c>
      <c r="L261" s="211">
        <v>0</v>
      </c>
      <c r="M261" s="210"/>
      <c r="N261" s="212">
        <f>ROUND($L$261*$K$261,2)</f>
        <v>0</v>
      </c>
      <c r="O261" s="206"/>
      <c r="P261" s="206"/>
      <c r="Q261" s="206"/>
      <c r="R261" s="25"/>
      <c r="T261" s="139"/>
      <c r="U261" s="31" t="s">
        <v>45</v>
      </c>
      <c r="V261" s="140">
        <v>0</v>
      </c>
      <c r="W261" s="140">
        <f>$V$261*$K$261</f>
        <v>0</v>
      </c>
      <c r="X261" s="140">
        <v>0.147</v>
      </c>
      <c r="Y261" s="140">
        <f>$X$261*$K$261</f>
        <v>0.294</v>
      </c>
      <c r="Z261" s="140">
        <v>0</v>
      </c>
      <c r="AA261" s="141">
        <f>$Z$261*$K$261</f>
        <v>0</v>
      </c>
      <c r="AR261" s="6" t="s">
        <v>188</v>
      </c>
      <c r="AT261" s="6" t="s">
        <v>258</v>
      </c>
      <c r="AU261" s="6" t="s">
        <v>98</v>
      </c>
      <c r="AY261" s="6" t="s">
        <v>157</v>
      </c>
      <c r="BE261" s="88">
        <f>IF($U$261="základní",$N$261,0)</f>
        <v>0</v>
      </c>
      <c r="BF261" s="88">
        <f>IF($U$261="snížená",$N$261,0)</f>
        <v>0</v>
      </c>
      <c r="BG261" s="88">
        <f>IF($U$261="zákl. přenesená",$N$261,0)</f>
        <v>0</v>
      </c>
      <c r="BH261" s="88">
        <f>IF($U$261="sníž. přenesená",$N$261,0)</f>
        <v>0</v>
      </c>
      <c r="BI261" s="88">
        <f>IF($U$261="nulová",$N$261,0)</f>
        <v>0</v>
      </c>
      <c r="BJ261" s="6" t="s">
        <v>21</v>
      </c>
      <c r="BK261" s="88">
        <f>ROUND($L$261*$K$261,2)</f>
        <v>0</v>
      </c>
      <c r="BL261" s="6" t="s">
        <v>162</v>
      </c>
    </row>
    <row r="262" spans="2:64" s="6" customFormat="1" ht="27" customHeight="1">
      <c r="B262" s="23"/>
      <c r="C262" s="135" t="s">
        <v>484</v>
      </c>
      <c r="D262" s="135" t="s">
        <v>185</v>
      </c>
      <c r="E262" s="136" t="s">
        <v>485</v>
      </c>
      <c r="F262" s="205" t="s">
        <v>486</v>
      </c>
      <c r="G262" s="206"/>
      <c r="H262" s="206"/>
      <c r="I262" s="206"/>
      <c r="J262" s="137" t="s">
        <v>209</v>
      </c>
      <c r="K262" s="138">
        <v>8</v>
      </c>
      <c r="L262" s="207">
        <v>0</v>
      </c>
      <c r="M262" s="206"/>
      <c r="N262" s="208">
        <f>ROUND($L$262*$K$262,2)</f>
        <v>0</v>
      </c>
      <c r="O262" s="206"/>
      <c r="P262" s="206"/>
      <c r="Q262" s="206"/>
      <c r="R262" s="25"/>
      <c r="T262" s="139"/>
      <c r="U262" s="31" t="s">
        <v>45</v>
      </c>
      <c r="V262" s="140">
        <v>199.2</v>
      </c>
      <c r="W262" s="140">
        <f>$V$262*$K$262</f>
        <v>1593.6</v>
      </c>
      <c r="X262" s="140">
        <v>0</v>
      </c>
      <c r="Y262" s="140">
        <f>$X$262*$K$262</f>
        <v>0</v>
      </c>
      <c r="Z262" s="140">
        <v>0</v>
      </c>
      <c r="AA262" s="141">
        <f>$Z$262*$K$262</f>
        <v>0</v>
      </c>
      <c r="AR262" s="6" t="s">
        <v>212</v>
      </c>
      <c r="AT262" s="6" t="s">
        <v>158</v>
      </c>
      <c r="AU262" s="6" t="s">
        <v>98</v>
      </c>
      <c r="AY262" s="6" t="s">
        <v>157</v>
      </c>
      <c r="BE262" s="88">
        <f>IF($U$262="základní",$N$262,0)</f>
        <v>0</v>
      </c>
      <c r="BF262" s="88">
        <f>IF($U$262="snížená",$N$262,0)</f>
        <v>0</v>
      </c>
      <c r="BG262" s="88">
        <f>IF($U$262="zákl. přenesená",$N$262,0)</f>
        <v>0</v>
      </c>
      <c r="BH262" s="88">
        <f>IF($U$262="sníž. přenesená",$N$262,0)</f>
        <v>0</v>
      </c>
      <c r="BI262" s="88">
        <f>IF($U$262="nulová",$N$262,0)</f>
        <v>0</v>
      </c>
      <c r="BJ262" s="6" t="s">
        <v>21</v>
      </c>
      <c r="BK262" s="88">
        <f>ROUND($L$262*$K$262,2)</f>
        <v>0</v>
      </c>
      <c r="BL262" s="6" t="s">
        <v>212</v>
      </c>
    </row>
    <row r="263" spans="2:64" s="6" customFormat="1" ht="39" customHeight="1">
      <c r="B263" s="23"/>
      <c r="C263" s="135" t="s">
        <v>487</v>
      </c>
      <c r="D263" s="135" t="s">
        <v>185</v>
      </c>
      <c r="E263" s="136" t="s">
        <v>488</v>
      </c>
      <c r="F263" s="205" t="s">
        <v>489</v>
      </c>
      <c r="G263" s="206"/>
      <c r="H263" s="206"/>
      <c r="I263" s="206"/>
      <c r="J263" s="137" t="s">
        <v>490</v>
      </c>
      <c r="K263" s="138">
        <v>550</v>
      </c>
      <c r="L263" s="207">
        <v>0</v>
      </c>
      <c r="M263" s="206"/>
      <c r="N263" s="208">
        <f>ROUND($L$263*$K$263,2)</f>
        <v>0</v>
      </c>
      <c r="O263" s="206"/>
      <c r="P263" s="206"/>
      <c r="Q263" s="206"/>
      <c r="R263" s="25"/>
      <c r="T263" s="139"/>
      <c r="U263" s="31" t="s">
        <v>45</v>
      </c>
      <c r="V263" s="140">
        <v>0</v>
      </c>
      <c r="W263" s="140">
        <f>$V$263*$K$263</f>
        <v>0</v>
      </c>
      <c r="X263" s="140">
        <v>0</v>
      </c>
      <c r="Y263" s="140">
        <f>$X$263*$K$263</f>
        <v>0</v>
      </c>
      <c r="Z263" s="140">
        <v>0</v>
      </c>
      <c r="AA263" s="141">
        <f>$Z$263*$K$263</f>
        <v>0</v>
      </c>
      <c r="AR263" s="6" t="s">
        <v>212</v>
      </c>
      <c r="AT263" s="6" t="s">
        <v>158</v>
      </c>
      <c r="AU263" s="6" t="s">
        <v>98</v>
      </c>
      <c r="AY263" s="6" t="s">
        <v>157</v>
      </c>
      <c r="BE263" s="88">
        <f>IF($U$263="základní",$N$263,0)</f>
        <v>0</v>
      </c>
      <c r="BF263" s="88">
        <f>IF($U$263="snížená",$N$263,0)</f>
        <v>0</v>
      </c>
      <c r="BG263" s="88">
        <f>IF($U$263="zákl. přenesená",$N$263,0)</f>
        <v>0</v>
      </c>
      <c r="BH263" s="88">
        <f>IF($U$263="sníž. přenesená",$N$263,0)</f>
        <v>0</v>
      </c>
      <c r="BI263" s="88">
        <f>IF($U$263="nulová",$N$263,0)</f>
        <v>0</v>
      </c>
      <c r="BJ263" s="6" t="s">
        <v>21</v>
      </c>
      <c r="BK263" s="88">
        <f>ROUND($L$263*$K$263,2)</f>
        <v>0</v>
      </c>
      <c r="BL263" s="6" t="s">
        <v>212</v>
      </c>
    </row>
    <row r="264" spans="2:64" s="6" customFormat="1" ht="27" customHeight="1">
      <c r="B264" s="23"/>
      <c r="C264" s="135" t="s">
        <v>491</v>
      </c>
      <c r="D264" s="135" t="s">
        <v>158</v>
      </c>
      <c r="E264" s="136" t="s">
        <v>492</v>
      </c>
      <c r="F264" s="205" t="s">
        <v>493</v>
      </c>
      <c r="G264" s="206"/>
      <c r="H264" s="206"/>
      <c r="I264" s="206"/>
      <c r="J264" s="137" t="s">
        <v>196</v>
      </c>
      <c r="K264" s="138">
        <v>2.6</v>
      </c>
      <c r="L264" s="207">
        <v>0</v>
      </c>
      <c r="M264" s="206"/>
      <c r="N264" s="208">
        <f>ROUND($L$264*$K$264,2)</f>
        <v>0</v>
      </c>
      <c r="O264" s="206"/>
      <c r="P264" s="206"/>
      <c r="Q264" s="206"/>
      <c r="R264" s="25"/>
      <c r="T264" s="139"/>
      <c r="U264" s="31" t="s">
        <v>45</v>
      </c>
      <c r="V264" s="140">
        <v>3.006</v>
      </c>
      <c r="W264" s="140">
        <f>$V$264*$K$264</f>
        <v>7.8156</v>
      </c>
      <c r="X264" s="140">
        <v>0</v>
      </c>
      <c r="Y264" s="140">
        <f>$X$264*$K$264</f>
        <v>0</v>
      </c>
      <c r="Z264" s="140">
        <v>0</v>
      </c>
      <c r="AA264" s="141">
        <f>$Z$264*$K$264</f>
        <v>0</v>
      </c>
      <c r="AR264" s="6" t="s">
        <v>212</v>
      </c>
      <c r="AT264" s="6" t="s">
        <v>158</v>
      </c>
      <c r="AU264" s="6" t="s">
        <v>98</v>
      </c>
      <c r="AY264" s="6" t="s">
        <v>157</v>
      </c>
      <c r="BE264" s="88">
        <f>IF($U$264="základní",$N$264,0)</f>
        <v>0</v>
      </c>
      <c r="BF264" s="88">
        <f>IF($U$264="snížená",$N$264,0)</f>
        <v>0</v>
      </c>
      <c r="BG264" s="88">
        <f>IF($U$264="zákl. přenesená",$N$264,0)</f>
        <v>0</v>
      </c>
      <c r="BH264" s="88">
        <f>IF($U$264="sníž. přenesená",$N$264,0)</f>
        <v>0</v>
      </c>
      <c r="BI264" s="88">
        <f>IF($U$264="nulová",$N$264,0)</f>
        <v>0</v>
      </c>
      <c r="BJ264" s="6" t="s">
        <v>21</v>
      </c>
      <c r="BK264" s="88">
        <f>ROUND($L$264*$K$264,2)</f>
        <v>0</v>
      </c>
      <c r="BL264" s="6" t="s">
        <v>212</v>
      </c>
    </row>
    <row r="265" spans="2:63" s="124" customFormat="1" ht="30.75" customHeight="1">
      <c r="B265" s="125"/>
      <c r="C265" s="126"/>
      <c r="D265" s="134" t="s">
        <v>125</v>
      </c>
      <c r="E265" s="126"/>
      <c r="F265" s="126"/>
      <c r="G265" s="126"/>
      <c r="H265" s="126"/>
      <c r="I265" s="126"/>
      <c r="J265" s="126"/>
      <c r="K265" s="126"/>
      <c r="L265" s="126"/>
      <c r="M265" s="126"/>
      <c r="N265" s="217">
        <f>$BK$265</f>
        <v>0</v>
      </c>
      <c r="O265" s="216"/>
      <c r="P265" s="216"/>
      <c r="Q265" s="216"/>
      <c r="R265" s="128"/>
      <c r="T265" s="129"/>
      <c r="U265" s="126"/>
      <c r="V265" s="126"/>
      <c r="W265" s="130">
        <f>SUM($W$266:$W$268)</f>
        <v>164.48150199999998</v>
      </c>
      <c r="X265" s="126"/>
      <c r="Y265" s="130">
        <f>SUM($Y$266:$Y$268)</f>
        <v>4.077920000000001</v>
      </c>
      <c r="Z265" s="126"/>
      <c r="AA265" s="131">
        <f>SUM($AA$266:$AA$268)</f>
        <v>0</v>
      </c>
      <c r="AR265" s="132" t="s">
        <v>98</v>
      </c>
      <c r="AT265" s="132" t="s">
        <v>79</v>
      </c>
      <c r="AU265" s="132" t="s">
        <v>21</v>
      </c>
      <c r="AY265" s="132" t="s">
        <v>157</v>
      </c>
      <c r="BK265" s="133">
        <f>SUM($BK$266:$BK$268)</f>
        <v>0</v>
      </c>
    </row>
    <row r="266" spans="2:64" s="6" customFormat="1" ht="27" customHeight="1">
      <c r="B266" s="23"/>
      <c r="C266" s="135" t="s">
        <v>494</v>
      </c>
      <c r="D266" s="135" t="s">
        <v>158</v>
      </c>
      <c r="E266" s="136" t="s">
        <v>495</v>
      </c>
      <c r="F266" s="205" t="s">
        <v>496</v>
      </c>
      <c r="G266" s="206"/>
      <c r="H266" s="206"/>
      <c r="I266" s="206"/>
      <c r="J266" s="137" t="s">
        <v>165</v>
      </c>
      <c r="K266" s="138">
        <v>1120</v>
      </c>
      <c r="L266" s="207">
        <v>0</v>
      </c>
      <c r="M266" s="206"/>
      <c r="N266" s="208">
        <f>ROUND($L$266*$K$266,2)</f>
        <v>0</v>
      </c>
      <c r="O266" s="206"/>
      <c r="P266" s="206"/>
      <c r="Q266" s="206"/>
      <c r="R266" s="25"/>
      <c r="T266" s="139"/>
      <c r="U266" s="31" t="s">
        <v>45</v>
      </c>
      <c r="V266" s="140">
        <v>0.141</v>
      </c>
      <c r="W266" s="140">
        <f>$V$266*$K$266</f>
        <v>157.92</v>
      </c>
      <c r="X266" s="140">
        <v>0.00072</v>
      </c>
      <c r="Y266" s="140">
        <f>$X$266*$K$266</f>
        <v>0.8064</v>
      </c>
      <c r="Z266" s="140">
        <v>0</v>
      </c>
      <c r="AA266" s="141">
        <f>$Z$266*$K$266</f>
        <v>0</v>
      </c>
      <c r="AR266" s="6" t="s">
        <v>212</v>
      </c>
      <c r="AT266" s="6" t="s">
        <v>158</v>
      </c>
      <c r="AU266" s="6" t="s">
        <v>98</v>
      </c>
      <c r="AY266" s="6" t="s">
        <v>157</v>
      </c>
      <c r="BE266" s="88">
        <f>IF($U$266="základní",$N$266,0)</f>
        <v>0</v>
      </c>
      <c r="BF266" s="88">
        <f>IF($U$266="snížená",$N$266,0)</f>
        <v>0</v>
      </c>
      <c r="BG266" s="88">
        <f>IF($U$266="zákl. přenesená",$N$266,0)</f>
        <v>0</v>
      </c>
      <c r="BH266" s="88">
        <f>IF($U$266="sníž. přenesená",$N$266,0)</f>
        <v>0</v>
      </c>
      <c r="BI266" s="88">
        <f>IF($U$266="nulová",$N$266,0)</f>
        <v>0</v>
      </c>
      <c r="BJ266" s="6" t="s">
        <v>21</v>
      </c>
      <c r="BK266" s="88">
        <f>ROUND($L$266*$K$266,2)</f>
        <v>0</v>
      </c>
      <c r="BL266" s="6" t="s">
        <v>212</v>
      </c>
    </row>
    <row r="267" spans="2:64" s="6" customFormat="1" ht="27" customHeight="1">
      <c r="B267" s="23"/>
      <c r="C267" s="142" t="s">
        <v>497</v>
      </c>
      <c r="D267" s="142" t="s">
        <v>258</v>
      </c>
      <c r="E267" s="143" t="s">
        <v>498</v>
      </c>
      <c r="F267" s="209" t="s">
        <v>499</v>
      </c>
      <c r="G267" s="210"/>
      <c r="H267" s="210"/>
      <c r="I267" s="210"/>
      <c r="J267" s="144" t="s">
        <v>165</v>
      </c>
      <c r="K267" s="145">
        <v>1288</v>
      </c>
      <c r="L267" s="211">
        <v>0</v>
      </c>
      <c r="M267" s="210"/>
      <c r="N267" s="212">
        <f>ROUND($L$267*$K$267,2)</f>
        <v>0</v>
      </c>
      <c r="O267" s="206"/>
      <c r="P267" s="206"/>
      <c r="Q267" s="206"/>
      <c r="R267" s="25"/>
      <c r="T267" s="139"/>
      <c r="U267" s="31" t="s">
        <v>45</v>
      </c>
      <c r="V267" s="140">
        <v>0</v>
      </c>
      <c r="W267" s="140">
        <f>$V$267*$K$267</f>
        <v>0</v>
      </c>
      <c r="X267" s="140">
        <v>0.00254</v>
      </c>
      <c r="Y267" s="140">
        <f>$X$267*$K$267</f>
        <v>3.27152</v>
      </c>
      <c r="Z267" s="140">
        <v>0</v>
      </c>
      <c r="AA267" s="141">
        <f>$Z$267*$K$267</f>
        <v>0</v>
      </c>
      <c r="AR267" s="6" t="s">
        <v>261</v>
      </c>
      <c r="AT267" s="6" t="s">
        <v>258</v>
      </c>
      <c r="AU267" s="6" t="s">
        <v>98</v>
      </c>
      <c r="AY267" s="6" t="s">
        <v>157</v>
      </c>
      <c r="BE267" s="88">
        <f>IF($U$267="základní",$N$267,0)</f>
        <v>0</v>
      </c>
      <c r="BF267" s="88">
        <f>IF($U$267="snížená",$N$267,0)</f>
        <v>0</v>
      </c>
      <c r="BG267" s="88">
        <f>IF($U$267="zákl. přenesená",$N$267,0)</f>
        <v>0</v>
      </c>
      <c r="BH267" s="88">
        <f>IF($U$267="sníž. přenesená",$N$267,0)</f>
        <v>0</v>
      </c>
      <c r="BI267" s="88">
        <f>IF($U$267="nulová",$N$267,0)</f>
        <v>0</v>
      </c>
      <c r="BJ267" s="6" t="s">
        <v>21</v>
      </c>
      <c r="BK267" s="88">
        <f>ROUND($L$267*$K$267,2)</f>
        <v>0</v>
      </c>
      <c r="BL267" s="6" t="s">
        <v>212</v>
      </c>
    </row>
    <row r="268" spans="2:64" s="6" customFormat="1" ht="27" customHeight="1">
      <c r="B268" s="23"/>
      <c r="C268" s="135" t="s">
        <v>500</v>
      </c>
      <c r="D268" s="135" t="s">
        <v>158</v>
      </c>
      <c r="E268" s="136" t="s">
        <v>501</v>
      </c>
      <c r="F268" s="205" t="s">
        <v>502</v>
      </c>
      <c r="G268" s="206"/>
      <c r="H268" s="206"/>
      <c r="I268" s="206"/>
      <c r="J268" s="137" t="s">
        <v>196</v>
      </c>
      <c r="K268" s="138">
        <v>4.078</v>
      </c>
      <c r="L268" s="207">
        <v>0</v>
      </c>
      <c r="M268" s="206"/>
      <c r="N268" s="208">
        <f>ROUND($L$268*$K$268,2)</f>
        <v>0</v>
      </c>
      <c r="O268" s="206"/>
      <c r="P268" s="206"/>
      <c r="Q268" s="206"/>
      <c r="R268" s="25"/>
      <c r="T268" s="139"/>
      <c r="U268" s="31" t="s">
        <v>45</v>
      </c>
      <c r="V268" s="140">
        <v>1.609</v>
      </c>
      <c r="W268" s="140">
        <f>$V$268*$K$268</f>
        <v>6.561502000000001</v>
      </c>
      <c r="X268" s="140">
        <v>0</v>
      </c>
      <c r="Y268" s="140">
        <f>$X$268*$K$268</f>
        <v>0</v>
      </c>
      <c r="Z268" s="140">
        <v>0</v>
      </c>
      <c r="AA268" s="141">
        <f>$Z$268*$K$268</f>
        <v>0</v>
      </c>
      <c r="AR268" s="6" t="s">
        <v>212</v>
      </c>
      <c r="AT268" s="6" t="s">
        <v>158</v>
      </c>
      <c r="AU268" s="6" t="s">
        <v>98</v>
      </c>
      <c r="AY268" s="6" t="s">
        <v>157</v>
      </c>
      <c r="BE268" s="88">
        <f>IF($U$268="základní",$N$268,0)</f>
        <v>0</v>
      </c>
      <c r="BF268" s="88">
        <f>IF($U$268="snížená",$N$268,0)</f>
        <v>0</v>
      </c>
      <c r="BG268" s="88">
        <f>IF($U$268="zákl. přenesená",$N$268,0)</f>
        <v>0</v>
      </c>
      <c r="BH268" s="88">
        <f>IF($U$268="sníž. přenesená",$N$268,0)</f>
        <v>0</v>
      </c>
      <c r="BI268" s="88">
        <f>IF($U$268="nulová",$N$268,0)</f>
        <v>0</v>
      </c>
      <c r="BJ268" s="6" t="s">
        <v>21</v>
      </c>
      <c r="BK268" s="88">
        <f>ROUND($L$268*$K$268,2)</f>
        <v>0</v>
      </c>
      <c r="BL268" s="6" t="s">
        <v>212</v>
      </c>
    </row>
    <row r="269" spans="2:63" s="124" customFormat="1" ht="30.75" customHeight="1">
      <c r="B269" s="125"/>
      <c r="C269" s="126"/>
      <c r="D269" s="134" t="s">
        <v>126</v>
      </c>
      <c r="E269" s="126"/>
      <c r="F269" s="126"/>
      <c r="G269" s="126"/>
      <c r="H269" s="126"/>
      <c r="I269" s="126"/>
      <c r="J269" s="126"/>
      <c r="K269" s="126"/>
      <c r="L269" s="126"/>
      <c r="M269" s="126"/>
      <c r="N269" s="217">
        <f>$BK$269</f>
        <v>0</v>
      </c>
      <c r="O269" s="216"/>
      <c r="P269" s="216"/>
      <c r="Q269" s="216"/>
      <c r="R269" s="128"/>
      <c r="T269" s="129"/>
      <c r="U269" s="126"/>
      <c r="V269" s="126"/>
      <c r="W269" s="130">
        <f>SUM($W$270:$W$271)</f>
        <v>70040.36800000002</v>
      </c>
      <c r="X269" s="126"/>
      <c r="Y269" s="130">
        <f>SUM($Y$270:$Y$271)</f>
        <v>0.006</v>
      </c>
      <c r="Z269" s="126"/>
      <c r="AA269" s="131">
        <f>SUM($AA$270:$AA$271)</f>
        <v>0</v>
      </c>
      <c r="AR269" s="132" t="s">
        <v>98</v>
      </c>
      <c r="AT269" s="132" t="s">
        <v>79</v>
      </c>
      <c r="AU269" s="132" t="s">
        <v>21</v>
      </c>
      <c r="AY269" s="132" t="s">
        <v>157</v>
      </c>
      <c r="BK269" s="133">
        <f>SUM($BK$270:$BK$271)</f>
        <v>0</v>
      </c>
    </row>
    <row r="270" spans="2:64" s="6" customFormat="1" ht="27" customHeight="1">
      <c r="B270" s="23"/>
      <c r="C270" s="135" t="s">
        <v>503</v>
      </c>
      <c r="D270" s="135" t="s">
        <v>158</v>
      </c>
      <c r="E270" s="136" t="s">
        <v>504</v>
      </c>
      <c r="F270" s="205" t="s">
        <v>505</v>
      </c>
      <c r="G270" s="206"/>
      <c r="H270" s="206"/>
      <c r="I270" s="206"/>
      <c r="J270" s="137" t="s">
        <v>232</v>
      </c>
      <c r="K270" s="138">
        <v>4</v>
      </c>
      <c r="L270" s="207">
        <v>0</v>
      </c>
      <c r="M270" s="206"/>
      <c r="N270" s="208">
        <f>ROUND($L$270*$K$270,2)</f>
        <v>0</v>
      </c>
      <c r="O270" s="206"/>
      <c r="P270" s="206"/>
      <c r="Q270" s="206"/>
      <c r="R270" s="25"/>
      <c r="T270" s="139"/>
      <c r="U270" s="31" t="s">
        <v>45</v>
      </c>
      <c r="V270" s="140">
        <v>0.667</v>
      </c>
      <c r="W270" s="140">
        <f>$V$270*$K$270</f>
        <v>2.668</v>
      </c>
      <c r="X270" s="140">
        <v>0.0015</v>
      </c>
      <c r="Y270" s="140">
        <f>$X$270*$K$270</f>
        <v>0.006</v>
      </c>
      <c r="Z270" s="140">
        <v>0</v>
      </c>
      <c r="AA270" s="141">
        <f>$Z$270*$K$270</f>
        <v>0</v>
      </c>
      <c r="AR270" s="6" t="s">
        <v>212</v>
      </c>
      <c r="AT270" s="6" t="s">
        <v>158</v>
      </c>
      <c r="AU270" s="6" t="s">
        <v>98</v>
      </c>
      <c r="AY270" s="6" t="s">
        <v>157</v>
      </c>
      <c r="BE270" s="88">
        <f>IF($U$270="základní",$N$270,0)</f>
        <v>0</v>
      </c>
      <c r="BF270" s="88">
        <f>IF($U$270="snížená",$N$270,0)</f>
        <v>0</v>
      </c>
      <c r="BG270" s="88">
        <f>IF($U$270="zákl. přenesená",$N$270,0)</f>
        <v>0</v>
      </c>
      <c r="BH270" s="88">
        <f>IF($U$270="sníž. přenesená",$N$270,0)</f>
        <v>0</v>
      </c>
      <c r="BI270" s="88">
        <f>IF($U$270="nulová",$N$270,0)</f>
        <v>0</v>
      </c>
      <c r="BJ270" s="6" t="s">
        <v>21</v>
      </c>
      <c r="BK270" s="88">
        <f>ROUND($L$270*$K$270,2)</f>
        <v>0</v>
      </c>
      <c r="BL270" s="6" t="s">
        <v>212</v>
      </c>
    </row>
    <row r="271" spans="2:64" s="6" customFormat="1" ht="27" customHeight="1">
      <c r="B271" s="23"/>
      <c r="C271" s="135" t="s">
        <v>506</v>
      </c>
      <c r="D271" s="135" t="s">
        <v>185</v>
      </c>
      <c r="E271" s="136" t="s">
        <v>507</v>
      </c>
      <c r="F271" s="205" t="s">
        <v>508</v>
      </c>
      <c r="G271" s="206"/>
      <c r="H271" s="206"/>
      <c r="I271" s="206"/>
      <c r="J271" s="137" t="s">
        <v>209</v>
      </c>
      <c r="K271" s="138">
        <v>30</v>
      </c>
      <c r="L271" s="207">
        <v>0</v>
      </c>
      <c r="M271" s="206"/>
      <c r="N271" s="208">
        <f>ROUND($L$271*$K$271,2)</f>
        <v>0</v>
      </c>
      <c r="O271" s="206"/>
      <c r="P271" s="206"/>
      <c r="Q271" s="206"/>
      <c r="R271" s="25"/>
      <c r="T271" s="139"/>
      <c r="U271" s="31" t="s">
        <v>45</v>
      </c>
      <c r="V271" s="140">
        <v>2334.59</v>
      </c>
      <c r="W271" s="140">
        <f>$V$271*$K$271</f>
        <v>70037.70000000001</v>
      </c>
      <c r="X271" s="140">
        <v>0</v>
      </c>
      <c r="Y271" s="140">
        <f>$X$271*$K$271</f>
        <v>0</v>
      </c>
      <c r="Z271" s="140">
        <v>0</v>
      </c>
      <c r="AA271" s="141">
        <f>$Z$271*$K$271</f>
        <v>0</v>
      </c>
      <c r="AR271" s="6" t="s">
        <v>212</v>
      </c>
      <c r="AT271" s="6" t="s">
        <v>158</v>
      </c>
      <c r="AU271" s="6" t="s">
        <v>98</v>
      </c>
      <c r="AY271" s="6" t="s">
        <v>157</v>
      </c>
      <c r="BE271" s="88">
        <f>IF($U$271="základní",$N$271,0)</f>
        <v>0</v>
      </c>
      <c r="BF271" s="88">
        <f>IF($U$271="snížená",$N$271,0)</f>
        <v>0</v>
      </c>
      <c r="BG271" s="88">
        <f>IF($U$271="zákl. přenesená",$N$271,0)</f>
        <v>0</v>
      </c>
      <c r="BH271" s="88">
        <f>IF($U$271="sníž. přenesená",$N$271,0)</f>
        <v>0</v>
      </c>
      <c r="BI271" s="88">
        <f>IF($U$271="nulová",$N$271,0)</f>
        <v>0</v>
      </c>
      <c r="BJ271" s="6" t="s">
        <v>21</v>
      </c>
      <c r="BK271" s="88">
        <f>ROUND($L$271*$K$271,2)</f>
        <v>0</v>
      </c>
      <c r="BL271" s="6" t="s">
        <v>212</v>
      </c>
    </row>
    <row r="272" spans="2:63" s="124" customFormat="1" ht="30.75" customHeight="1">
      <c r="B272" s="125"/>
      <c r="C272" s="126"/>
      <c r="D272" s="134" t="s">
        <v>127</v>
      </c>
      <c r="E272" s="126"/>
      <c r="F272" s="126"/>
      <c r="G272" s="126"/>
      <c r="H272" s="126"/>
      <c r="I272" s="126"/>
      <c r="J272" s="126"/>
      <c r="K272" s="126"/>
      <c r="L272" s="126"/>
      <c r="M272" s="126"/>
      <c r="N272" s="217">
        <f>$BK$272</f>
        <v>0</v>
      </c>
      <c r="O272" s="216"/>
      <c r="P272" s="216"/>
      <c r="Q272" s="216"/>
      <c r="R272" s="128"/>
      <c r="T272" s="129"/>
      <c r="U272" s="126"/>
      <c r="V272" s="126"/>
      <c r="W272" s="130">
        <f>SUM($W$273:$W$274)</f>
        <v>24.950999999999997</v>
      </c>
      <c r="X272" s="126"/>
      <c r="Y272" s="130">
        <f>SUM($Y$273:$Y$274)</f>
        <v>0.14334000000000002</v>
      </c>
      <c r="Z272" s="126"/>
      <c r="AA272" s="131">
        <f>SUM($AA$273:$AA$274)</f>
        <v>0</v>
      </c>
      <c r="AR272" s="132" t="s">
        <v>98</v>
      </c>
      <c r="AT272" s="132" t="s">
        <v>79</v>
      </c>
      <c r="AU272" s="132" t="s">
        <v>21</v>
      </c>
      <c r="AY272" s="132" t="s">
        <v>157</v>
      </c>
      <c r="BK272" s="133">
        <f>SUM($BK$273:$BK$274)</f>
        <v>0</v>
      </c>
    </row>
    <row r="273" spans="2:64" s="6" customFormat="1" ht="27" customHeight="1">
      <c r="B273" s="23"/>
      <c r="C273" s="135" t="s">
        <v>509</v>
      </c>
      <c r="D273" s="135" t="s">
        <v>158</v>
      </c>
      <c r="E273" s="136" t="s">
        <v>510</v>
      </c>
      <c r="F273" s="205" t="s">
        <v>511</v>
      </c>
      <c r="G273" s="206"/>
      <c r="H273" s="206"/>
      <c r="I273" s="206"/>
      <c r="J273" s="137" t="s">
        <v>209</v>
      </c>
      <c r="K273" s="138">
        <v>79</v>
      </c>
      <c r="L273" s="207">
        <v>0</v>
      </c>
      <c r="M273" s="206"/>
      <c r="N273" s="208">
        <f>ROUND($L$273*$K$273,2)</f>
        <v>0</v>
      </c>
      <c r="O273" s="206"/>
      <c r="P273" s="206"/>
      <c r="Q273" s="206"/>
      <c r="R273" s="25"/>
      <c r="T273" s="139"/>
      <c r="U273" s="31" t="s">
        <v>45</v>
      </c>
      <c r="V273" s="140">
        <v>0.241</v>
      </c>
      <c r="W273" s="140">
        <f>$V$273*$K$273</f>
        <v>19.038999999999998</v>
      </c>
      <c r="X273" s="140">
        <v>0.00118</v>
      </c>
      <c r="Y273" s="140">
        <f>$X$273*$K$273</f>
        <v>0.09322000000000001</v>
      </c>
      <c r="Z273" s="140">
        <v>0</v>
      </c>
      <c r="AA273" s="141">
        <f>$Z$273*$K$273</f>
        <v>0</v>
      </c>
      <c r="AR273" s="6" t="s">
        <v>212</v>
      </c>
      <c r="AT273" s="6" t="s">
        <v>158</v>
      </c>
      <c r="AU273" s="6" t="s">
        <v>98</v>
      </c>
      <c r="AY273" s="6" t="s">
        <v>157</v>
      </c>
      <c r="BE273" s="88">
        <f>IF($U$273="základní",$N$273,0)</f>
        <v>0</v>
      </c>
      <c r="BF273" s="88">
        <f>IF($U$273="snížená",$N$273,0)</f>
        <v>0</v>
      </c>
      <c r="BG273" s="88">
        <f>IF($U$273="zákl. přenesená",$N$273,0)</f>
        <v>0</v>
      </c>
      <c r="BH273" s="88">
        <f>IF($U$273="sníž. přenesená",$N$273,0)</f>
        <v>0</v>
      </c>
      <c r="BI273" s="88">
        <f>IF($U$273="nulová",$N$273,0)</f>
        <v>0</v>
      </c>
      <c r="BJ273" s="6" t="s">
        <v>21</v>
      </c>
      <c r="BK273" s="88">
        <f>ROUND($L$273*$K$273,2)</f>
        <v>0</v>
      </c>
      <c r="BL273" s="6" t="s">
        <v>212</v>
      </c>
    </row>
    <row r="274" spans="2:64" s="6" customFormat="1" ht="27" customHeight="1">
      <c r="B274" s="23"/>
      <c r="C274" s="135" t="s">
        <v>512</v>
      </c>
      <c r="D274" s="135" t="s">
        <v>158</v>
      </c>
      <c r="E274" s="136" t="s">
        <v>513</v>
      </c>
      <c r="F274" s="205" t="s">
        <v>514</v>
      </c>
      <c r="G274" s="206"/>
      <c r="H274" s="206"/>
      <c r="I274" s="206"/>
      <c r="J274" s="137" t="s">
        <v>445</v>
      </c>
      <c r="K274" s="138">
        <v>4</v>
      </c>
      <c r="L274" s="207">
        <v>0</v>
      </c>
      <c r="M274" s="206"/>
      <c r="N274" s="208">
        <f>ROUND($L$274*$K$274,2)</f>
        <v>0</v>
      </c>
      <c r="O274" s="206"/>
      <c r="P274" s="206"/>
      <c r="Q274" s="206"/>
      <c r="R274" s="25"/>
      <c r="T274" s="139"/>
      <c r="U274" s="31" t="s">
        <v>45</v>
      </c>
      <c r="V274" s="140">
        <v>1.478</v>
      </c>
      <c r="W274" s="140">
        <f>$V$274*$K$274</f>
        <v>5.912</v>
      </c>
      <c r="X274" s="140">
        <v>0.01253</v>
      </c>
      <c r="Y274" s="140">
        <f>$X$274*$K$274</f>
        <v>0.05012</v>
      </c>
      <c r="Z274" s="140">
        <v>0</v>
      </c>
      <c r="AA274" s="141">
        <f>$Z$274*$K$274</f>
        <v>0</v>
      </c>
      <c r="AR274" s="6" t="s">
        <v>212</v>
      </c>
      <c r="AT274" s="6" t="s">
        <v>158</v>
      </c>
      <c r="AU274" s="6" t="s">
        <v>98</v>
      </c>
      <c r="AY274" s="6" t="s">
        <v>157</v>
      </c>
      <c r="BE274" s="88">
        <f>IF($U$274="základní",$N$274,0)</f>
        <v>0</v>
      </c>
      <c r="BF274" s="88">
        <f>IF($U$274="snížená",$N$274,0)</f>
        <v>0</v>
      </c>
      <c r="BG274" s="88">
        <f>IF($U$274="zákl. přenesená",$N$274,0)</f>
        <v>0</v>
      </c>
      <c r="BH274" s="88">
        <f>IF($U$274="sníž. přenesená",$N$274,0)</f>
        <v>0</v>
      </c>
      <c r="BI274" s="88">
        <f>IF($U$274="nulová",$N$274,0)</f>
        <v>0</v>
      </c>
      <c r="BJ274" s="6" t="s">
        <v>21</v>
      </c>
      <c r="BK274" s="88">
        <f>ROUND($L$274*$K$274,2)</f>
        <v>0</v>
      </c>
      <c r="BL274" s="6" t="s">
        <v>212</v>
      </c>
    </row>
    <row r="275" spans="2:63" s="124" customFormat="1" ht="30.75" customHeight="1">
      <c r="B275" s="125"/>
      <c r="C275" s="126"/>
      <c r="D275" s="134" t="s">
        <v>128</v>
      </c>
      <c r="E275" s="126"/>
      <c r="F275" s="126"/>
      <c r="G275" s="126"/>
      <c r="H275" s="126"/>
      <c r="I275" s="126"/>
      <c r="J275" s="126"/>
      <c r="K275" s="126"/>
      <c r="L275" s="126"/>
      <c r="M275" s="126"/>
      <c r="N275" s="217">
        <f>$BK$275</f>
        <v>0</v>
      </c>
      <c r="O275" s="216"/>
      <c r="P275" s="216"/>
      <c r="Q275" s="216"/>
      <c r="R275" s="128"/>
      <c r="T275" s="129"/>
      <c r="U275" s="126"/>
      <c r="V275" s="126"/>
      <c r="W275" s="130">
        <f>$W$276</f>
        <v>0.435</v>
      </c>
      <c r="X275" s="126"/>
      <c r="Y275" s="130">
        <f>$Y$276</f>
        <v>0.00326</v>
      </c>
      <c r="Z275" s="126"/>
      <c r="AA275" s="131">
        <f>$AA$276</f>
        <v>0</v>
      </c>
      <c r="AR275" s="132" t="s">
        <v>98</v>
      </c>
      <c r="AT275" s="132" t="s">
        <v>79</v>
      </c>
      <c r="AU275" s="132" t="s">
        <v>21</v>
      </c>
      <c r="AY275" s="132" t="s">
        <v>157</v>
      </c>
      <c r="BK275" s="133">
        <f>$BK$276</f>
        <v>0</v>
      </c>
    </row>
    <row r="276" spans="2:64" s="6" customFormat="1" ht="27" customHeight="1">
      <c r="B276" s="23"/>
      <c r="C276" s="135" t="s">
        <v>515</v>
      </c>
      <c r="D276" s="135" t="s">
        <v>158</v>
      </c>
      <c r="E276" s="136" t="s">
        <v>516</v>
      </c>
      <c r="F276" s="205" t="s">
        <v>517</v>
      </c>
      <c r="G276" s="206"/>
      <c r="H276" s="206"/>
      <c r="I276" s="206"/>
      <c r="J276" s="137" t="s">
        <v>161</v>
      </c>
      <c r="K276" s="138">
        <v>1</v>
      </c>
      <c r="L276" s="207">
        <v>0</v>
      </c>
      <c r="M276" s="206"/>
      <c r="N276" s="208">
        <f>ROUND($L$276*$K$276,2)</f>
        <v>0</v>
      </c>
      <c r="O276" s="206"/>
      <c r="P276" s="206"/>
      <c r="Q276" s="206"/>
      <c r="R276" s="25"/>
      <c r="T276" s="139"/>
      <c r="U276" s="31" t="s">
        <v>45</v>
      </c>
      <c r="V276" s="140">
        <v>0.435</v>
      </c>
      <c r="W276" s="140">
        <f>$V$276*$K$276</f>
        <v>0.435</v>
      </c>
      <c r="X276" s="140">
        <v>0.00326</v>
      </c>
      <c r="Y276" s="140">
        <f>$X$276*$K$276</f>
        <v>0.00326</v>
      </c>
      <c r="Z276" s="140">
        <v>0</v>
      </c>
      <c r="AA276" s="141">
        <f>$Z$276*$K$276</f>
        <v>0</v>
      </c>
      <c r="AR276" s="6" t="s">
        <v>212</v>
      </c>
      <c r="AT276" s="6" t="s">
        <v>158</v>
      </c>
      <c r="AU276" s="6" t="s">
        <v>98</v>
      </c>
      <c r="AY276" s="6" t="s">
        <v>157</v>
      </c>
      <c r="BE276" s="88">
        <f>IF($U$276="základní",$N$276,0)</f>
        <v>0</v>
      </c>
      <c r="BF276" s="88">
        <f>IF($U$276="snížená",$N$276,0)</f>
        <v>0</v>
      </c>
      <c r="BG276" s="88">
        <f>IF($U$276="zákl. přenesená",$N$276,0)</f>
        <v>0</v>
      </c>
      <c r="BH276" s="88">
        <f>IF($U$276="sníž. přenesená",$N$276,0)</f>
        <v>0</v>
      </c>
      <c r="BI276" s="88">
        <f>IF($U$276="nulová",$N$276,0)</f>
        <v>0</v>
      </c>
      <c r="BJ276" s="6" t="s">
        <v>21</v>
      </c>
      <c r="BK276" s="88">
        <f>ROUND($L$276*$K$276,2)</f>
        <v>0</v>
      </c>
      <c r="BL276" s="6" t="s">
        <v>212</v>
      </c>
    </row>
    <row r="277" spans="2:63" s="124" customFormat="1" ht="30.75" customHeight="1">
      <c r="B277" s="125"/>
      <c r="C277" s="126"/>
      <c r="D277" s="134" t="s">
        <v>129</v>
      </c>
      <c r="E277" s="126"/>
      <c r="F277" s="126"/>
      <c r="G277" s="126"/>
      <c r="H277" s="126"/>
      <c r="I277" s="126"/>
      <c r="J277" s="126"/>
      <c r="K277" s="126"/>
      <c r="L277" s="126"/>
      <c r="M277" s="126"/>
      <c r="N277" s="217">
        <f>$BK$277</f>
        <v>0</v>
      </c>
      <c r="O277" s="216"/>
      <c r="P277" s="216"/>
      <c r="Q277" s="216"/>
      <c r="R277" s="128"/>
      <c r="T277" s="129"/>
      <c r="U277" s="126"/>
      <c r="V277" s="126"/>
      <c r="W277" s="130">
        <f>SUM($W$278:$W$279)</f>
        <v>2.061</v>
      </c>
      <c r="X277" s="126"/>
      <c r="Y277" s="130">
        <f>SUM($Y$278:$Y$279)</f>
        <v>0.0582</v>
      </c>
      <c r="Z277" s="126"/>
      <c r="AA277" s="131">
        <f>SUM($AA$278:$AA$279)</f>
        <v>0</v>
      </c>
      <c r="AR277" s="132" t="s">
        <v>98</v>
      </c>
      <c r="AT277" s="132" t="s">
        <v>79</v>
      </c>
      <c r="AU277" s="132" t="s">
        <v>21</v>
      </c>
      <c r="AY277" s="132" t="s">
        <v>157</v>
      </c>
      <c r="BK277" s="133">
        <f>SUM($BK$278:$BK$279)</f>
        <v>0</v>
      </c>
    </row>
    <row r="278" spans="2:64" s="6" customFormat="1" ht="15.75" customHeight="1">
      <c r="B278" s="23"/>
      <c r="C278" s="135" t="s">
        <v>518</v>
      </c>
      <c r="D278" s="135" t="s">
        <v>158</v>
      </c>
      <c r="E278" s="136" t="s">
        <v>519</v>
      </c>
      <c r="F278" s="205" t="s">
        <v>520</v>
      </c>
      <c r="G278" s="206"/>
      <c r="H278" s="206"/>
      <c r="I278" s="206"/>
      <c r="J278" s="137" t="s">
        <v>445</v>
      </c>
      <c r="K278" s="138">
        <v>3</v>
      </c>
      <c r="L278" s="207">
        <v>0</v>
      </c>
      <c r="M278" s="206"/>
      <c r="N278" s="208">
        <f>ROUND($L$278*$K$278,2)</f>
        <v>0</v>
      </c>
      <c r="O278" s="206"/>
      <c r="P278" s="206"/>
      <c r="Q278" s="206"/>
      <c r="R278" s="25"/>
      <c r="T278" s="139"/>
      <c r="U278" s="31" t="s">
        <v>45</v>
      </c>
      <c r="V278" s="140">
        <v>0.325</v>
      </c>
      <c r="W278" s="140">
        <f>$V$278*$K$278</f>
        <v>0.9750000000000001</v>
      </c>
      <c r="X278" s="140">
        <v>0.0092</v>
      </c>
      <c r="Y278" s="140">
        <f>$X$278*$K$278</f>
        <v>0.0276</v>
      </c>
      <c r="Z278" s="140">
        <v>0</v>
      </c>
      <c r="AA278" s="141">
        <f>$Z$278*$K$278</f>
        <v>0</v>
      </c>
      <c r="AR278" s="6" t="s">
        <v>212</v>
      </c>
      <c r="AT278" s="6" t="s">
        <v>158</v>
      </c>
      <c r="AU278" s="6" t="s">
        <v>98</v>
      </c>
      <c r="AY278" s="6" t="s">
        <v>157</v>
      </c>
      <c r="BE278" s="88">
        <f>IF($U$278="základní",$N$278,0)</f>
        <v>0</v>
      </c>
      <c r="BF278" s="88">
        <f>IF($U$278="snížená",$N$278,0)</f>
        <v>0</v>
      </c>
      <c r="BG278" s="88">
        <f>IF($U$278="zákl. přenesená",$N$278,0)</f>
        <v>0</v>
      </c>
      <c r="BH278" s="88">
        <f>IF($U$278="sníž. přenesená",$N$278,0)</f>
        <v>0</v>
      </c>
      <c r="BI278" s="88">
        <f>IF($U$278="nulová",$N$278,0)</f>
        <v>0</v>
      </c>
      <c r="BJ278" s="6" t="s">
        <v>21</v>
      </c>
      <c r="BK278" s="88">
        <f>ROUND($L$278*$K$278,2)</f>
        <v>0</v>
      </c>
      <c r="BL278" s="6" t="s">
        <v>212</v>
      </c>
    </row>
    <row r="279" spans="2:64" s="6" customFormat="1" ht="15.75" customHeight="1">
      <c r="B279" s="23"/>
      <c r="C279" s="135" t="s">
        <v>521</v>
      </c>
      <c r="D279" s="135" t="s">
        <v>158</v>
      </c>
      <c r="E279" s="136" t="s">
        <v>522</v>
      </c>
      <c r="F279" s="205" t="s">
        <v>523</v>
      </c>
      <c r="G279" s="206"/>
      <c r="H279" s="206"/>
      <c r="I279" s="206"/>
      <c r="J279" s="137" t="s">
        <v>445</v>
      </c>
      <c r="K279" s="138">
        <v>3</v>
      </c>
      <c r="L279" s="207">
        <v>0</v>
      </c>
      <c r="M279" s="206"/>
      <c r="N279" s="208">
        <f>ROUND($L$279*$K$279,2)</f>
        <v>0</v>
      </c>
      <c r="O279" s="206"/>
      <c r="P279" s="206"/>
      <c r="Q279" s="206"/>
      <c r="R279" s="25"/>
      <c r="T279" s="139"/>
      <c r="U279" s="31" t="s">
        <v>45</v>
      </c>
      <c r="V279" s="140">
        <v>0.362</v>
      </c>
      <c r="W279" s="140">
        <f>$V$279*$K$279</f>
        <v>1.0859999999999999</v>
      </c>
      <c r="X279" s="140">
        <v>0.0102</v>
      </c>
      <c r="Y279" s="140">
        <f>$X$279*$K$279</f>
        <v>0.030600000000000002</v>
      </c>
      <c r="Z279" s="140">
        <v>0</v>
      </c>
      <c r="AA279" s="141">
        <f>$Z$279*$K$279</f>
        <v>0</v>
      </c>
      <c r="AR279" s="6" t="s">
        <v>212</v>
      </c>
      <c r="AT279" s="6" t="s">
        <v>158</v>
      </c>
      <c r="AU279" s="6" t="s">
        <v>98</v>
      </c>
      <c r="AY279" s="6" t="s">
        <v>157</v>
      </c>
      <c r="BE279" s="88">
        <f>IF($U$279="základní",$N$279,0)</f>
        <v>0</v>
      </c>
      <c r="BF279" s="88">
        <f>IF($U$279="snížená",$N$279,0)</f>
        <v>0</v>
      </c>
      <c r="BG279" s="88">
        <f>IF($U$279="zákl. přenesená",$N$279,0)</f>
        <v>0</v>
      </c>
      <c r="BH279" s="88">
        <f>IF($U$279="sníž. přenesená",$N$279,0)</f>
        <v>0</v>
      </c>
      <c r="BI279" s="88">
        <f>IF($U$279="nulová",$N$279,0)</f>
        <v>0</v>
      </c>
      <c r="BJ279" s="6" t="s">
        <v>21</v>
      </c>
      <c r="BK279" s="88">
        <f>ROUND($L$279*$K$279,2)</f>
        <v>0</v>
      </c>
      <c r="BL279" s="6" t="s">
        <v>212</v>
      </c>
    </row>
    <row r="280" spans="2:63" s="124" customFormat="1" ht="30.75" customHeight="1">
      <c r="B280" s="125"/>
      <c r="C280" s="126"/>
      <c r="D280" s="134" t="s">
        <v>130</v>
      </c>
      <c r="E280" s="126"/>
      <c r="F280" s="126"/>
      <c r="G280" s="126"/>
      <c r="H280" s="126"/>
      <c r="I280" s="126"/>
      <c r="J280" s="126"/>
      <c r="K280" s="126"/>
      <c r="L280" s="126"/>
      <c r="M280" s="126"/>
      <c r="N280" s="217">
        <f>$BK$280</f>
        <v>0</v>
      </c>
      <c r="O280" s="216"/>
      <c r="P280" s="216"/>
      <c r="Q280" s="216"/>
      <c r="R280" s="128"/>
      <c r="T280" s="129"/>
      <c r="U280" s="126"/>
      <c r="V280" s="126"/>
      <c r="W280" s="130">
        <f>$W$281</f>
        <v>16.89</v>
      </c>
      <c r="X280" s="126"/>
      <c r="Y280" s="130">
        <f>$Y$281</f>
        <v>0</v>
      </c>
      <c r="Z280" s="126"/>
      <c r="AA280" s="131">
        <f>$AA$281</f>
        <v>0</v>
      </c>
      <c r="AR280" s="132" t="s">
        <v>98</v>
      </c>
      <c r="AT280" s="132" t="s">
        <v>79</v>
      </c>
      <c r="AU280" s="132" t="s">
        <v>21</v>
      </c>
      <c r="AY280" s="132" t="s">
        <v>157</v>
      </c>
      <c r="BK280" s="133">
        <f>$BK$281</f>
        <v>0</v>
      </c>
    </row>
    <row r="281" spans="2:64" s="6" customFormat="1" ht="27" customHeight="1">
      <c r="B281" s="23"/>
      <c r="C281" s="135" t="s">
        <v>524</v>
      </c>
      <c r="D281" s="135" t="s">
        <v>158</v>
      </c>
      <c r="E281" s="136" t="s">
        <v>525</v>
      </c>
      <c r="F281" s="205" t="s">
        <v>526</v>
      </c>
      <c r="G281" s="206"/>
      <c r="H281" s="206"/>
      <c r="I281" s="206"/>
      <c r="J281" s="137" t="s">
        <v>232</v>
      </c>
      <c r="K281" s="138">
        <v>1</v>
      </c>
      <c r="L281" s="207">
        <v>0</v>
      </c>
      <c r="M281" s="206"/>
      <c r="N281" s="208">
        <f>ROUND($L$281*$K$281,2)</f>
        <v>0</v>
      </c>
      <c r="O281" s="206"/>
      <c r="P281" s="206"/>
      <c r="Q281" s="206"/>
      <c r="R281" s="25"/>
      <c r="T281" s="139"/>
      <c r="U281" s="31" t="s">
        <v>45</v>
      </c>
      <c r="V281" s="140">
        <v>16.89</v>
      </c>
      <c r="W281" s="140">
        <f>$V$281*$K$281</f>
        <v>16.89</v>
      </c>
      <c r="X281" s="140">
        <v>0</v>
      </c>
      <c r="Y281" s="140">
        <f>$X$281*$K$281</f>
        <v>0</v>
      </c>
      <c r="Z281" s="140">
        <v>0</v>
      </c>
      <c r="AA281" s="141">
        <f>$Z$281*$K$281</f>
        <v>0</v>
      </c>
      <c r="AR281" s="6" t="s">
        <v>212</v>
      </c>
      <c r="AT281" s="6" t="s">
        <v>158</v>
      </c>
      <c r="AU281" s="6" t="s">
        <v>98</v>
      </c>
      <c r="AY281" s="6" t="s">
        <v>157</v>
      </c>
      <c r="BE281" s="88">
        <f>IF($U$281="základní",$N$281,0)</f>
        <v>0</v>
      </c>
      <c r="BF281" s="88">
        <f>IF($U$281="snížená",$N$281,0)</f>
        <v>0</v>
      </c>
      <c r="BG281" s="88">
        <f>IF($U$281="zákl. přenesená",$N$281,0)</f>
        <v>0</v>
      </c>
      <c r="BH281" s="88">
        <f>IF($U$281="sníž. přenesená",$N$281,0)</f>
        <v>0</v>
      </c>
      <c r="BI281" s="88">
        <f>IF($U$281="nulová",$N$281,0)</f>
        <v>0</v>
      </c>
      <c r="BJ281" s="6" t="s">
        <v>21</v>
      </c>
      <c r="BK281" s="88">
        <f>ROUND($L$281*$K$281,2)</f>
        <v>0</v>
      </c>
      <c r="BL281" s="6" t="s">
        <v>212</v>
      </c>
    </row>
    <row r="282" spans="2:63" s="124" customFormat="1" ht="30.75" customHeight="1">
      <c r="B282" s="125"/>
      <c r="C282" s="126"/>
      <c r="D282" s="134" t="s">
        <v>131</v>
      </c>
      <c r="E282" s="126"/>
      <c r="F282" s="126"/>
      <c r="G282" s="126"/>
      <c r="H282" s="126"/>
      <c r="I282" s="126"/>
      <c r="J282" s="126"/>
      <c r="K282" s="126"/>
      <c r="L282" s="126"/>
      <c r="M282" s="126"/>
      <c r="N282" s="217">
        <f>$BK$282</f>
        <v>0</v>
      </c>
      <c r="O282" s="216"/>
      <c r="P282" s="216"/>
      <c r="Q282" s="216"/>
      <c r="R282" s="128"/>
      <c r="T282" s="129"/>
      <c r="U282" s="126"/>
      <c r="V282" s="126"/>
      <c r="W282" s="130">
        <f>SUM($W$283:$W$289)</f>
        <v>20.932704</v>
      </c>
      <c r="X282" s="126"/>
      <c r="Y282" s="130">
        <f>SUM($Y$283:$Y$289)</f>
        <v>0.62371</v>
      </c>
      <c r="Z282" s="126"/>
      <c r="AA282" s="131">
        <f>SUM($AA$283:$AA$289)</f>
        <v>0</v>
      </c>
      <c r="AR282" s="132" t="s">
        <v>98</v>
      </c>
      <c r="AT282" s="132" t="s">
        <v>79</v>
      </c>
      <c r="AU282" s="132" t="s">
        <v>21</v>
      </c>
      <c r="AY282" s="132" t="s">
        <v>157</v>
      </c>
      <c r="BK282" s="133">
        <f>SUM($BK$283:$BK$289)</f>
        <v>0</v>
      </c>
    </row>
    <row r="283" spans="2:64" s="6" customFormat="1" ht="39" customHeight="1">
      <c r="B283" s="23"/>
      <c r="C283" s="135" t="s">
        <v>527</v>
      </c>
      <c r="D283" s="135" t="s">
        <v>158</v>
      </c>
      <c r="E283" s="136" t="s">
        <v>528</v>
      </c>
      <c r="F283" s="205" t="s">
        <v>529</v>
      </c>
      <c r="G283" s="206"/>
      <c r="H283" s="206"/>
      <c r="I283" s="206"/>
      <c r="J283" s="137" t="s">
        <v>232</v>
      </c>
      <c r="K283" s="138">
        <v>6</v>
      </c>
      <c r="L283" s="207">
        <v>0</v>
      </c>
      <c r="M283" s="206"/>
      <c r="N283" s="208">
        <f>ROUND($L$283*$K$283,2)</f>
        <v>0</v>
      </c>
      <c r="O283" s="206"/>
      <c r="P283" s="206"/>
      <c r="Q283" s="206"/>
      <c r="R283" s="25"/>
      <c r="T283" s="139"/>
      <c r="U283" s="31" t="s">
        <v>45</v>
      </c>
      <c r="V283" s="140">
        <v>1.476</v>
      </c>
      <c r="W283" s="140">
        <f>$V$283*$K$283</f>
        <v>8.856</v>
      </c>
      <c r="X283" s="140">
        <v>0.00025</v>
      </c>
      <c r="Y283" s="140">
        <f>$X$283*$K$283</f>
        <v>0.0015</v>
      </c>
      <c r="Z283" s="140">
        <v>0</v>
      </c>
      <c r="AA283" s="141">
        <f>$Z$283*$K$283</f>
        <v>0</v>
      </c>
      <c r="AR283" s="6" t="s">
        <v>212</v>
      </c>
      <c r="AT283" s="6" t="s">
        <v>158</v>
      </c>
      <c r="AU283" s="6" t="s">
        <v>98</v>
      </c>
      <c r="AY283" s="6" t="s">
        <v>157</v>
      </c>
      <c r="BE283" s="88">
        <f>IF($U$283="základní",$N$283,0)</f>
        <v>0</v>
      </c>
      <c r="BF283" s="88">
        <f>IF($U$283="snížená",$N$283,0)</f>
        <v>0</v>
      </c>
      <c r="BG283" s="88">
        <f>IF($U$283="zákl. přenesená",$N$283,0)</f>
        <v>0</v>
      </c>
      <c r="BH283" s="88">
        <f>IF($U$283="sníž. přenesená",$N$283,0)</f>
        <v>0</v>
      </c>
      <c r="BI283" s="88">
        <f>IF($U$283="nulová",$N$283,0)</f>
        <v>0</v>
      </c>
      <c r="BJ283" s="6" t="s">
        <v>21</v>
      </c>
      <c r="BK283" s="88">
        <f>ROUND($L$283*$K$283,2)</f>
        <v>0</v>
      </c>
      <c r="BL283" s="6" t="s">
        <v>212</v>
      </c>
    </row>
    <row r="284" spans="2:64" s="6" customFormat="1" ht="27" customHeight="1">
      <c r="B284" s="23"/>
      <c r="C284" s="142" t="s">
        <v>530</v>
      </c>
      <c r="D284" s="142" t="s">
        <v>258</v>
      </c>
      <c r="E284" s="143" t="s">
        <v>531</v>
      </c>
      <c r="F284" s="209" t="s">
        <v>532</v>
      </c>
      <c r="G284" s="210"/>
      <c r="H284" s="210"/>
      <c r="I284" s="210"/>
      <c r="J284" s="144" t="s">
        <v>232</v>
      </c>
      <c r="K284" s="145">
        <v>6</v>
      </c>
      <c r="L284" s="211">
        <v>0</v>
      </c>
      <c r="M284" s="210"/>
      <c r="N284" s="212">
        <f>ROUND($L$284*$K$284,2)</f>
        <v>0</v>
      </c>
      <c r="O284" s="206"/>
      <c r="P284" s="206"/>
      <c r="Q284" s="206"/>
      <c r="R284" s="25"/>
      <c r="T284" s="139"/>
      <c r="U284" s="31" t="s">
        <v>45</v>
      </c>
      <c r="V284" s="140">
        <v>0</v>
      </c>
      <c r="W284" s="140">
        <f>$V$284*$K$284</f>
        <v>0</v>
      </c>
      <c r="X284" s="140">
        <v>0.0389</v>
      </c>
      <c r="Y284" s="140">
        <f>$X$284*$K$284</f>
        <v>0.2334</v>
      </c>
      <c r="Z284" s="140">
        <v>0</v>
      </c>
      <c r="AA284" s="141">
        <f>$Z$284*$K$284</f>
        <v>0</v>
      </c>
      <c r="AR284" s="6" t="s">
        <v>261</v>
      </c>
      <c r="AT284" s="6" t="s">
        <v>258</v>
      </c>
      <c r="AU284" s="6" t="s">
        <v>98</v>
      </c>
      <c r="AY284" s="6" t="s">
        <v>157</v>
      </c>
      <c r="BE284" s="88">
        <f>IF($U$284="základní",$N$284,0)</f>
        <v>0</v>
      </c>
      <c r="BF284" s="88">
        <f>IF($U$284="snížená",$N$284,0)</f>
        <v>0</v>
      </c>
      <c r="BG284" s="88">
        <f>IF($U$284="zákl. přenesená",$N$284,0)</f>
        <v>0</v>
      </c>
      <c r="BH284" s="88">
        <f>IF($U$284="sníž. přenesená",$N$284,0)</f>
        <v>0</v>
      </c>
      <c r="BI284" s="88">
        <f>IF($U$284="nulová",$N$284,0)</f>
        <v>0</v>
      </c>
      <c r="BJ284" s="6" t="s">
        <v>21</v>
      </c>
      <c r="BK284" s="88">
        <f>ROUND($L$284*$K$284,2)</f>
        <v>0</v>
      </c>
      <c r="BL284" s="6" t="s">
        <v>212</v>
      </c>
    </row>
    <row r="285" spans="2:64" s="6" customFormat="1" ht="27" customHeight="1">
      <c r="B285" s="23"/>
      <c r="C285" s="135" t="s">
        <v>533</v>
      </c>
      <c r="D285" s="135" t="s">
        <v>158</v>
      </c>
      <c r="E285" s="136" t="s">
        <v>534</v>
      </c>
      <c r="F285" s="205" t="s">
        <v>535</v>
      </c>
      <c r="G285" s="206"/>
      <c r="H285" s="206"/>
      <c r="I285" s="206"/>
      <c r="J285" s="137" t="s">
        <v>232</v>
      </c>
      <c r="K285" s="138">
        <v>1</v>
      </c>
      <c r="L285" s="207">
        <v>0</v>
      </c>
      <c r="M285" s="206"/>
      <c r="N285" s="208">
        <f>ROUND($L$285*$K$285,2)</f>
        <v>0</v>
      </c>
      <c r="O285" s="206"/>
      <c r="P285" s="206"/>
      <c r="Q285" s="206"/>
      <c r="R285" s="25"/>
      <c r="T285" s="139"/>
      <c r="U285" s="31" t="s">
        <v>45</v>
      </c>
      <c r="V285" s="140">
        <v>1.476</v>
      </c>
      <c r="W285" s="140">
        <f>$V$285*$K$285</f>
        <v>1.476</v>
      </c>
      <c r="X285" s="140">
        <v>0.00025</v>
      </c>
      <c r="Y285" s="140">
        <f>$X$285*$K$285</f>
        <v>0.00025</v>
      </c>
      <c r="Z285" s="140">
        <v>0</v>
      </c>
      <c r="AA285" s="141">
        <f>$Z$285*$K$285</f>
        <v>0</v>
      </c>
      <c r="AR285" s="6" t="s">
        <v>212</v>
      </c>
      <c r="AT285" s="6" t="s">
        <v>158</v>
      </c>
      <c r="AU285" s="6" t="s">
        <v>98</v>
      </c>
      <c r="AY285" s="6" t="s">
        <v>157</v>
      </c>
      <c r="BE285" s="88">
        <f>IF($U$285="základní",$N$285,0)</f>
        <v>0</v>
      </c>
      <c r="BF285" s="88">
        <f>IF($U$285="snížená",$N$285,0)</f>
        <v>0</v>
      </c>
      <c r="BG285" s="88">
        <f>IF($U$285="zákl. přenesená",$N$285,0)</f>
        <v>0</v>
      </c>
      <c r="BH285" s="88">
        <f>IF($U$285="sníž. přenesená",$N$285,0)</f>
        <v>0</v>
      </c>
      <c r="BI285" s="88">
        <f>IF($U$285="nulová",$N$285,0)</f>
        <v>0</v>
      </c>
      <c r="BJ285" s="6" t="s">
        <v>21</v>
      </c>
      <c r="BK285" s="88">
        <f>ROUND($L$285*$K$285,2)</f>
        <v>0</v>
      </c>
      <c r="BL285" s="6" t="s">
        <v>212</v>
      </c>
    </row>
    <row r="286" spans="2:64" s="6" customFormat="1" ht="27" customHeight="1">
      <c r="B286" s="23"/>
      <c r="C286" s="142" t="s">
        <v>536</v>
      </c>
      <c r="D286" s="142" t="s">
        <v>258</v>
      </c>
      <c r="E286" s="143" t="s">
        <v>537</v>
      </c>
      <c r="F286" s="209" t="s">
        <v>538</v>
      </c>
      <c r="G286" s="210"/>
      <c r="H286" s="210"/>
      <c r="I286" s="210"/>
      <c r="J286" s="144" t="s">
        <v>232</v>
      </c>
      <c r="K286" s="145">
        <v>1</v>
      </c>
      <c r="L286" s="211">
        <v>0</v>
      </c>
      <c r="M286" s="210"/>
      <c r="N286" s="212">
        <f>ROUND($L$286*$K$286,2)</f>
        <v>0</v>
      </c>
      <c r="O286" s="206"/>
      <c r="P286" s="206"/>
      <c r="Q286" s="206"/>
      <c r="R286" s="25"/>
      <c r="T286" s="139"/>
      <c r="U286" s="31" t="s">
        <v>45</v>
      </c>
      <c r="V286" s="140">
        <v>0</v>
      </c>
      <c r="W286" s="140">
        <f>$V$286*$K$286</f>
        <v>0</v>
      </c>
      <c r="X286" s="140">
        <v>0.075</v>
      </c>
      <c r="Y286" s="140">
        <f>$X$286*$K$286</f>
        <v>0.075</v>
      </c>
      <c r="Z286" s="140">
        <v>0</v>
      </c>
      <c r="AA286" s="141">
        <f>$Z$286*$K$286</f>
        <v>0</v>
      </c>
      <c r="AR286" s="6" t="s">
        <v>261</v>
      </c>
      <c r="AT286" s="6" t="s">
        <v>258</v>
      </c>
      <c r="AU286" s="6" t="s">
        <v>98</v>
      </c>
      <c r="AY286" s="6" t="s">
        <v>157</v>
      </c>
      <c r="BE286" s="88">
        <f>IF($U$286="základní",$N$286,0)</f>
        <v>0</v>
      </c>
      <c r="BF286" s="88">
        <f>IF($U$286="snížená",$N$286,0)</f>
        <v>0</v>
      </c>
      <c r="BG286" s="88">
        <f>IF($U$286="zákl. přenesená",$N$286,0)</f>
        <v>0</v>
      </c>
      <c r="BH286" s="88">
        <f>IF($U$286="sníž. přenesená",$N$286,0)</f>
        <v>0</v>
      </c>
      <c r="BI286" s="88">
        <f>IF($U$286="nulová",$N$286,0)</f>
        <v>0</v>
      </c>
      <c r="BJ286" s="6" t="s">
        <v>21</v>
      </c>
      <c r="BK286" s="88">
        <f>ROUND($L$286*$K$286,2)</f>
        <v>0</v>
      </c>
      <c r="BL286" s="6" t="s">
        <v>212</v>
      </c>
    </row>
    <row r="287" spans="2:64" s="6" customFormat="1" ht="39" customHeight="1">
      <c r="B287" s="23"/>
      <c r="C287" s="135" t="s">
        <v>539</v>
      </c>
      <c r="D287" s="135" t="s">
        <v>158</v>
      </c>
      <c r="E287" s="136" t="s">
        <v>540</v>
      </c>
      <c r="F287" s="205" t="s">
        <v>541</v>
      </c>
      <c r="G287" s="206"/>
      <c r="H287" s="206"/>
      <c r="I287" s="206"/>
      <c r="J287" s="137" t="s">
        <v>232</v>
      </c>
      <c r="K287" s="138">
        <v>6</v>
      </c>
      <c r="L287" s="207">
        <v>0</v>
      </c>
      <c r="M287" s="206"/>
      <c r="N287" s="208">
        <f>ROUND($L$287*$K$287,2)</f>
        <v>0</v>
      </c>
      <c r="O287" s="206"/>
      <c r="P287" s="206"/>
      <c r="Q287" s="206"/>
      <c r="R287" s="25"/>
      <c r="T287" s="139"/>
      <c r="U287" s="31" t="s">
        <v>45</v>
      </c>
      <c r="V287" s="140">
        <v>1.515</v>
      </c>
      <c r="W287" s="140">
        <f>$V$287*$K$287</f>
        <v>9.09</v>
      </c>
      <c r="X287" s="140">
        <v>0.00026</v>
      </c>
      <c r="Y287" s="140">
        <f>$X$287*$K$287</f>
        <v>0.0015599999999999998</v>
      </c>
      <c r="Z287" s="140">
        <v>0</v>
      </c>
      <c r="AA287" s="141">
        <f>$Z$287*$K$287</f>
        <v>0</v>
      </c>
      <c r="AR287" s="6" t="s">
        <v>212</v>
      </c>
      <c r="AT287" s="6" t="s">
        <v>158</v>
      </c>
      <c r="AU287" s="6" t="s">
        <v>98</v>
      </c>
      <c r="AY287" s="6" t="s">
        <v>157</v>
      </c>
      <c r="BE287" s="88">
        <f>IF($U$287="základní",$N$287,0)</f>
        <v>0</v>
      </c>
      <c r="BF287" s="88">
        <f>IF($U$287="snížená",$N$287,0)</f>
        <v>0</v>
      </c>
      <c r="BG287" s="88">
        <f>IF($U$287="zákl. přenesená",$N$287,0)</f>
        <v>0</v>
      </c>
      <c r="BH287" s="88">
        <f>IF($U$287="sníž. přenesená",$N$287,0)</f>
        <v>0</v>
      </c>
      <c r="BI287" s="88">
        <f>IF($U$287="nulová",$N$287,0)</f>
        <v>0</v>
      </c>
      <c r="BJ287" s="6" t="s">
        <v>21</v>
      </c>
      <c r="BK287" s="88">
        <f>ROUND($L$287*$K$287,2)</f>
        <v>0</v>
      </c>
      <c r="BL287" s="6" t="s">
        <v>212</v>
      </c>
    </row>
    <row r="288" spans="2:64" s="6" customFormat="1" ht="27" customHeight="1">
      <c r="B288" s="23"/>
      <c r="C288" s="142" t="s">
        <v>542</v>
      </c>
      <c r="D288" s="142" t="s">
        <v>258</v>
      </c>
      <c r="E288" s="143" t="s">
        <v>543</v>
      </c>
      <c r="F288" s="209" t="s">
        <v>544</v>
      </c>
      <c r="G288" s="210"/>
      <c r="H288" s="210"/>
      <c r="I288" s="210"/>
      <c r="J288" s="144" t="s">
        <v>232</v>
      </c>
      <c r="K288" s="145">
        <v>6</v>
      </c>
      <c r="L288" s="211">
        <v>0</v>
      </c>
      <c r="M288" s="210"/>
      <c r="N288" s="212">
        <f>ROUND($L$288*$K$288,2)</f>
        <v>0</v>
      </c>
      <c r="O288" s="206"/>
      <c r="P288" s="206"/>
      <c r="Q288" s="206"/>
      <c r="R288" s="25"/>
      <c r="T288" s="139"/>
      <c r="U288" s="31" t="s">
        <v>45</v>
      </c>
      <c r="V288" s="140">
        <v>0</v>
      </c>
      <c r="W288" s="140">
        <f>$V$288*$K$288</f>
        <v>0</v>
      </c>
      <c r="X288" s="140">
        <v>0.052</v>
      </c>
      <c r="Y288" s="140">
        <f>$X$288*$K$288</f>
        <v>0.312</v>
      </c>
      <c r="Z288" s="140">
        <v>0</v>
      </c>
      <c r="AA288" s="141">
        <f>$Z$288*$K$288</f>
        <v>0</v>
      </c>
      <c r="AR288" s="6" t="s">
        <v>261</v>
      </c>
      <c r="AT288" s="6" t="s">
        <v>258</v>
      </c>
      <c r="AU288" s="6" t="s">
        <v>98</v>
      </c>
      <c r="AY288" s="6" t="s">
        <v>157</v>
      </c>
      <c r="BE288" s="88">
        <f>IF($U$288="základní",$N$288,0)</f>
        <v>0</v>
      </c>
      <c r="BF288" s="88">
        <f>IF($U$288="snížená",$N$288,0)</f>
        <v>0</v>
      </c>
      <c r="BG288" s="88">
        <f>IF($U$288="zákl. přenesená",$N$288,0)</f>
        <v>0</v>
      </c>
      <c r="BH288" s="88">
        <f>IF($U$288="sníž. přenesená",$N$288,0)</f>
        <v>0</v>
      </c>
      <c r="BI288" s="88">
        <f>IF($U$288="nulová",$N$288,0)</f>
        <v>0</v>
      </c>
      <c r="BJ288" s="6" t="s">
        <v>21</v>
      </c>
      <c r="BK288" s="88">
        <f>ROUND($L$288*$K$288,2)</f>
        <v>0</v>
      </c>
      <c r="BL288" s="6" t="s">
        <v>212</v>
      </c>
    </row>
    <row r="289" spans="2:64" s="6" customFormat="1" ht="27" customHeight="1">
      <c r="B289" s="23"/>
      <c r="C289" s="135" t="s">
        <v>545</v>
      </c>
      <c r="D289" s="135" t="s">
        <v>158</v>
      </c>
      <c r="E289" s="136" t="s">
        <v>546</v>
      </c>
      <c r="F289" s="205" t="s">
        <v>547</v>
      </c>
      <c r="G289" s="206"/>
      <c r="H289" s="206"/>
      <c r="I289" s="206"/>
      <c r="J289" s="137" t="s">
        <v>196</v>
      </c>
      <c r="K289" s="138">
        <v>0.624</v>
      </c>
      <c r="L289" s="207">
        <v>0</v>
      </c>
      <c r="M289" s="206"/>
      <c r="N289" s="208">
        <f>ROUND($L$289*$K$289,2)</f>
        <v>0</v>
      </c>
      <c r="O289" s="206"/>
      <c r="P289" s="206"/>
      <c r="Q289" s="206"/>
      <c r="R289" s="25"/>
      <c r="T289" s="139"/>
      <c r="U289" s="31" t="s">
        <v>45</v>
      </c>
      <c r="V289" s="140">
        <v>2.421</v>
      </c>
      <c r="W289" s="140">
        <f>$V$289*$K$289</f>
        <v>1.5107039999999998</v>
      </c>
      <c r="X289" s="140">
        <v>0</v>
      </c>
      <c r="Y289" s="140">
        <f>$X$289*$K$289</f>
        <v>0</v>
      </c>
      <c r="Z289" s="140">
        <v>0</v>
      </c>
      <c r="AA289" s="141">
        <f>$Z$289*$K$289</f>
        <v>0</v>
      </c>
      <c r="AR289" s="6" t="s">
        <v>212</v>
      </c>
      <c r="AT289" s="6" t="s">
        <v>158</v>
      </c>
      <c r="AU289" s="6" t="s">
        <v>98</v>
      </c>
      <c r="AY289" s="6" t="s">
        <v>157</v>
      </c>
      <c r="BE289" s="88">
        <f>IF($U$289="základní",$N$289,0)</f>
        <v>0</v>
      </c>
      <c r="BF289" s="88">
        <f>IF($U$289="snížená",$N$289,0)</f>
        <v>0</v>
      </c>
      <c r="BG289" s="88">
        <f>IF($U$289="zákl. přenesená",$N$289,0)</f>
        <v>0</v>
      </c>
      <c r="BH289" s="88">
        <f>IF($U$289="sníž. přenesená",$N$289,0)</f>
        <v>0</v>
      </c>
      <c r="BI289" s="88">
        <f>IF($U$289="nulová",$N$289,0)</f>
        <v>0</v>
      </c>
      <c r="BJ289" s="6" t="s">
        <v>21</v>
      </c>
      <c r="BK289" s="88">
        <f>ROUND($L$289*$K$289,2)</f>
        <v>0</v>
      </c>
      <c r="BL289" s="6" t="s">
        <v>212</v>
      </c>
    </row>
    <row r="290" spans="2:63" s="124" customFormat="1" ht="30.75" customHeight="1">
      <c r="B290" s="125"/>
      <c r="C290" s="126"/>
      <c r="D290" s="134" t="s">
        <v>132</v>
      </c>
      <c r="E290" s="126"/>
      <c r="F290" s="126"/>
      <c r="G290" s="126"/>
      <c r="H290" s="126"/>
      <c r="I290" s="126"/>
      <c r="J290" s="126"/>
      <c r="K290" s="126"/>
      <c r="L290" s="126"/>
      <c r="M290" s="126"/>
      <c r="N290" s="217">
        <f>$BK$290</f>
        <v>0</v>
      </c>
      <c r="O290" s="216"/>
      <c r="P290" s="216"/>
      <c r="Q290" s="216"/>
      <c r="R290" s="128"/>
      <c r="T290" s="129"/>
      <c r="U290" s="126"/>
      <c r="V290" s="126"/>
      <c r="W290" s="130">
        <f>$W$291</f>
        <v>42702.3952</v>
      </c>
      <c r="X290" s="126"/>
      <c r="Y290" s="130">
        <f>$Y$291</f>
        <v>0</v>
      </c>
      <c r="Z290" s="126"/>
      <c r="AA290" s="131">
        <f>$AA$291</f>
        <v>0</v>
      </c>
      <c r="AR290" s="132" t="s">
        <v>98</v>
      </c>
      <c r="AT290" s="132" t="s">
        <v>79</v>
      </c>
      <c r="AU290" s="132" t="s">
        <v>21</v>
      </c>
      <c r="AY290" s="132" t="s">
        <v>157</v>
      </c>
      <c r="BK290" s="133">
        <f>$BK$291</f>
        <v>0</v>
      </c>
    </row>
    <row r="291" spans="2:64" s="6" customFormat="1" ht="27" customHeight="1">
      <c r="B291" s="23"/>
      <c r="C291" s="135" t="s">
        <v>548</v>
      </c>
      <c r="D291" s="135" t="s">
        <v>185</v>
      </c>
      <c r="E291" s="136" t="s">
        <v>549</v>
      </c>
      <c r="F291" s="205" t="s">
        <v>550</v>
      </c>
      <c r="G291" s="206"/>
      <c r="H291" s="206"/>
      <c r="I291" s="206"/>
      <c r="J291" s="137" t="s">
        <v>165</v>
      </c>
      <c r="K291" s="138">
        <v>2672.24</v>
      </c>
      <c r="L291" s="207">
        <v>0</v>
      </c>
      <c r="M291" s="206"/>
      <c r="N291" s="208">
        <f>ROUND($L$291*$K$291,2)</f>
        <v>0</v>
      </c>
      <c r="O291" s="206"/>
      <c r="P291" s="206"/>
      <c r="Q291" s="206"/>
      <c r="R291" s="25"/>
      <c r="T291" s="139"/>
      <c r="U291" s="31" t="s">
        <v>45</v>
      </c>
      <c r="V291" s="140">
        <v>15.98</v>
      </c>
      <c r="W291" s="140">
        <f>$V$291*$K$291</f>
        <v>42702.3952</v>
      </c>
      <c r="X291" s="140">
        <v>0</v>
      </c>
      <c r="Y291" s="140">
        <f>$X$291*$K$291</f>
        <v>0</v>
      </c>
      <c r="Z291" s="140">
        <v>0</v>
      </c>
      <c r="AA291" s="141">
        <f>$Z$291*$K$291</f>
        <v>0</v>
      </c>
      <c r="AR291" s="6" t="s">
        <v>212</v>
      </c>
      <c r="AT291" s="6" t="s">
        <v>158</v>
      </c>
      <c r="AU291" s="6" t="s">
        <v>98</v>
      </c>
      <c r="AY291" s="6" t="s">
        <v>157</v>
      </c>
      <c r="BE291" s="88">
        <f>IF($U$291="základní",$N$291,0)</f>
        <v>0</v>
      </c>
      <c r="BF291" s="88">
        <f>IF($U$291="snížená",$N$291,0)</f>
        <v>0</v>
      </c>
      <c r="BG291" s="88">
        <f>IF($U$291="zákl. přenesená",$N$291,0)</f>
        <v>0</v>
      </c>
      <c r="BH291" s="88">
        <f>IF($U$291="sníž. přenesená",$N$291,0)</f>
        <v>0</v>
      </c>
      <c r="BI291" s="88">
        <f>IF($U$291="nulová",$N$291,0)</f>
        <v>0</v>
      </c>
      <c r="BJ291" s="6" t="s">
        <v>21</v>
      </c>
      <c r="BK291" s="88">
        <f>ROUND($L$291*$K$291,2)</f>
        <v>0</v>
      </c>
      <c r="BL291" s="6" t="s">
        <v>212</v>
      </c>
    </row>
    <row r="292" spans="2:63" s="6" customFormat="1" ht="51" customHeight="1">
      <c r="B292" s="23"/>
      <c r="C292" s="24"/>
      <c r="D292" s="127" t="s">
        <v>551</v>
      </c>
      <c r="E292" s="24"/>
      <c r="F292" s="24"/>
      <c r="G292" s="24"/>
      <c r="H292" s="24"/>
      <c r="I292" s="24"/>
      <c r="J292" s="24"/>
      <c r="K292" s="24"/>
      <c r="L292" s="24"/>
      <c r="M292" s="24"/>
      <c r="N292" s="201">
        <f>$BK$292</f>
        <v>0</v>
      </c>
      <c r="O292" s="171"/>
      <c r="P292" s="171"/>
      <c r="Q292" s="171"/>
      <c r="R292" s="25"/>
      <c r="T292" s="64"/>
      <c r="U292" s="24"/>
      <c r="V292" s="24"/>
      <c r="W292" s="24"/>
      <c r="X292" s="24"/>
      <c r="Y292" s="24"/>
      <c r="Z292" s="24"/>
      <c r="AA292" s="65"/>
      <c r="AT292" s="6" t="s">
        <v>79</v>
      </c>
      <c r="AU292" s="6" t="s">
        <v>80</v>
      </c>
      <c r="AY292" s="6" t="s">
        <v>552</v>
      </c>
      <c r="BK292" s="88">
        <f>SUM($BK$293:$BK$297)</f>
        <v>0</v>
      </c>
    </row>
    <row r="293" spans="2:63" s="6" customFormat="1" ht="23.25" customHeight="1">
      <c r="B293" s="23"/>
      <c r="C293" s="146"/>
      <c r="D293" s="146" t="s">
        <v>158</v>
      </c>
      <c r="E293" s="147"/>
      <c r="F293" s="213"/>
      <c r="G293" s="214"/>
      <c r="H293" s="214"/>
      <c r="I293" s="214"/>
      <c r="J293" s="148"/>
      <c r="K293" s="149"/>
      <c r="L293" s="207"/>
      <c r="M293" s="206"/>
      <c r="N293" s="208">
        <f>$BK$293</f>
        <v>0</v>
      </c>
      <c r="O293" s="206"/>
      <c r="P293" s="206"/>
      <c r="Q293" s="206"/>
      <c r="R293" s="25"/>
      <c r="T293" s="139"/>
      <c r="U293" s="150" t="s">
        <v>45</v>
      </c>
      <c r="V293" s="24"/>
      <c r="W293" s="24"/>
      <c r="X293" s="24"/>
      <c r="Y293" s="24"/>
      <c r="Z293" s="24"/>
      <c r="AA293" s="65"/>
      <c r="AT293" s="6" t="s">
        <v>552</v>
      </c>
      <c r="AU293" s="6" t="s">
        <v>21</v>
      </c>
      <c r="AY293" s="6" t="s">
        <v>552</v>
      </c>
      <c r="BE293" s="88">
        <f>IF($U$293="základní",$N$293,0)</f>
        <v>0</v>
      </c>
      <c r="BF293" s="88">
        <f>IF($U$293="snížená",$N$293,0)</f>
        <v>0</v>
      </c>
      <c r="BG293" s="88">
        <f>IF($U$293="zákl. přenesená",$N$293,0)</f>
        <v>0</v>
      </c>
      <c r="BH293" s="88">
        <f>IF($U$293="sníž. přenesená",$N$293,0)</f>
        <v>0</v>
      </c>
      <c r="BI293" s="88">
        <f>IF($U$293="nulová",$N$293,0)</f>
        <v>0</v>
      </c>
      <c r="BJ293" s="6" t="s">
        <v>21</v>
      </c>
      <c r="BK293" s="88">
        <f>$L$293*$K$293</f>
        <v>0</v>
      </c>
    </row>
    <row r="294" spans="2:63" s="6" customFormat="1" ht="23.25" customHeight="1">
      <c r="B294" s="23"/>
      <c r="C294" s="146"/>
      <c r="D294" s="146" t="s">
        <v>158</v>
      </c>
      <c r="E294" s="147"/>
      <c r="F294" s="213"/>
      <c r="G294" s="214"/>
      <c r="H294" s="214"/>
      <c r="I294" s="214"/>
      <c r="J294" s="148"/>
      <c r="K294" s="149"/>
      <c r="L294" s="207"/>
      <c r="M294" s="206"/>
      <c r="N294" s="208">
        <f>$BK$294</f>
        <v>0</v>
      </c>
      <c r="O294" s="206"/>
      <c r="P294" s="206"/>
      <c r="Q294" s="206"/>
      <c r="R294" s="25"/>
      <c r="T294" s="139"/>
      <c r="U294" s="150" t="s">
        <v>45</v>
      </c>
      <c r="V294" s="24"/>
      <c r="W294" s="24"/>
      <c r="X294" s="24"/>
      <c r="Y294" s="24"/>
      <c r="Z294" s="24"/>
      <c r="AA294" s="65"/>
      <c r="AT294" s="6" t="s">
        <v>552</v>
      </c>
      <c r="AU294" s="6" t="s">
        <v>21</v>
      </c>
      <c r="AY294" s="6" t="s">
        <v>552</v>
      </c>
      <c r="BE294" s="88">
        <f>IF($U$294="základní",$N$294,0)</f>
        <v>0</v>
      </c>
      <c r="BF294" s="88">
        <f>IF($U$294="snížená",$N$294,0)</f>
        <v>0</v>
      </c>
      <c r="BG294" s="88">
        <f>IF($U$294="zákl. přenesená",$N$294,0)</f>
        <v>0</v>
      </c>
      <c r="BH294" s="88">
        <f>IF($U$294="sníž. přenesená",$N$294,0)</f>
        <v>0</v>
      </c>
      <c r="BI294" s="88">
        <f>IF($U$294="nulová",$N$294,0)</f>
        <v>0</v>
      </c>
      <c r="BJ294" s="6" t="s">
        <v>21</v>
      </c>
      <c r="BK294" s="88">
        <f>$L$294*$K$294</f>
        <v>0</v>
      </c>
    </row>
    <row r="295" spans="2:63" s="6" customFormat="1" ht="23.25" customHeight="1">
      <c r="B295" s="23"/>
      <c r="C295" s="146"/>
      <c r="D295" s="146" t="s">
        <v>158</v>
      </c>
      <c r="E295" s="147"/>
      <c r="F295" s="213"/>
      <c r="G295" s="214"/>
      <c r="H295" s="214"/>
      <c r="I295" s="214"/>
      <c r="J295" s="148"/>
      <c r="K295" s="149"/>
      <c r="L295" s="207"/>
      <c r="M295" s="206"/>
      <c r="N295" s="208">
        <f>$BK$295</f>
        <v>0</v>
      </c>
      <c r="O295" s="206"/>
      <c r="P295" s="206"/>
      <c r="Q295" s="206"/>
      <c r="R295" s="25"/>
      <c r="T295" s="139"/>
      <c r="U295" s="150" t="s">
        <v>45</v>
      </c>
      <c r="V295" s="24"/>
      <c r="W295" s="24"/>
      <c r="X295" s="24"/>
      <c r="Y295" s="24"/>
      <c r="Z295" s="24"/>
      <c r="AA295" s="65"/>
      <c r="AT295" s="6" t="s">
        <v>552</v>
      </c>
      <c r="AU295" s="6" t="s">
        <v>21</v>
      </c>
      <c r="AY295" s="6" t="s">
        <v>552</v>
      </c>
      <c r="BE295" s="88">
        <f>IF($U$295="základní",$N$295,0)</f>
        <v>0</v>
      </c>
      <c r="BF295" s="88">
        <f>IF($U$295="snížená",$N$295,0)</f>
        <v>0</v>
      </c>
      <c r="BG295" s="88">
        <f>IF($U$295="zákl. přenesená",$N$295,0)</f>
        <v>0</v>
      </c>
      <c r="BH295" s="88">
        <f>IF($U$295="sníž. přenesená",$N$295,0)</f>
        <v>0</v>
      </c>
      <c r="BI295" s="88">
        <f>IF($U$295="nulová",$N$295,0)</f>
        <v>0</v>
      </c>
      <c r="BJ295" s="6" t="s">
        <v>21</v>
      </c>
      <c r="BK295" s="88">
        <f>$L$295*$K$295</f>
        <v>0</v>
      </c>
    </row>
    <row r="296" spans="2:63" s="6" customFormat="1" ht="23.25" customHeight="1">
      <c r="B296" s="23"/>
      <c r="C296" s="146"/>
      <c r="D296" s="146" t="s">
        <v>158</v>
      </c>
      <c r="E296" s="147"/>
      <c r="F296" s="213"/>
      <c r="G296" s="214"/>
      <c r="H296" s="214"/>
      <c r="I296" s="214"/>
      <c r="J296" s="148"/>
      <c r="K296" s="149"/>
      <c r="L296" s="207"/>
      <c r="M296" s="206"/>
      <c r="N296" s="208">
        <f>$BK$296</f>
        <v>0</v>
      </c>
      <c r="O296" s="206"/>
      <c r="P296" s="206"/>
      <c r="Q296" s="206"/>
      <c r="R296" s="25"/>
      <c r="T296" s="139"/>
      <c r="U296" s="150" t="s">
        <v>45</v>
      </c>
      <c r="V296" s="24"/>
      <c r="W296" s="24"/>
      <c r="X296" s="24"/>
      <c r="Y296" s="24"/>
      <c r="Z296" s="24"/>
      <c r="AA296" s="65"/>
      <c r="AT296" s="6" t="s">
        <v>552</v>
      </c>
      <c r="AU296" s="6" t="s">
        <v>21</v>
      </c>
      <c r="AY296" s="6" t="s">
        <v>552</v>
      </c>
      <c r="BE296" s="88">
        <f>IF($U$296="základní",$N$296,0)</f>
        <v>0</v>
      </c>
      <c r="BF296" s="88">
        <f>IF($U$296="snížená",$N$296,0)</f>
        <v>0</v>
      </c>
      <c r="BG296" s="88">
        <f>IF($U$296="zákl. přenesená",$N$296,0)</f>
        <v>0</v>
      </c>
      <c r="BH296" s="88">
        <f>IF($U$296="sníž. přenesená",$N$296,0)</f>
        <v>0</v>
      </c>
      <c r="BI296" s="88">
        <f>IF($U$296="nulová",$N$296,0)</f>
        <v>0</v>
      </c>
      <c r="BJ296" s="6" t="s">
        <v>21</v>
      </c>
      <c r="BK296" s="88">
        <f>$L$296*$K$296</f>
        <v>0</v>
      </c>
    </row>
    <row r="297" spans="2:63" s="6" customFormat="1" ht="23.25" customHeight="1">
      <c r="B297" s="23"/>
      <c r="C297" s="146"/>
      <c r="D297" s="146" t="s">
        <v>158</v>
      </c>
      <c r="E297" s="147"/>
      <c r="F297" s="213"/>
      <c r="G297" s="214"/>
      <c r="H297" s="214"/>
      <c r="I297" s="214"/>
      <c r="J297" s="148"/>
      <c r="K297" s="149"/>
      <c r="L297" s="207"/>
      <c r="M297" s="206"/>
      <c r="N297" s="208">
        <f>$BK$297</f>
        <v>0</v>
      </c>
      <c r="O297" s="206"/>
      <c r="P297" s="206"/>
      <c r="Q297" s="206"/>
      <c r="R297" s="25"/>
      <c r="T297" s="139"/>
      <c r="U297" s="150" t="s">
        <v>45</v>
      </c>
      <c r="V297" s="43"/>
      <c r="W297" s="43"/>
      <c r="X297" s="43"/>
      <c r="Y297" s="43"/>
      <c r="Z297" s="43"/>
      <c r="AA297" s="45"/>
      <c r="AT297" s="6" t="s">
        <v>552</v>
      </c>
      <c r="AU297" s="6" t="s">
        <v>21</v>
      </c>
      <c r="AY297" s="6" t="s">
        <v>552</v>
      </c>
      <c r="BE297" s="88">
        <f>IF($U$297="základní",$N$297,0)</f>
        <v>0</v>
      </c>
      <c r="BF297" s="88">
        <f>IF($U$297="snížená",$N$297,0)</f>
        <v>0</v>
      </c>
      <c r="BG297" s="88">
        <f>IF($U$297="zákl. přenesená",$N$297,0)</f>
        <v>0</v>
      </c>
      <c r="BH297" s="88">
        <f>IF($U$297="sníž. přenesená",$N$297,0)</f>
        <v>0</v>
      </c>
      <c r="BI297" s="88">
        <f>IF($U$297="nulová",$N$297,0)</f>
        <v>0</v>
      </c>
      <c r="BJ297" s="6" t="s">
        <v>21</v>
      </c>
      <c r="BK297" s="88">
        <f>$L$297*$K$297</f>
        <v>0</v>
      </c>
    </row>
    <row r="298" spans="2:18" s="6" customFormat="1" ht="7.5" customHeight="1">
      <c r="B298" s="46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8"/>
    </row>
    <row r="299" s="2" customFormat="1" ht="14.25" customHeight="1"/>
  </sheetData>
  <sheetProtection password="CC35" sheet="1" objects="1" scenarios="1" formatColumns="0" formatRows="0" sort="0" autoFilter="0"/>
  <mergeCells count="511">
    <mergeCell ref="S2:AC2"/>
    <mergeCell ref="N277:Q277"/>
    <mergeCell ref="N280:Q280"/>
    <mergeCell ref="N282:Q282"/>
    <mergeCell ref="N290:Q290"/>
    <mergeCell ref="N292:Q292"/>
    <mergeCell ref="H1:K1"/>
    <mergeCell ref="N232:Q232"/>
    <mergeCell ref="N238:Q238"/>
    <mergeCell ref="N244:Q244"/>
    <mergeCell ref="N265:Q265"/>
    <mergeCell ref="N269:Q269"/>
    <mergeCell ref="N272:Q272"/>
    <mergeCell ref="N191:Q191"/>
    <mergeCell ref="N196:Q196"/>
    <mergeCell ref="N209:Q209"/>
    <mergeCell ref="N220:Q220"/>
    <mergeCell ref="N225:Q225"/>
    <mergeCell ref="N227:Q227"/>
    <mergeCell ref="N138:Q138"/>
    <mergeCell ref="N139:Q139"/>
    <mergeCell ref="N140:Q140"/>
    <mergeCell ref="N142:Q142"/>
    <mergeCell ref="N157:Q157"/>
    <mergeCell ref="N169:Q169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291:I291"/>
    <mergeCell ref="L291:M291"/>
    <mergeCell ref="N291:Q291"/>
    <mergeCell ref="F293:I293"/>
    <mergeCell ref="L293:M293"/>
    <mergeCell ref="N293:Q293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1:I281"/>
    <mergeCell ref="L281:M281"/>
    <mergeCell ref="N281:Q281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6:I276"/>
    <mergeCell ref="L276:M276"/>
    <mergeCell ref="N276:Q276"/>
    <mergeCell ref="N275:Q275"/>
    <mergeCell ref="F271:I271"/>
    <mergeCell ref="L271:M271"/>
    <mergeCell ref="N271:Q271"/>
    <mergeCell ref="F273:I273"/>
    <mergeCell ref="L273:M273"/>
    <mergeCell ref="N273:Q273"/>
    <mergeCell ref="F268:I268"/>
    <mergeCell ref="L268:M268"/>
    <mergeCell ref="N268:Q268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5:I255"/>
    <mergeCell ref="L255:M255"/>
    <mergeCell ref="N255:Q255"/>
    <mergeCell ref="F256:I256"/>
    <mergeCell ref="L256:M256"/>
    <mergeCell ref="N256:Q256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9:I229"/>
    <mergeCell ref="L229:M229"/>
    <mergeCell ref="N229:Q229"/>
    <mergeCell ref="N228:Q228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8:I178"/>
    <mergeCell ref="L178:M178"/>
    <mergeCell ref="N178:Q178"/>
    <mergeCell ref="F180:I180"/>
    <mergeCell ref="L180:M180"/>
    <mergeCell ref="N180:Q180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3:I143"/>
    <mergeCell ref="L143:M143"/>
    <mergeCell ref="N143:Q143"/>
    <mergeCell ref="C128:Q128"/>
    <mergeCell ref="F130:P130"/>
    <mergeCell ref="M132:P132"/>
    <mergeCell ref="M134:Q134"/>
    <mergeCell ref="M135:Q135"/>
    <mergeCell ref="F137:I137"/>
    <mergeCell ref="L137:M137"/>
    <mergeCell ref="N137:Q137"/>
    <mergeCell ref="D118:H118"/>
    <mergeCell ref="N118:Q118"/>
    <mergeCell ref="D119:H119"/>
    <mergeCell ref="N119:Q119"/>
    <mergeCell ref="N120:Q120"/>
    <mergeCell ref="L122:Q122"/>
    <mergeCell ref="N114:Q114"/>
    <mergeCell ref="D115:H115"/>
    <mergeCell ref="N115:Q115"/>
    <mergeCell ref="D116:H116"/>
    <mergeCell ref="N116:Q116"/>
    <mergeCell ref="D117:H117"/>
    <mergeCell ref="N117:Q117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93:D298">
      <formula1>"K,M"</formula1>
    </dataValidation>
    <dataValidation type="list" allowBlank="1" showInputMessage="1" showErrorMessage="1" error="Povoleny jsou hodnoty základní, snížená, zákl. přenesená, sníž. přenesená, nulová." sqref="U293:U29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Tucek Petr</cp:lastModifiedBy>
  <dcterms:modified xsi:type="dcterms:W3CDTF">2016-03-10T16:14:49Z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