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/>
  <xr:revisionPtr revIDLastSave="0" documentId="11_C87B81BF1FACFC352A4C7B34BF4B1D9A9EE7F32A" xr6:coauthVersionLast="47" xr6:coauthVersionMax="47" xr10:uidLastSave="{00000000-0000-0000-0000-000000000000}"/>
  <bookViews>
    <workbookView xWindow="23340" yWindow="0" windowWidth="24585" windowHeight="18090" xr2:uid="{00000000-000D-0000-FFFF-FFFF00000000}"/>
  </bookViews>
  <sheets>
    <sheet name="Rekapitulace stavby" sheetId="1" r:id="rId1"/>
    <sheet name="SO 301 - KANALIZACE" sheetId="2" r:id="rId2"/>
    <sheet name="SO 302 - VODOVOD" sheetId="3" r:id="rId3"/>
    <sheet name="VRN - Vedlejší rozpočtové..." sheetId="4" r:id="rId4"/>
    <sheet name="KUBATUROVÉ LISTY_KANALIZACE_1" sheetId="5" r:id="rId5"/>
    <sheet name="KUBATUROVÉ LISTY_KANALIZACE_2" sheetId="7" r:id="rId6"/>
    <sheet name="KUBATUROVÉ LISTY_VODOVOD_1" sheetId="6" r:id="rId7"/>
    <sheet name="KUBATUROVÉ LISTY_VODOVOD_2" sheetId="8" r:id="rId8"/>
  </sheets>
  <definedNames>
    <definedName name="_xlnm._FilterDatabase" localSheetId="1" hidden="1">'SO 301 - KANALIZACE'!$C$124:$K$294</definedName>
    <definedName name="_xlnm._FilterDatabase" localSheetId="2" hidden="1">'SO 302 - VODOVOD'!$C$126:$K$329</definedName>
    <definedName name="_xlnm._FilterDatabase" localSheetId="3" hidden="1">'VRN - Vedlejší rozpočtové...'!$C$119:$K$157</definedName>
    <definedName name="_xlnm.Print_Titles" localSheetId="0">'Rekapitulace stavby'!$92:$92</definedName>
    <definedName name="_xlnm.Print_Titles" localSheetId="1">'SO 301 - KANALIZACE'!$124:$124</definedName>
    <definedName name="_xlnm.Print_Titles" localSheetId="2">'SO 302 - VODOVOD'!$126:$126</definedName>
    <definedName name="_xlnm.Print_Titles" localSheetId="3">'VRN - Vedlejší rozpočtové...'!$119:$119</definedName>
    <definedName name="_xlnm.Print_Area" localSheetId="0">'Rekapitulace stavby'!$D$4:$AO$76,'Rekapitulace stavby'!$C$82:$AQ$98</definedName>
    <definedName name="_xlnm.Print_Area" localSheetId="1">'SO 301 - KANALIZACE'!$C$4:$J$39,'SO 301 - KANALIZACE'!$C$49:$J$75,'SO 301 - KANALIZACE'!$C$81:$J$106,'SO 301 - KANALIZACE'!$C$112:$K$294</definedName>
    <definedName name="_xlnm.Print_Area" localSheetId="2">'SO 302 - VODOVOD'!$C$4:$J$39,'SO 302 - VODOVOD'!$C$49:$J$75,'SO 302 - VODOVOD'!$C$81:$J$108,'SO 302 - VODOVOD'!$C$114:$K$329</definedName>
    <definedName name="_xlnm.Print_Area" localSheetId="3">'VRN - Vedlejší rozpočtové...'!$C$4:$J$39,'VRN - Vedlejší rozpočtové...'!$C$49:$J$75,'VRN - Vedlejší rozpočtové...'!$C$81:$J$101,'VRN - Vedlejší rozpočtové...'!$C$107:$K$157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8" l="1"/>
  <c r="C32" i="8"/>
  <c r="C31" i="8"/>
  <c r="C30" i="8"/>
  <c r="C34" i="8" s="1"/>
  <c r="L20" i="8"/>
  <c r="G20" i="8"/>
  <c r="E20" i="8"/>
  <c r="M20" i="8" s="1"/>
  <c r="D20" i="8"/>
  <c r="B20" i="8"/>
  <c r="E18" i="8"/>
  <c r="K18" i="8" s="1"/>
  <c r="D18" i="8"/>
  <c r="B18" i="8"/>
  <c r="L16" i="8"/>
  <c r="G16" i="8"/>
  <c r="E16" i="8"/>
  <c r="M16" i="8" s="1"/>
  <c r="D16" i="8"/>
  <c r="B16" i="8"/>
  <c r="E14" i="8"/>
  <c r="K14" i="8" s="1"/>
  <c r="D14" i="8"/>
  <c r="B14" i="8"/>
  <c r="L12" i="8"/>
  <c r="G12" i="8"/>
  <c r="E12" i="8"/>
  <c r="M12" i="8" s="1"/>
  <c r="D12" i="8"/>
  <c r="B12" i="8"/>
  <c r="E10" i="8"/>
  <c r="K10" i="8" s="1"/>
  <c r="D10" i="8"/>
  <c r="B10" i="8"/>
  <c r="C50" i="6"/>
  <c r="C49" i="6"/>
  <c r="C48" i="6"/>
  <c r="C47" i="6"/>
  <c r="C51" i="6" s="1"/>
  <c r="E32" i="6"/>
  <c r="M32" i="6" s="1"/>
  <c r="D32" i="6"/>
  <c r="B32" i="6"/>
  <c r="E30" i="6"/>
  <c r="K30" i="6" s="1"/>
  <c r="D30" i="6"/>
  <c r="B30" i="6"/>
  <c r="E28" i="6"/>
  <c r="M28" i="6" s="1"/>
  <c r="D28" i="6"/>
  <c r="B28" i="6"/>
  <c r="E26" i="6"/>
  <c r="K26" i="6" s="1"/>
  <c r="D26" i="6"/>
  <c r="B26" i="6"/>
  <c r="E24" i="6"/>
  <c r="M24" i="6" s="1"/>
  <c r="D24" i="6"/>
  <c r="B24" i="6"/>
  <c r="E22" i="6"/>
  <c r="K22" i="6" s="1"/>
  <c r="D22" i="6"/>
  <c r="B22" i="6"/>
  <c r="E20" i="6"/>
  <c r="M20" i="6" s="1"/>
  <c r="D20" i="6"/>
  <c r="B20" i="6"/>
  <c r="E18" i="6"/>
  <c r="K18" i="6" s="1"/>
  <c r="D18" i="6"/>
  <c r="B18" i="6"/>
  <c r="E16" i="6"/>
  <c r="M16" i="6" s="1"/>
  <c r="D16" i="6"/>
  <c r="B16" i="6"/>
  <c r="E14" i="6"/>
  <c r="K14" i="6" s="1"/>
  <c r="D14" i="6"/>
  <c r="B14" i="6"/>
  <c r="E12" i="6"/>
  <c r="M12" i="6" s="1"/>
  <c r="D12" i="6"/>
  <c r="B12" i="6"/>
  <c r="E10" i="6"/>
  <c r="K10" i="6" s="1"/>
  <c r="D10" i="6"/>
  <c r="B10" i="6"/>
  <c r="J14" i="8" l="1"/>
  <c r="J18" i="8"/>
  <c r="H10" i="8"/>
  <c r="M10" i="8"/>
  <c r="F12" i="8"/>
  <c r="K12" i="8"/>
  <c r="H14" i="8"/>
  <c r="M14" i="8"/>
  <c r="F16" i="8"/>
  <c r="K16" i="8"/>
  <c r="H18" i="8"/>
  <c r="M18" i="8"/>
  <c r="F20" i="8"/>
  <c r="K20" i="8"/>
  <c r="K23" i="8" s="1"/>
  <c r="J10" i="8"/>
  <c r="J23" i="8" s="1"/>
  <c r="G10" i="8"/>
  <c r="L10" i="8"/>
  <c r="J12" i="8"/>
  <c r="G14" i="8"/>
  <c r="L14" i="8"/>
  <c r="J16" i="8"/>
  <c r="G18" i="8"/>
  <c r="L18" i="8"/>
  <c r="J20" i="8"/>
  <c r="F10" i="8"/>
  <c r="H12" i="8"/>
  <c r="F14" i="8"/>
  <c r="H16" i="8"/>
  <c r="F18" i="8"/>
  <c r="H20" i="8"/>
  <c r="J10" i="6"/>
  <c r="G12" i="6"/>
  <c r="L12" i="6"/>
  <c r="J14" i="6"/>
  <c r="G16" i="6"/>
  <c r="L16" i="6"/>
  <c r="J18" i="6"/>
  <c r="G20" i="6"/>
  <c r="L20" i="6"/>
  <c r="J22" i="6"/>
  <c r="G24" i="6"/>
  <c r="L24" i="6"/>
  <c r="J26" i="6"/>
  <c r="G28" i="6"/>
  <c r="L28" i="6"/>
  <c r="J30" i="6"/>
  <c r="G32" i="6"/>
  <c r="L32" i="6"/>
  <c r="H10" i="6"/>
  <c r="M10" i="6"/>
  <c r="F12" i="6"/>
  <c r="K12" i="6"/>
  <c r="K36" i="6" s="1"/>
  <c r="H14" i="6"/>
  <c r="M14" i="6"/>
  <c r="F16" i="6"/>
  <c r="K16" i="6"/>
  <c r="H18" i="6"/>
  <c r="M18" i="6"/>
  <c r="F20" i="6"/>
  <c r="K20" i="6"/>
  <c r="H22" i="6"/>
  <c r="M22" i="6"/>
  <c r="F24" i="6"/>
  <c r="K24" i="6"/>
  <c r="H26" i="6"/>
  <c r="M26" i="6"/>
  <c r="F28" i="6"/>
  <c r="K28" i="6"/>
  <c r="H30" i="6"/>
  <c r="M30" i="6"/>
  <c r="F32" i="6"/>
  <c r="K32" i="6"/>
  <c r="G10" i="6"/>
  <c r="L10" i="6"/>
  <c r="J12" i="6"/>
  <c r="G14" i="6"/>
  <c r="L14" i="6"/>
  <c r="J16" i="6"/>
  <c r="G18" i="6"/>
  <c r="L18" i="6"/>
  <c r="J20" i="6"/>
  <c r="G22" i="6"/>
  <c r="L22" i="6"/>
  <c r="J24" i="6"/>
  <c r="G26" i="6"/>
  <c r="L26" i="6"/>
  <c r="J28" i="6"/>
  <c r="G30" i="6"/>
  <c r="L30" i="6"/>
  <c r="J32" i="6"/>
  <c r="F10" i="6"/>
  <c r="H12" i="6"/>
  <c r="F14" i="6"/>
  <c r="H16" i="6"/>
  <c r="F18" i="6"/>
  <c r="H20" i="6"/>
  <c r="F22" i="6"/>
  <c r="H24" i="6"/>
  <c r="F26" i="6"/>
  <c r="H28" i="6"/>
  <c r="F30" i="6"/>
  <c r="H32" i="6"/>
  <c r="H23" i="8" l="1"/>
  <c r="H25" i="8" s="1"/>
  <c r="G23" i="8"/>
  <c r="G25" i="8" s="1"/>
  <c r="M23" i="8"/>
  <c r="F23" i="8"/>
  <c r="F25" i="8" s="1"/>
  <c r="L23" i="8"/>
  <c r="M26" i="8" s="1"/>
  <c r="G36" i="6"/>
  <c r="G38" i="6" s="1"/>
  <c r="H36" i="6"/>
  <c r="H38" i="6" s="1"/>
  <c r="L36" i="6"/>
  <c r="M36" i="6"/>
  <c r="F36" i="6"/>
  <c r="F38" i="6" s="1"/>
  <c r="J36" i="6"/>
  <c r="C36" i="8" l="1"/>
  <c r="C37" i="8"/>
  <c r="M39" i="6"/>
  <c r="C53" i="6" l="1"/>
  <c r="C54" i="6"/>
  <c r="E34" i="7"/>
  <c r="E33" i="7"/>
  <c r="E32" i="7"/>
  <c r="E31" i="7"/>
  <c r="E30" i="7"/>
  <c r="E29" i="7"/>
  <c r="E28" i="7"/>
  <c r="E27" i="7"/>
  <c r="E26" i="7"/>
  <c r="N25" i="7"/>
  <c r="E25" i="7"/>
  <c r="N24" i="7"/>
  <c r="E24" i="7"/>
  <c r="N23" i="7"/>
  <c r="E23" i="7"/>
  <c r="N22" i="7"/>
  <c r="N36" i="7" s="1"/>
  <c r="J22" i="7"/>
  <c r="J36" i="7" s="1"/>
  <c r="H22" i="7"/>
  <c r="E22" i="7"/>
  <c r="E36" i="7" s="1"/>
  <c r="E12" i="7"/>
  <c r="K12" i="7" s="1"/>
  <c r="D12" i="7"/>
  <c r="B12" i="7"/>
  <c r="E10" i="7"/>
  <c r="M10" i="7" s="1"/>
  <c r="D10" i="7"/>
  <c r="B10" i="7"/>
  <c r="E59" i="5"/>
  <c r="E58" i="5"/>
  <c r="E57" i="5"/>
  <c r="E56" i="5"/>
  <c r="E55" i="5"/>
  <c r="E54" i="5"/>
  <c r="E53" i="5"/>
  <c r="E52" i="5"/>
  <c r="E51" i="5"/>
  <c r="N50" i="5"/>
  <c r="E50" i="5"/>
  <c r="N49" i="5"/>
  <c r="E49" i="5"/>
  <c r="E61" i="5" s="1"/>
  <c r="N48" i="5"/>
  <c r="E48" i="5"/>
  <c r="N47" i="5"/>
  <c r="N61" i="5" s="1"/>
  <c r="J47" i="5"/>
  <c r="J61" i="5" s="1"/>
  <c r="H47" i="5"/>
  <c r="E47" i="5"/>
  <c r="D32" i="5"/>
  <c r="E32" i="5" s="1"/>
  <c r="B32" i="5"/>
  <c r="E30" i="5"/>
  <c r="G30" i="5" s="1"/>
  <c r="M30" i="5" s="1"/>
  <c r="D30" i="5"/>
  <c r="B30" i="5"/>
  <c r="D28" i="5"/>
  <c r="E28" i="5" s="1"/>
  <c r="B28" i="5"/>
  <c r="E26" i="5"/>
  <c r="L26" i="5" s="1"/>
  <c r="D26" i="5"/>
  <c r="B26" i="5"/>
  <c r="D24" i="5"/>
  <c r="E24" i="5" s="1"/>
  <c r="B24" i="5"/>
  <c r="E22" i="5"/>
  <c r="L22" i="5" s="1"/>
  <c r="D22" i="5"/>
  <c r="B22" i="5"/>
  <c r="D20" i="5"/>
  <c r="E20" i="5" s="1"/>
  <c r="B20" i="5"/>
  <c r="E18" i="5"/>
  <c r="G18" i="5" s="1"/>
  <c r="M18" i="5" s="1"/>
  <c r="D18" i="5"/>
  <c r="B18" i="5"/>
  <c r="D16" i="5"/>
  <c r="E16" i="5" s="1"/>
  <c r="B16" i="5"/>
  <c r="E14" i="5"/>
  <c r="L14" i="5" s="1"/>
  <c r="D14" i="5"/>
  <c r="B14" i="5"/>
  <c r="D12" i="5"/>
  <c r="E12" i="5" s="1"/>
  <c r="B12" i="5"/>
  <c r="E10" i="5"/>
  <c r="L10" i="5" s="1"/>
  <c r="D10" i="5"/>
  <c r="B10" i="5"/>
  <c r="G10" i="7" l="1"/>
  <c r="G14" i="7" s="1"/>
  <c r="G15" i="7" s="1"/>
  <c r="L10" i="7"/>
  <c r="J12" i="7"/>
  <c r="F10" i="7"/>
  <c r="K10" i="7"/>
  <c r="K14" i="7" s="1"/>
  <c r="H12" i="7"/>
  <c r="M12" i="7"/>
  <c r="M14" i="7" s="1"/>
  <c r="J10" i="7"/>
  <c r="G12" i="7"/>
  <c r="L12" i="7"/>
  <c r="H10" i="7"/>
  <c r="H14" i="7" s="1"/>
  <c r="H15" i="7" s="1"/>
  <c r="F12" i="7"/>
  <c r="J16" i="5"/>
  <c r="K16" i="5"/>
  <c r="F16" i="5"/>
  <c r="G16" i="5"/>
  <c r="M16" i="5" s="1"/>
  <c r="J32" i="5"/>
  <c r="K32" i="5"/>
  <c r="F32" i="5"/>
  <c r="G32" i="5"/>
  <c r="M32" i="5" s="1"/>
  <c r="J12" i="5"/>
  <c r="K12" i="5"/>
  <c r="F12" i="5"/>
  <c r="L12" i="5"/>
  <c r="G12" i="5"/>
  <c r="M12" i="5"/>
  <c r="H12" i="5"/>
  <c r="J28" i="5"/>
  <c r="K28" i="5"/>
  <c r="F28" i="5"/>
  <c r="L28" i="5"/>
  <c r="G28" i="5"/>
  <c r="M28" i="5"/>
  <c r="H28" i="5"/>
  <c r="J24" i="5"/>
  <c r="K24" i="5"/>
  <c r="F24" i="5"/>
  <c r="L24" i="5"/>
  <c r="G24" i="5"/>
  <c r="M24" i="5"/>
  <c r="H24" i="5"/>
  <c r="J20" i="5"/>
  <c r="K20" i="5"/>
  <c r="F20" i="5"/>
  <c r="L20" i="5"/>
  <c r="G20" i="5"/>
  <c r="M20" i="5"/>
  <c r="H20" i="5"/>
  <c r="F10" i="5"/>
  <c r="K10" i="5"/>
  <c r="F14" i="5"/>
  <c r="K14" i="5"/>
  <c r="F18" i="5"/>
  <c r="K18" i="5"/>
  <c r="F22" i="5"/>
  <c r="K22" i="5"/>
  <c r="F26" i="5"/>
  <c r="K26" i="5"/>
  <c r="F30" i="5"/>
  <c r="K30" i="5"/>
  <c r="J10" i="5"/>
  <c r="J14" i="5"/>
  <c r="J18" i="5"/>
  <c r="J22" i="5"/>
  <c r="J26" i="5"/>
  <c r="J30" i="5"/>
  <c r="H10" i="5"/>
  <c r="M10" i="5"/>
  <c r="H14" i="5"/>
  <c r="M14" i="5"/>
  <c r="H22" i="5"/>
  <c r="M22" i="5"/>
  <c r="H26" i="5"/>
  <c r="M26" i="5"/>
  <c r="G10" i="5"/>
  <c r="G34" i="5" s="1"/>
  <c r="G35" i="5" s="1"/>
  <c r="G14" i="5"/>
  <c r="G22" i="5"/>
  <c r="G26" i="5"/>
  <c r="J14" i="7" l="1"/>
  <c r="M15" i="7" s="1"/>
  <c r="F14" i="7"/>
  <c r="F15" i="7" s="1"/>
  <c r="H16" i="7" s="1"/>
  <c r="L14" i="7"/>
  <c r="L34" i="5"/>
  <c r="L30" i="5"/>
  <c r="H30" i="5"/>
  <c r="H34" i="5"/>
  <c r="H35" i="5" s="1"/>
  <c r="M34" i="5"/>
  <c r="L18" i="5"/>
  <c r="H18" i="5"/>
  <c r="L32" i="5"/>
  <c r="H32" i="5"/>
  <c r="L16" i="5"/>
  <c r="H16" i="5"/>
  <c r="J34" i="5"/>
  <c r="F34" i="5"/>
  <c r="F35" i="5" s="1"/>
  <c r="K34" i="5"/>
  <c r="C38" i="7" l="1"/>
  <c r="C39" i="7"/>
  <c r="M35" i="5"/>
  <c r="H36" i="5"/>
  <c r="C63" i="5" l="1"/>
  <c r="C64" i="5"/>
  <c r="J37" i="4" l="1"/>
  <c r="J36" i="4"/>
  <c r="AY97" i="1" s="1"/>
  <c r="J35" i="4"/>
  <c r="AX97" i="1" s="1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7" i="4"/>
  <c r="BH147" i="4"/>
  <c r="BG147" i="4"/>
  <c r="BF147" i="4"/>
  <c r="T147" i="4"/>
  <c r="T146" i="4"/>
  <c r="R147" i="4"/>
  <c r="R146" i="4"/>
  <c r="P147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J117" i="4"/>
  <c r="J116" i="4"/>
  <c r="F116" i="4"/>
  <c r="F114" i="4"/>
  <c r="E112" i="4"/>
  <c r="J91" i="4"/>
  <c r="J90" i="4"/>
  <c r="F90" i="4"/>
  <c r="F88" i="4"/>
  <c r="E86" i="4"/>
  <c r="J18" i="4"/>
  <c r="E18" i="4"/>
  <c r="F117" i="4" s="1"/>
  <c r="J17" i="4"/>
  <c r="J12" i="4"/>
  <c r="J88" i="4" s="1"/>
  <c r="E7" i="4"/>
  <c r="E84" i="4"/>
  <c r="J37" i="3"/>
  <c r="J36" i="3"/>
  <c r="AY96" i="1"/>
  <c r="J35" i="3"/>
  <c r="AX96" i="1"/>
  <c r="BI328" i="3"/>
  <c r="BH328" i="3"/>
  <c r="BG328" i="3"/>
  <c r="BF328" i="3"/>
  <c r="T328" i="3"/>
  <c r="T327" i="3"/>
  <c r="R328" i="3"/>
  <c r="R327" i="3" s="1"/>
  <c r="P328" i="3"/>
  <c r="P327" i="3"/>
  <c r="BI325" i="3"/>
  <c r="BH325" i="3"/>
  <c r="BG325" i="3"/>
  <c r="BF325" i="3"/>
  <c r="T325" i="3"/>
  <c r="R325" i="3"/>
  <c r="P325" i="3"/>
  <c r="BI323" i="3"/>
  <c r="BH323" i="3"/>
  <c r="BG323" i="3"/>
  <c r="BF323" i="3"/>
  <c r="T323" i="3"/>
  <c r="R323" i="3"/>
  <c r="P323" i="3"/>
  <c r="BI320" i="3"/>
  <c r="BH320" i="3"/>
  <c r="BG320" i="3"/>
  <c r="BF320" i="3"/>
  <c r="T320" i="3"/>
  <c r="T319" i="3" s="1"/>
  <c r="R320" i="3"/>
  <c r="R319" i="3" s="1"/>
  <c r="P320" i="3"/>
  <c r="P319" i="3" s="1"/>
  <c r="BI315" i="3"/>
  <c r="BH315" i="3"/>
  <c r="BG315" i="3"/>
  <c r="BF315" i="3"/>
  <c r="T315" i="3"/>
  <c r="T314" i="3"/>
  <c r="R315" i="3"/>
  <c r="R314" i="3"/>
  <c r="P315" i="3"/>
  <c r="P314" i="3"/>
  <c r="BI312" i="3"/>
  <c r="BH312" i="3"/>
  <c r="BG312" i="3"/>
  <c r="BF312" i="3"/>
  <c r="T312" i="3"/>
  <c r="R312" i="3"/>
  <c r="P312" i="3"/>
  <c r="BI310" i="3"/>
  <c r="BH310" i="3"/>
  <c r="BG310" i="3"/>
  <c r="BF310" i="3"/>
  <c r="T310" i="3"/>
  <c r="R310" i="3"/>
  <c r="P310" i="3"/>
  <c r="BI306" i="3"/>
  <c r="BH306" i="3"/>
  <c r="BG306" i="3"/>
  <c r="BF306" i="3"/>
  <c r="T306" i="3"/>
  <c r="R306" i="3"/>
  <c r="P306" i="3"/>
  <c r="BI303" i="3"/>
  <c r="BH303" i="3"/>
  <c r="BG303" i="3"/>
  <c r="BF303" i="3"/>
  <c r="T303" i="3"/>
  <c r="R303" i="3"/>
  <c r="P303" i="3"/>
  <c r="BI301" i="3"/>
  <c r="BH301" i="3"/>
  <c r="BG301" i="3"/>
  <c r="BF301" i="3"/>
  <c r="T301" i="3"/>
  <c r="R301" i="3"/>
  <c r="P301" i="3"/>
  <c r="BI298" i="3"/>
  <c r="BH298" i="3"/>
  <c r="BG298" i="3"/>
  <c r="BF298" i="3"/>
  <c r="T298" i="3"/>
  <c r="R298" i="3"/>
  <c r="P298" i="3"/>
  <c r="BI296" i="3"/>
  <c r="BH296" i="3"/>
  <c r="BG296" i="3"/>
  <c r="BF296" i="3"/>
  <c r="T296" i="3"/>
  <c r="R296" i="3"/>
  <c r="P296" i="3"/>
  <c r="BI293" i="3"/>
  <c r="BH293" i="3"/>
  <c r="BG293" i="3"/>
  <c r="BF293" i="3"/>
  <c r="T293" i="3"/>
  <c r="R293" i="3"/>
  <c r="P293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5" i="3"/>
  <c r="BH285" i="3"/>
  <c r="BG285" i="3"/>
  <c r="BF285" i="3"/>
  <c r="T285" i="3"/>
  <c r="R285" i="3"/>
  <c r="P285" i="3"/>
  <c r="BI283" i="3"/>
  <c r="BH283" i="3"/>
  <c r="BG283" i="3"/>
  <c r="BF283" i="3"/>
  <c r="T283" i="3"/>
  <c r="R283" i="3"/>
  <c r="P283" i="3"/>
  <c r="BI281" i="3"/>
  <c r="BH281" i="3"/>
  <c r="BG281" i="3"/>
  <c r="BF281" i="3"/>
  <c r="T281" i="3"/>
  <c r="R281" i="3"/>
  <c r="P281" i="3"/>
  <c r="BI279" i="3"/>
  <c r="BH279" i="3"/>
  <c r="BG279" i="3"/>
  <c r="BF279" i="3"/>
  <c r="T279" i="3"/>
  <c r="R279" i="3"/>
  <c r="P279" i="3"/>
  <c r="BI277" i="3"/>
  <c r="BH277" i="3"/>
  <c r="BG277" i="3"/>
  <c r="BF277" i="3"/>
  <c r="T277" i="3"/>
  <c r="R277" i="3"/>
  <c r="P277" i="3"/>
  <c r="BI275" i="3"/>
  <c r="BH275" i="3"/>
  <c r="BG275" i="3"/>
  <c r="BF275" i="3"/>
  <c r="T275" i="3"/>
  <c r="R275" i="3"/>
  <c r="P275" i="3"/>
  <c r="BI273" i="3"/>
  <c r="BH273" i="3"/>
  <c r="BG273" i="3"/>
  <c r="BF273" i="3"/>
  <c r="T273" i="3"/>
  <c r="R273" i="3"/>
  <c r="P273" i="3"/>
  <c r="BI271" i="3"/>
  <c r="BH271" i="3"/>
  <c r="BG271" i="3"/>
  <c r="BF271" i="3"/>
  <c r="T271" i="3"/>
  <c r="R271" i="3"/>
  <c r="P271" i="3"/>
  <c r="BI269" i="3"/>
  <c r="BH269" i="3"/>
  <c r="BG269" i="3"/>
  <c r="BF269" i="3"/>
  <c r="T269" i="3"/>
  <c r="R269" i="3"/>
  <c r="P269" i="3"/>
  <c r="BI267" i="3"/>
  <c r="BH267" i="3"/>
  <c r="BG267" i="3"/>
  <c r="BF267" i="3"/>
  <c r="T267" i="3"/>
  <c r="R267" i="3"/>
  <c r="P267" i="3"/>
  <c r="BI265" i="3"/>
  <c r="BH265" i="3"/>
  <c r="BG265" i="3"/>
  <c r="BF265" i="3"/>
  <c r="T265" i="3"/>
  <c r="R265" i="3"/>
  <c r="P265" i="3"/>
  <c r="BI263" i="3"/>
  <c r="BH263" i="3"/>
  <c r="BG263" i="3"/>
  <c r="BF263" i="3"/>
  <c r="T263" i="3"/>
  <c r="R263" i="3"/>
  <c r="P263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4" i="3"/>
  <c r="BH154" i="3"/>
  <c r="BG154" i="3"/>
  <c r="BF154" i="3"/>
  <c r="T154" i="3"/>
  <c r="R154" i="3"/>
  <c r="P154" i="3"/>
  <c r="BI149" i="3"/>
  <c r="BH149" i="3"/>
  <c r="BG149" i="3"/>
  <c r="BF149" i="3"/>
  <c r="T149" i="3"/>
  <c r="R149" i="3"/>
  <c r="P149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J124" i="3"/>
  <c r="J123" i="3"/>
  <c r="F123" i="3"/>
  <c r="F121" i="3"/>
  <c r="E119" i="3"/>
  <c r="J91" i="3"/>
  <c r="J90" i="3"/>
  <c r="F90" i="3"/>
  <c r="F88" i="3"/>
  <c r="E86" i="3"/>
  <c r="J18" i="3"/>
  <c r="E18" i="3"/>
  <c r="F91" i="3"/>
  <c r="J17" i="3"/>
  <c r="J12" i="3"/>
  <c r="J88" i="3" s="1"/>
  <c r="E7" i="3"/>
  <c r="E117" i="3" s="1"/>
  <c r="J37" i="2"/>
  <c r="J36" i="2"/>
  <c r="AY95" i="1"/>
  <c r="J35" i="2"/>
  <c r="AX95" i="1"/>
  <c r="BI294" i="2"/>
  <c r="BH294" i="2"/>
  <c r="BG294" i="2"/>
  <c r="BF294" i="2"/>
  <c r="T294" i="2"/>
  <c r="T293" i="2"/>
  <c r="R294" i="2"/>
  <c r="R293" i="2"/>
  <c r="P294" i="2"/>
  <c r="P293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T185" i="2" s="1"/>
  <c r="R186" i="2"/>
  <c r="R185" i="2" s="1"/>
  <c r="P186" i="2"/>
  <c r="P185" i="2" s="1"/>
  <c r="BI183" i="2"/>
  <c r="BH183" i="2"/>
  <c r="BG183" i="2"/>
  <c r="BF183" i="2"/>
  <c r="T183" i="2"/>
  <c r="R183" i="2"/>
  <c r="P183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2" i="2"/>
  <c r="BH152" i="2"/>
  <c r="BG152" i="2"/>
  <c r="BF152" i="2"/>
  <c r="T152" i="2"/>
  <c r="R152" i="2"/>
  <c r="P152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1" i="2"/>
  <c r="J90" i="2"/>
  <c r="F90" i="2"/>
  <c r="F88" i="2"/>
  <c r="E86" i="2"/>
  <c r="J18" i="2"/>
  <c r="E18" i="2"/>
  <c r="F122" i="2"/>
  <c r="J17" i="2"/>
  <c r="J12" i="2"/>
  <c r="J88" i="2" s="1"/>
  <c r="E7" i="2"/>
  <c r="E115" i="2" s="1"/>
  <c r="L90" i="1"/>
  <c r="AM90" i="1"/>
  <c r="AM89" i="1"/>
  <c r="L89" i="1"/>
  <c r="AM87" i="1"/>
  <c r="L87" i="1"/>
  <c r="L85" i="1"/>
  <c r="L84" i="1"/>
  <c r="J262" i="2"/>
  <c r="BK260" i="2"/>
  <c r="BK246" i="2"/>
  <c r="BK236" i="2"/>
  <c r="J213" i="2"/>
  <c r="J198" i="2"/>
  <c r="BK189" i="2"/>
  <c r="J178" i="2"/>
  <c r="J174" i="2"/>
  <c r="J168" i="2"/>
  <c r="J132" i="2"/>
  <c r="J286" i="2"/>
  <c r="J280" i="2"/>
  <c r="J209" i="2"/>
  <c r="J189" i="2"/>
  <c r="J183" i="2"/>
  <c r="J160" i="2"/>
  <c r="BK136" i="2"/>
  <c r="BK128" i="2"/>
  <c r="J270" i="2"/>
  <c r="J264" i="2"/>
  <c r="J258" i="2"/>
  <c r="BK244" i="2"/>
  <c r="BK224" i="2"/>
  <c r="J216" i="2"/>
  <c r="BK205" i="2"/>
  <c r="J166" i="2"/>
  <c r="BK142" i="2"/>
  <c r="J291" i="2"/>
  <c r="BK284" i="2"/>
  <c r="BK272" i="2"/>
  <c r="BK258" i="2"/>
  <c r="J250" i="2"/>
  <c r="BK240" i="2"/>
  <c r="BK228" i="2"/>
  <c r="J218" i="2"/>
  <c r="BK207" i="2"/>
  <c r="J196" i="2"/>
  <c r="BK160" i="2"/>
  <c r="BK140" i="2"/>
  <c r="J323" i="3"/>
  <c r="J315" i="3"/>
  <c r="J296" i="3"/>
  <c r="BK281" i="3"/>
  <c r="J275" i="3"/>
  <c r="BK261" i="3"/>
  <c r="J243" i="3"/>
  <c r="BK217" i="3"/>
  <c r="BK199" i="3"/>
  <c r="BK169" i="3"/>
  <c r="BK159" i="3"/>
  <c r="J328" i="3"/>
  <c r="J312" i="3"/>
  <c r="BK296" i="3"/>
  <c r="BK285" i="3"/>
  <c r="J259" i="3"/>
  <c r="J249" i="3"/>
  <c r="BK165" i="3"/>
  <c r="J159" i="3"/>
  <c r="BK138" i="3"/>
  <c r="BK273" i="3"/>
  <c r="J265" i="3"/>
  <c r="BK239" i="3"/>
  <c r="BK223" i="3"/>
  <c r="BK212" i="3"/>
  <c r="BK197" i="3"/>
  <c r="BK183" i="3"/>
  <c r="J169" i="3"/>
  <c r="J136" i="3"/>
  <c r="J306" i="3"/>
  <c r="J293" i="3"/>
  <c r="J285" i="3"/>
  <c r="BK267" i="3"/>
  <c r="BK255" i="3"/>
  <c r="J235" i="3"/>
  <c r="J225" i="3"/>
  <c r="J217" i="3"/>
  <c r="BK209" i="3"/>
  <c r="J201" i="3"/>
  <c r="J192" i="3"/>
  <c r="J171" i="3"/>
  <c r="J149" i="3"/>
  <c r="BK140" i="4"/>
  <c r="J123" i="4"/>
  <c r="BK154" i="4"/>
  <c r="J134" i="4"/>
  <c r="J256" i="2"/>
  <c r="J236" i="2"/>
  <c r="BK226" i="2"/>
  <c r="BK218" i="2"/>
  <c r="J207" i="2"/>
  <c r="J176" i="2"/>
  <c r="J146" i="2"/>
  <c r="J140" i="2"/>
  <c r="BK289" i="2"/>
  <c r="BK280" i="2"/>
  <c r="BK270" i="2"/>
  <c r="J254" i="2"/>
  <c r="J242" i="2"/>
  <c r="BK234" i="2"/>
  <c r="J226" i="2"/>
  <c r="BK216" i="2"/>
  <c r="J205" i="2"/>
  <c r="BK172" i="2"/>
  <c r="BK138" i="2"/>
  <c r="J325" i="3"/>
  <c r="BK303" i="3"/>
  <c r="BK293" i="3"/>
  <c r="J277" i="3"/>
  <c r="J263" i="3"/>
  <c r="J245" i="3"/>
  <c r="J227" i="3"/>
  <c r="BK201" i="3"/>
  <c r="J183" i="3"/>
  <c r="J163" i="3"/>
  <c r="BK144" i="3"/>
  <c r="BK323" i="3"/>
  <c r="BK306" i="3"/>
  <c r="J291" i="3"/>
  <c r="BK263" i="3"/>
  <c r="J255" i="3"/>
  <c r="BK247" i="3"/>
  <c r="BK235" i="3"/>
  <c r="BK142" i="3"/>
  <c r="BK132" i="3"/>
  <c r="J271" i="3"/>
  <c r="BK245" i="3"/>
  <c r="BK225" i="3"/>
  <c r="J207" i="3"/>
  <c r="BK194" i="3"/>
  <c r="BK187" i="3"/>
  <c r="J174" i="3"/>
  <c r="J138" i="3"/>
  <c r="BK320" i="3"/>
  <c r="J303" i="3"/>
  <c r="BK289" i="3"/>
  <c r="BK283" i="3"/>
  <c r="BK269" i="3"/>
  <c r="J253" i="3"/>
  <c r="BK231" i="3"/>
  <c r="J223" i="3"/>
  <c r="BK207" i="3"/>
  <c r="J199" i="3"/>
  <c r="BK189" i="3"/>
  <c r="BK179" i="3"/>
  <c r="J165" i="3"/>
  <c r="J142" i="3"/>
  <c r="J156" i="4"/>
  <c r="BK138" i="4"/>
  <c r="BK152" i="4"/>
  <c r="J138" i="4"/>
  <c r="BK150" i="4"/>
  <c r="J136" i="4"/>
  <c r="J130" i="4"/>
  <c r="BK147" i="4"/>
  <c r="BK136" i="4"/>
  <c r="BK264" i="2"/>
  <c r="J248" i="2"/>
  <c r="BK238" i="2"/>
  <c r="BK230" i="2"/>
  <c r="J222" i="2"/>
  <c r="BK196" i="2"/>
  <c r="BK186" i="2"/>
  <c r="BK176" i="2"/>
  <c r="J170" i="2"/>
  <c r="BK152" i="2"/>
  <c r="J128" i="2"/>
  <c r="J284" i="2"/>
  <c r="J277" i="2"/>
  <c r="BK201" i="2"/>
  <c r="J186" i="2"/>
  <c r="BK168" i="2"/>
  <c r="J138" i="2"/>
  <c r="BK134" i="2"/>
  <c r="J272" i="2"/>
  <c r="J266" i="2"/>
  <c r="J260" i="2"/>
  <c r="BK252" i="2"/>
  <c r="BK248" i="2"/>
  <c r="J232" i="2"/>
  <c r="J220" i="2"/>
  <c r="BK209" i="2"/>
  <c r="BK203" i="2"/>
  <c r="BK158" i="2"/>
  <c r="BK144" i="2"/>
  <c r="J294" i="2"/>
  <c r="J289" i="2"/>
  <c r="BK277" i="2"/>
  <c r="J268" i="2"/>
  <c r="BK256" i="2"/>
  <c r="J244" i="2"/>
  <c r="BK232" i="2"/>
  <c r="BK220" i="2"/>
  <c r="J211" i="2"/>
  <c r="J194" i="2"/>
  <c r="BK166" i="2"/>
  <c r="J142" i="2"/>
  <c r="J136" i="2"/>
  <c r="J320" i="3"/>
  <c r="J298" i="3"/>
  <c r="J283" i="3"/>
  <c r="J273" i="3"/>
  <c r="BK251" i="3"/>
  <c r="J237" i="3"/>
  <c r="BK214" i="3"/>
  <c r="J187" i="3"/>
  <c r="J167" i="3"/>
  <c r="J154" i="3"/>
  <c r="BK325" i="3"/>
  <c r="J310" i="3"/>
  <c r="BK265" i="3"/>
  <c r="J257" i="3"/>
  <c r="J251" i="3"/>
  <c r="BK237" i="3"/>
  <c r="BK163" i="3"/>
  <c r="BK149" i="3"/>
  <c r="BK277" i="3"/>
  <c r="J269" i="3"/>
  <c r="BK243" i="3"/>
  <c r="J231" i="3"/>
  <c r="BK221" i="3"/>
  <c r="J214" i="3"/>
  <c r="BK203" i="3"/>
  <c r="J189" i="3"/>
  <c r="BK181" i="3"/>
  <c r="J140" i="3"/>
  <c r="BK310" i="3"/>
  <c r="BK301" i="3"/>
  <c r="BK291" i="3"/>
  <c r="J281" i="3"/>
  <c r="BK259" i="3"/>
  <c r="BK249" i="3"/>
  <c r="J229" i="3"/>
  <c r="J221" i="3"/>
  <c r="J212" i="3"/>
  <c r="J203" i="3"/>
  <c r="J194" i="3"/>
  <c r="J181" i="3"/>
  <c r="BK167" i="3"/>
  <c r="J144" i="3"/>
  <c r="BK136" i="3"/>
  <c r="J154" i="4"/>
  <c r="BK132" i="4"/>
  <c r="J140" i="4"/>
  <c r="BK123" i="4"/>
  <c r="BK144" i="4"/>
  <c r="J132" i="4"/>
  <c r="BK156" i="4"/>
  <c r="J144" i="4"/>
  <c r="BK130" i="4"/>
  <c r="BK294" i="2"/>
  <c r="BK250" i="2"/>
  <c r="BK242" i="2"/>
  <c r="J234" i="2"/>
  <c r="J228" i="2"/>
  <c r="J201" i="2"/>
  <c r="BK194" i="2"/>
  <c r="BK183" i="2"/>
  <c r="J172" i="2"/>
  <c r="J158" i="2"/>
  <c r="J134" i="2"/>
  <c r="AS94" i="1"/>
  <c r="BK178" i="2"/>
  <c r="BK146" i="2"/>
  <c r="BK132" i="2"/>
  <c r="BK275" i="2"/>
  <c r="BK268" i="2"/>
  <c r="BK262" i="2"/>
  <c r="BK254" i="2"/>
  <c r="J240" i="2"/>
  <c r="J230" i="2"/>
  <c r="BK222" i="2"/>
  <c r="BK211" i="2"/>
  <c r="BK198" i="2"/>
  <c r="BK174" i="2"/>
  <c r="J152" i="2"/>
  <c r="BK291" i="2"/>
  <c r="BK286" i="2"/>
  <c r="J275" i="2"/>
  <c r="BK266" i="2"/>
  <c r="J252" i="2"/>
  <c r="J246" i="2"/>
  <c r="J238" i="2"/>
  <c r="J224" i="2"/>
  <c r="BK213" i="2"/>
  <c r="J203" i="2"/>
  <c r="BK170" i="2"/>
  <c r="J144" i="2"/>
  <c r="BK328" i="3"/>
  <c r="BK312" i="3"/>
  <c r="BK287" i="3"/>
  <c r="BK279" i="3"/>
  <c r="BK271" i="3"/>
  <c r="J247" i="3"/>
  <c r="BK233" i="3"/>
  <c r="J209" i="3"/>
  <c r="J179" i="3"/>
  <c r="J161" i="3"/>
  <c r="J132" i="3"/>
  <c r="BK315" i="3"/>
  <c r="J301" i="3"/>
  <c r="J289" i="3"/>
  <c r="J261" i="3"/>
  <c r="BK253" i="3"/>
  <c r="BK241" i="3"/>
  <c r="J233" i="3"/>
  <c r="BK154" i="3"/>
  <c r="BK140" i="3"/>
  <c r="BK275" i="3"/>
  <c r="J267" i="3"/>
  <c r="J241" i="3"/>
  <c r="BK229" i="3"/>
  <c r="J219" i="3"/>
  <c r="BK205" i="3"/>
  <c r="BK192" i="3"/>
  <c r="J185" i="3"/>
  <c r="BK171" i="3"/>
  <c r="J130" i="3"/>
  <c r="BK298" i="3"/>
  <c r="J287" i="3"/>
  <c r="J279" i="3"/>
  <c r="BK257" i="3"/>
  <c r="J239" i="3"/>
  <c r="BK227" i="3"/>
  <c r="BK219" i="3"/>
  <c r="J205" i="3"/>
  <c r="J197" i="3"/>
  <c r="BK185" i="3"/>
  <c r="BK174" i="3"/>
  <c r="BK161" i="3"/>
  <c r="BK130" i="3"/>
  <c r="BK142" i="4"/>
  <c r="BK125" i="4"/>
  <c r="J150" i="4"/>
  <c r="BK127" i="4"/>
  <c r="J147" i="4"/>
  <c r="BK134" i="4"/>
  <c r="J125" i="4"/>
  <c r="J152" i="4"/>
  <c r="J142" i="4"/>
  <c r="J127" i="4"/>
  <c r="BK127" i="2" l="1"/>
  <c r="J127" i="2" s="1"/>
  <c r="J97" i="2" s="1"/>
  <c r="R188" i="2"/>
  <c r="P200" i="2"/>
  <c r="T215" i="2"/>
  <c r="T279" i="2"/>
  <c r="T274" i="2" s="1"/>
  <c r="BK288" i="2"/>
  <c r="J288" i="2"/>
  <c r="J104" i="2"/>
  <c r="P129" i="3"/>
  <c r="BK173" i="3"/>
  <c r="J173" i="3"/>
  <c r="J98" i="3"/>
  <c r="P191" i="3"/>
  <c r="R196" i="3"/>
  <c r="BK305" i="3"/>
  <c r="J305" i="3"/>
  <c r="J102" i="3" s="1"/>
  <c r="R322" i="3"/>
  <c r="R321" i="3" s="1"/>
  <c r="P127" i="2"/>
  <c r="P188" i="2"/>
  <c r="T200" i="2"/>
  <c r="P215" i="2"/>
  <c r="R279" i="2"/>
  <c r="R274" i="2" s="1"/>
  <c r="P288" i="2"/>
  <c r="R129" i="3"/>
  <c r="R173" i="3"/>
  <c r="R191" i="3"/>
  <c r="P196" i="3"/>
  <c r="T305" i="3"/>
  <c r="T300" i="3"/>
  <c r="P322" i="3"/>
  <c r="P321" i="3"/>
  <c r="T127" i="2"/>
  <c r="T188" i="2"/>
  <c r="R200" i="2"/>
  <c r="BK215" i="2"/>
  <c r="J215" i="2" s="1"/>
  <c r="J101" i="2" s="1"/>
  <c r="BK279" i="2"/>
  <c r="J279" i="2"/>
  <c r="J103" i="2" s="1"/>
  <c r="T288" i="2"/>
  <c r="BK129" i="3"/>
  <c r="P173" i="3"/>
  <c r="BK191" i="3"/>
  <c r="J191" i="3"/>
  <c r="J99" i="3" s="1"/>
  <c r="T196" i="3"/>
  <c r="P305" i="3"/>
  <c r="P300" i="3"/>
  <c r="BK322" i="3"/>
  <c r="J322" i="3"/>
  <c r="J106" i="3" s="1"/>
  <c r="R122" i="4"/>
  <c r="BK129" i="4"/>
  <c r="J129" i="4"/>
  <c r="J98" i="4" s="1"/>
  <c r="T129" i="4"/>
  <c r="R127" i="2"/>
  <c r="BK188" i="2"/>
  <c r="J188" i="2" s="1"/>
  <c r="J99" i="2" s="1"/>
  <c r="BK200" i="2"/>
  <c r="J200" i="2"/>
  <c r="J100" i="2" s="1"/>
  <c r="R215" i="2"/>
  <c r="P279" i="2"/>
  <c r="P274" i="2"/>
  <c r="R288" i="2"/>
  <c r="T129" i="3"/>
  <c r="T173" i="3"/>
  <c r="T191" i="3"/>
  <c r="BK196" i="3"/>
  <c r="J196" i="3"/>
  <c r="J100" i="3" s="1"/>
  <c r="R305" i="3"/>
  <c r="R300" i="3"/>
  <c r="T322" i="3"/>
  <c r="T321" i="3" s="1"/>
  <c r="BK122" i="4"/>
  <c r="J122" i="4" s="1"/>
  <c r="J97" i="4" s="1"/>
  <c r="P122" i="4"/>
  <c r="T122" i="4"/>
  <c r="T121" i="4" s="1"/>
  <c r="P129" i="4"/>
  <c r="R129" i="4"/>
  <c r="BK149" i="4"/>
  <c r="J149" i="4" s="1"/>
  <c r="J100" i="4" s="1"/>
  <c r="P149" i="4"/>
  <c r="R149" i="4"/>
  <c r="T149" i="4"/>
  <c r="BK185" i="2"/>
  <c r="J185" i="2" s="1"/>
  <c r="J98" i="2" s="1"/>
  <c r="BK314" i="3"/>
  <c r="J314" i="3"/>
  <c r="J103" i="3" s="1"/>
  <c r="BK327" i="3"/>
  <c r="J327" i="3" s="1"/>
  <c r="J107" i="3" s="1"/>
  <c r="BK274" i="2"/>
  <c r="J274" i="2"/>
  <c r="J102" i="2" s="1"/>
  <c r="BK300" i="3"/>
  <c r="J300" i="3" s="1"/>
  <c r="J101" i="3" s="1"/>
  <c r="BK293" i="2"/>
  <c r="J293" i="2"/>
  <c r="J105" i="2" s="1"/>
  <c r="BK319" i="3"/>
  <c r="J319" i="3" s="1"/>
  <c r="J104" i="3" s="1"/>
  <c r="BK146" i="4"/>
  <c r="J146" i="4"/>
  <c r="J99" i="4" s="1"/>
  <c r="E110" i="4"/>
  <c r="J114" i="4"/>
  <c r="BE125" i="4"/>
  <c r="BE140" i="4"/>
  <c r="J129" i="3"/>
  <c r="J97" i="3" s="1"/>
  <c r="BE136" i="4"/>
  <c r="BE138" i="4"/>
  <c r="BE152" i="4"/>
  <c r="BE154" i="4"/>
  <c r="BE156" i="4"/>
  <c r="F91" i="4"/>
  <c r="BE127" i="4"/>
  <c r="BE130" i="4"/>
  <c r="BE134" i="4"/>
  <c r="BE142" i="4"/>
  <c r="BE123" i="4"/>
  <c r="BE132" i="4"/>
  <c r="BE144" i="4"/>
  <c r="BE147" i="4"/>
  <c r="BE150" i="4"/>
  <c r="J121" i="3"/>
  <c r="BE132" i="3"/>
  <c r="BE144" i="3"/>
  <c r="BE149" i="3"/>
  <c r="BE154" i="3"/>
  <c r="BE169" i="3"/>
  <c r="BE174" i="3"/>
  <c r="BE179" i="3"/>
  <c r="BE187" i="3"/>
  <c r="BE189" i="3"/>
  <c r="BE192" i="3"/>
  <c r="BE199" i="3"/>
  <c r="BE201" i="3"/>
  <c r="BE214" i="3"/>
  <c r="BE217" i="3"/>
  <c r="BE221" i="3"/>
  <c r="BE223" i="3"/>
  <c r="BE233" i="3"/>
  <c r="BE237" i="3"/>
  <c r="BE239" i="3"/>
  <c r="BE241" i="3"/>
  <c r="BE245" i="3"/>
  <c r="BE247" i="3"/>
  <c r="BE261" i="3"/>
  <c r="BE263" i="3"/>
  <c r="BE271" i="3"/>
  <c r="BE273" i="3"/>
  <c r="BE275" i="3"/>
  <c r="BE279" i="3"/>
  <c r="BE287" i="3"/>
  <c r="BE296" i="3"/>
  <c r="BE310" i="3"/>
  <c r="E84" i="3"/>
  <c r="BE142" i="3"/>
  <c r="BE159" i="3"/>
  <c r="BE161" i="3"/>
  <c r="BE163" i="3"/>
  <c r="BE185" i="3"/>
  <c r="BE194" i="3"/>
  <c r="BE197" i="3"/>
  <c r="BE205" i="3"/>
  <c r="BE209" i="3"/>
  <c r="BE212" i="3"/>
  <c r="BE231" i="3"/>
  <c r="BE235" i="3"/>
  <c r="BE249" i="3"/>
  <c r="BE251" i="3"/>
  <c r="BE253" i="3"/>
  <c r="BE259" i="3"/>
  <c r="BE265" i="3"/>
  <c r="BE281" i="3"/>
  <c r="F124" i="3"/>
  <c r="BE130" i="3"/>
  <c r="BE167" i="3"/>
  <c r="BE225" i="3"/>
  <c r="BE243" i="3"/>
  <c r="BE257" i="3"/>
  <c r="BE267" i="3"/>
  <c r="BE269" i="3"/>
  <c r="BE277" i="3"/>
  <c r="BE293" i="3"/>
  <c r="BE301" i="3"/>
  <c r="BE306" i="3"/>
  <c r="BE312" i="3"/>
  <c r="BE323" i="3"/>
  <c r="BE325" i="3"/>
  <c r="BE136" i="3"/>
  <c r="BE138" i="3"/>
  <c r="BE140" i="3"/>
  <c r="BE165" i="3"/>
  <c r="BE171" i="3"/>
  <c r="BE181" i="3"/>
  <c r="BE183" i="3"/>
  <c r="BE203" i="3"/>
  <c r="BE207" i="3"/>
  <c r="BE219" i="3"/>
  <c r="BE227" i="3"/>
  <c r="BE229" i="3"/>
  <c r="BE255" i="3"/>
  <c r="BE283" i="3"/>
  <c r="BE285" i="3"/>
  <c r="BE289" i="3"/>
  <c r="BE291" i="3"/>
  <c r="BE298" i="3"/>
  <c r="BE303" i="3"/>
  <c r="BE315" i="3"/>
  <c r="BE320" i="3"/>
  <c r="BE328" i="3"/>
  <c r="F91" i="2"/>
  <c r="J119" i="2"/>
  <c r="BE128" i="2"/>
  <c r="BE146" i="2"/>
  <c r="BE152" i="2"/>
  <c r="BE174" i="2"/>
  <c r="BE176" i="2"/>
  <c r="BE186" i="2"/>
  <c r="BE198" i="2"/>
  <c r="BE207" i="2"/>
  <c r="BE209" i="2"/>
  <c r="BE211" i="2"/>
  <c r="BE218" i="2"/>
  <c r="BE222" i="2"/>
  <c r="BE230" i="2"/>
  <c r="BE238" i="2"/>
  <c r="BE240" i="2"/>
  <c r="BE242" i="2"/>
  <c r="BE248" i="2"/>
  <c r="BE250" i="2"/>
  <c r="BE254" i="2"/>
  <c r="BE256" i="2"/>
  <c r="BE264" i="2"/>
  <c r="BE266" i="2"/>
  <c r="BE277" i="2"/>
  <c r="BE286" i="2"/>
  <c r="BE289" i="2"/>
  <c r="BE291" i="2"/>
  <c r="BE294" i="2"/>
  <c r="BE132" i="2"/>
  <c r="BE158" i="2"/>
  <c r="BE166" i="2"/>
  <c r="BE178" i="2"/>
  <c r="BE183" i="2"/>
  <c r="BE194" i="2"/>
  <c r="BE201" i="2"/>
  <c r="BE213" i="2"/>
  <c r="BE216" i="2"/>
  <c r="BE220" i="2"/>
  <c r="BE224" i="2"/>
  <c r="BE226" i="2"/>
  <c r="BE228" i="2"/>
  <c r="BE234" i="2"/>
  <c r="BE244" i="2"/>
  <c r="BE246" i="2"/>
  <c r="BE252" i="2"/>
  <c r="BE260" i="2"/>
  <c r="BE268" i="2"/>
  <c r="BE270" i="2"/>
  <c r="BE272" i="2"/>
  <c r="BE275" i="2"/>
  <c r="E84" i="2"/>
  <c r="BE160" i="2"/>
  <c r="BE168" i="2"/>
  <c r="BE170" i="2"/>
  <c r="BE172" i="2"/>
  <c r="BE189" i="2"/>
  <c r="BE196" i="2"/>
  <c r="BE205" i="2"/>
  <c r="BE280" i="2"/>
  <c r="BE284" i="2"/>
  <c r="BE134" i="2"/>
  <c r="BE136" i="2"/>
  <c r="BE138" i="2"/>
  <c r="BE140" i="2"/>
  <c r="BE142" i="2"/>
  <c r="BE144" i="2"/>
  <c r="BE203" i="2"/>
  <c r="BE232" i="2"/>
  <c r="BE236" i="2"/>
  <c r="BE258" i="2"/>
  <c r="BE262" i="2"/>
  <c r="F36" i="2"/>
  <c r="BC95" i="1"/>
  <c r="F34" i="2"/>
  <c r="BA95" i="1" s="1"/>
  <c r="F34" i="3"/>
  <c r="BA96" i="1"/>
  <c r="F37" i="3"/>
  <c r="BD96" i="1" s="1"/>
  <c r="J34" i="2"/>
  <c r="AW95" i="1"/>
  <c r="F35" i="3"/>
  <c r="BB96" i="1" s="1"/>
  <c r="F37" i="4"/>
  <c r="BD97" i="1"/>
  <c r="F37" i="2"/>
  <c r="BD95" i="1" s="1"/>
  <c r="J34" i="3"/>
  <c r="AW96" i="1"/>
  <c r="F36" i="4"/>
  <c r="BC97" i="1" s="1"/>
  <c r="F34" i="4"/>
  <c r="BA97" i="1"/>
  <c r="F35" i="2"/>
  <c r="BB95" i="1" s="1"/>
  <c r="F36" i="3"/>
  <c r="BC96" i="1"/>
  <c r="F35" i="4"/>
  <c r="BB97" i="1" s="1"/>
  <c r="J34" i="4"/>
  <c r="AW97" i="1"/>
  <c r="P121" i="4" l="1"/>
  <c r="P120" i="4" s="1"/>
  <c r="AU97" i="1" s="1"/>
  <c r="P128" i="3"/>
  <c r="P127" i="3" s="1"/>
  <c r="AU96" i="1" s="1"/>
  <c r="T120" i="4"/>
  <c r="R128" i="3"/>
  <c r="R127" i="3" s="1"/>
  <c r="T128" i="3"/>
  <c r="T127" i="3"/>
  <c r="R126" i="2"/>
  <c r="R125" i="2" s="1"/>
  <c r="BK128" i="3"/>
  <c r="T126" i="2"/>
  <c r="T125" i="2" s="1"/>
  <c r="BK126" i="2"/>
  <c r="J126" i="2" s="1"/>
  <c r="J96" i="2" s="1"/>
  <c r="R121" i="4"/>
  <c r="R120" i="4" s="1"/>
  <c r="P126" i="2"/>
  <c r="P125" i="2"/>
  <c r="AU95" i="1" s="1"/>
  <c r="BK121" i="4"/>
  <c r="J121" i="4" s="1"/>
  <c r="J96" i="4" s="1"/>
  <c r="BK321" i="3"/>
  <c r="J321" i="3" s="1"/>
  <c r="J105" i="3" s="1"/>
  <c r="F33" i="2"/>
  <c r="AZ95" i="1" s="1"/>
  <c r="F33" i="4"/>
  <c r="AZ97" i="1" s="1"/>
  <c r="BA94" i="1"/>
  <c r="W30" i="1" s="1"/>
  <c r="J33" i="3"/>
  <c r="AV96" i="1" s="1"/>
  <c r="AT96" i="1" s="1"/>
  <c r="F33" i="3"/>
  <c r="AZ96" i="1" s="1"/>
  <c r="BD94" i="1"/>
  <c r="W33" i="1"/>
  <c r="J33" i="2"/>
  <c r="AV95" i="1" s="1"/>
  <c r="AT95" i="1" s="1"/>
  <c r="BC94" i="1"/>
  <c r="AY94" i="1" s="1"/>
  <c r="BB94" i="1"/>
  <c r="W31" i="1" s="1"/>
  <c r="J33" i="4"/>
  <c r="AV97" i="1" s="1"/>
  <c r="AT97" i="1" s="1"/>
  <c r="BK127" i="3" l="1"/>
  <c r="J127" i="3" s="1"/>
  <c r="J30" i="3" s="1"/>
  <c r="AG96" i="1" s="1"/>
  <c r="BK120" i="4"/>
  <c r="J120" i="4" s="1"/>
  <c r="J30" i="4" s="1"/>
  <c r="AG97" i="1" s="1"/>
  <c r="J128" i="3"/>
  <c r="J96" i="3" s="1"/>
  <c r="BK125" i="2"/>
  <c r="J125" i="2" s="1"/>
  <c r="J30" i="2" s="1"/>
  <c r="AG95" i="1" s="1"/>
  <c r="AU94" i="1"/>
  <c r="AW94" i="1"/>
  <c r="AK30" i="1"/>
  <c r="AX94" i="1"/>
  <c r="W32" i="1"/>
  <c r="AZ94" i="1"/>
  <c r="AV94" i="1" s="1"/>
  <c r="AK29" i="1" s="1"/>
  <c r="J39" i="4" l="1"/>
  <c r="J39" i="2"/>
  <c r="J39" i="3"/>
  <c r="J95" i="4"/>
  <c r="J95" i="2"/>
  <c r="J95" i="3"/>
  <c r="AN96" i="1"/>
  <c r="AN95" i="1"/>
  <c r="AN97" i="1"/>
  <c r="AT94" i="1"/>
  <c r="AG94" i="1"/>
  <c r="AK26" i="1" s="1"/>
  <c r="AK35" i="1" s="1"/>
  <c r="W29" i="1"/>
  <c r="AN94" i="1" l="1"/>
</calcChain>
</file>

<file path=xl/sharedStrings.xml><?xml version="1.0" encoding="utf-8"?>
<sst xmlns="http://schemas.openxmlformats.org/spreadsheetml/2006/main" count="5402" uniqueCount="897">
  <si>
    <t>Export Komplet</t>
  </si>
  <si>
    <t/>
  </si>
  <si>
    <t>2.0</t>
  </si>
  <si>
    <t>ZAMOK</t>
  </si>
  <si>
    <t>False</t>
  </si>
  <si>
    <t>{9def171a-45fe-4516-aaf5-26ef2446b6e1}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</si>
  <si>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</si>
  <si>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</si>
  <si>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</si>
  <si>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</si>
  <si>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</si>
  <si>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</si>
  <si>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</si>
  <si>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</si>
  <si>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POD_HBITOVNI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</si>
  <si>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</si>
  <si>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</si>
  <si>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PODIVÍN – ul. Hřbitovní, dopravní a technická infrastruktura, SO 301 – KANALIZACE, SO 302 - VODOVOD</t>
  </si>
  <si>
    <t>KSO:</t>
  </si>
  <si>
    <t>827</t>
  </si>
  <si>
    <t>CC-CZ:</t>
  </si>
  <si>
    <t>222</t>
  </si>
  <si>
    <t>Místo:</t>
  </si>
  <si>
    <t>Podivín</t>
  </si>
  <si>
    <t>Datum:</t>
  </si>
  <si>
    <t>10. 11. 2025</t>
  </si>
  <si>
    <t>CZ-CPV:</t>
  </si>
  <si>
    <t>45000000-7</t>
  </si>
  <si>
    <t>CZ-CPA:</t>
  </si>
  <si>
    <t>42.21.22</t>
  </si>
  <si>
    <t>Zadavatel:</t>
  </si>
  <si>
    <t>IČ:</t>
  </si>
  <si>
    <t>00283495</t>
  </si>
  <si>
    <t>Město Podivín</t>
  </si>
  <si>
    <t>DIČ:</t>
  </si>
  <si>
    <t>Uchazeč:</t>
  </si>
  <si>
    <t>Vyplň údaj</t>
  </si>
  <si>
    <t>Projektant:</t>
  </si>
  <si>
    <t>29319706</t>
  </si>
  <si>
    <t>Projekce inženýrských sítí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</si>
  <si>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</si>
  <si>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</si>
  <si>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</si>
  <si>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</si>
  <si>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</si>
  <si>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</si>
  <si>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</si>
  <si>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</si>
  <si>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</si>
  <si>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</si>
  <si>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</si>
  <si>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</si>
  <si>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</si>
  <si>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</si>
  <si>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</si>
  <si>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</si>
  <si>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</si>
  <si>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</si>
  <si>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</si>
  <si>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</si>
  <si>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</si>
  <si>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</si>
  <si>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</si>
  <si>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</si>
  <si>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</si>
  <si>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</si>
  <si>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</si>
  <si>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</si>
  <si>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</si>
  <si>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</si>
  <si>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</si>
  <si>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</si>
  <si>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</si>
  <si>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</si>
  <si>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</si>
  <si>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</si>
  <si>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</si>
  <si>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</si>
  <si>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</si>
  <si>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</si>
  <si>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</si>
  <si>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</si>
  <si>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</si>
  <si>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</si>
  <si>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</si>
  <si>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</si>
  <si>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</si>
  <si>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</si>
  <si>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301</t>
  </si>
  <si>
    <t>KANALIZACE</t>
  </si>
  <si>
    <t>STA</t>
  </si>
  <si>
    <t>1</t>
  </si>
  <si>
    <t>{d3deb5ac-0a6d-41d3-b426-f22e78f100ce}</t>
  </si>
  <si>
    <t>827 21</t>
  </si>
  <si>
    <t>2</t>
  </si>
  <si>
    <t>SO 302</t>
  </si>
  <si>
    <t>VODOVOD</t>
  </si>
  <si>
    <t>{5ce29148-ae3a-4fed-8168-cf57c679b8e1}</t>
  </si>
  <si>
    <t>827 13</t>
  </si>
  <si>
    <t>VRN</t>
  </si>
  <si>
    <t>Vedlejší rozpočtové náklady</t>
  </si>
  <si>
    <t>{4fc5bb0f-02b6-4b16-9c9f-a69e808cd14c}</t>
  </si>
  <si>
    <t>KRYCÍ LIST SOUPISU PRACÍ</t>
  </si>
  <si>
    <t>Objekt:</t>
  </si>
  <si>
    <t>SO 301 - KANALIZACE</t>
  </si>
  <si>
    <t>222311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</si>
  <si>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</si>
  <si>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</si>
  <si>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</si>
  <si>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</si>
  <si>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</si>
  <si>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</si>
  <si>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</si>
  <si>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</si>
  <si>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</si>
  <si>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</si>
  <si>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</si>
  <si>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</si>
  <si>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  99 - Přesun hmot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</si>
  <si>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</si>
  <si>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</si>
  <si>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</si>
  <si>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</si>
  <si>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</si>
  <si>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</si>
  <si>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</si>
  <si>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</si>
  <si>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</si>
  <si>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</si>
  <si>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</si>
  <si>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</si>
  <si>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</si>
  <si>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</si>
  <si>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</si>
  <si>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</si>
  <si>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</si>
  <si>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</si>
  <si>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</si>
  <si>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</si>
  <si>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113107223</t>
  </si>
  <si>
    <t>Odstranění podkladu z kameniva drceného tl přes 200 do 300 mm strojně pl přes 200 m2</t>
  </si>
  <si>
    <t>m2</t>
  </si>
  <si>
    <t xml:space="preserve">CS ÚRS </t>
  </si>
  <si>
    <t>4</t>
  </si>
  <si>
    <t>1428109639</t>
  </si>
  <si>
    <t>VV</t>
  </si>
  <si>
    <t>(1,00*1,00*5)+(2,00*1,00*6)+(3,00*1,00*3) "nad odbočkami pro kanalizační přípojky"</t>
  </si>
  <si>
    <t>301,00*1,30 "v celé trase stoky N"</t>
  </si>
  <si>
    <t>Součet</t>
  </si>
  <si>
    <t>113107242</t>
  </si>
  <si>
    <t>Odstranění asf.recyklátu tl přes 50 do 100 mm strojně pl přes 200 m2</t>
  </si>
  <si>
    <t>51831992</t>
  </si>
  <si>
    <t>184,00*1,30</t>
  </si>
  <si>
    <t>3</t>
  </si>
  <si>
    <t>113107344</t>
  </si>
  <si>
    <t>Odstranění vrstev živičných tl přes 150 do 200 mm strojně pl do 50 m2</t>
  </si>
  <si>
    <t>1818501948</t>
  </si>
  <si>
    <t>36,40*1,30 "asfaltové vozovky"</t>
  </si>
  <si>
    <t>115101201</t>
  </si>
  <si>
    <t>Čerpání vody na dopravní výšku do 10 m průměrný přítok do 500 l/min</t>
  </si>
  <si>
    <t>hod</t>
  </si>
  <si>
    <t>-324897141</t>
  </si>
  <si>
    <t>24*18 "18 dnů"</t>
  </si>
  <si>
    <t>5</t>
  </si>
  <si>
    <t>115101301</t>
  </si>
  <si>
    <t>Pohotovost čerpací soupravy pro dopravní výšku do 10 m přítok do 500 l/min</t>
  </si>
  <si>
    <t>den</t>
  </si>
  <si>
    <t>-760746364</t>
  </si>
  <si>
    <t>18</t>
  </si>
  <si>
    <t>6</t>
  </si>
  <si>
    <t>119001405</t>
  </si>
  <si>
    <t>Dočasné zajištění potrubí z PE DN do 200 mm</t>
  </si>
  <si>
    <t>m</t>
  </si>
  <si>
    <t>2040095457</t>
  </si>
  <si>
    <t xml:space="preserve">1,30*6 "křížení s vodovodními přípojkami a plynovodem" </t>
  </si>
  <si>
    <t>7</t>
  </si>
  <si>
    <t>119001421</t>
  </si>
  <si>
    <t>Dočasné zajištění kabelů a kabelových tratí ze 3 volně ložených kabelů</t>
  </si>
  <si>
    <t>-621809066</t>
  </si>
  <si>
    <t xml:space="preserve">1,30*12 "křížení se silovými a slaboproudými kabely" </t>
  </si>
  <si>
    <t>8</t>
  </si>
  <si>
    <t>129001101</t>
  </si>
  <si>
    <t>Příplatek za ztížení odkopávky nebo prokopávky v blízkosti inženýrských sítí</t>
  </si>
  <si>
    <t>m3</t>
  </si>
  <si>
    <t>163818996</t>
  </si>
  <si>
    <t>2,50*2,00*1,30*18</t>
  </si>
  <si>
    <t>9</t>
  </si>
  <si>
    <t>132254206</t>
  </si>
  <si>
    <t>Hloubení zapažených rýh š do 2000 mm v hornině třídy těžitelnosti I skupiny 3 objem do 5000 m3</t>
  </si>
  <si>
    <t>-1994854256</t>
  </si>
  <si>
    <t>18,00*1,00*2,00 "odbočky pro kanalizační přípojky_stoka N-1"</t>
  </si>
  <si>
    <t>190,08 "stoka N-1 _ viz. kubaturové listy"</t>
  </si>
  <si>
    <t>82,50*1,00*2,50 "odbočky pro kanalizační přípojky_stoka N"</t>
  </si>
  <si>
    <t>1026,39 "stoka N_viz. kubaturové listy"</t>
  </si>
  <si>
    <t>10</t>
  </si>
  <si>
    <t>151811132</t>
  </si>
  <si>
    <t>Osazení pažicího boxu hl výkopu do 4 m š přes 1,2 do 2,5 m</t>
  </si>
  <si>
    <t>-1287086178</t>
  </si>
  <si>
    <t>18,00*2,00*2 "odbočky pro kanalizační přípojky_stoka N-1"</t>
  </si>
  <si>
    <t>82,50*2,50*2 "odbočky pro kanalizační přípojky_stoka N"</t>
  </si>
  <si>
    <t>275,34 "viz. kubaturové listy_stoka N-1"</t>
  </si>
  <si>
    <t>1460,60 "viz. kubaturové listy_stoka N"</t>
  </si>
  <si>
    <t>11</t>
  </si>
  <si>
    <t>151811142</t>
  </si>
  <si>
    <t>Osazení pažicího boxu hl výkopu do 6 m š přes 1,2 do 2,5 m</t>
  </si>
  <si>
    <t>-322898954</t>
  </si>
  <si>
    <t>714,09 "viz. kubaturové listy"</t>
  </si>
  <si>
    <t>151811232</t>
  </si>
  <si>
    <t>Odstranění pažicího boxu hl výkopu do 4 m š přes 1,2 do 2,5 m</t>
  </si>
  <si>
    <t>-228389579</t>
  </si>
  <si>
    <t>13</t>
  </si>
  <si>
    <t>151811242</t>
  </si>
  <si>
    <t>Odstranění pažicího boxu hl výkopu do 6 m š přes 1,2 do 2,5 m</t>
  </si>
  <si>
    <t>-126460463</t>
  </si>
  <si>
    <t>14</t>
  </si>
  <si>
    <t>162751117</t>
  </si>
  <si>
    <t>Vodorovné přemístění přes 9 000 do 10000 m výkopku/sypaniny z horniny třídy těžitelnosti I skupiny 1 až 3</t>
  </si>
  <si>
    <t>-1056268320</t>
  </si>
  <si>
    <t>1458,72</t>
  </si>
  <si>
    <t>15</t>
  </si>
  <si>
    <t>171201231</t>
  </si>
  <si>
    <t>Poplatek za uložení zeminy a kamení na recyklační skládce (skládkovné) kód odpadu 17 05 04</t>
  </si>
  <si>
    <t>t</t>
  </si>
  <si>
    <t>1072242189</t>
  </si>
  <si>
    <t>1458,720*2,00</t>
  </si>
  <si>
    <t>16</t>
  </si>
  <si>
    <t>171251101</t>
  </si>
  <si>
    <t>Uložení sypaniny do násypů nezhutněných strojně</t>
  </si>
  <si>
    <t>-909337791</t>
  </si>
  <si>
    <t>17</t>
  </si>
  <si>
    <t>174151101</t>
  </si>
  <si>
    <t>Zásyp jam, šachet rýh nebo kolem objektů sypaninou se zhutněním</t>
  </si>
  <si>
    <t>-1364816965</t>
  </si>
  <si>
    <t>1458,720-83,93-213,238-(50,00+4,73+2,02) "výkopy-lože-obsyp-objem potrubí"</t>
  </si>
  <si>
    <t>M</t>
  </si>
  <si>
    <t>58331200</t>
  </si>
  <si>
    <t>štěrkopísek netříděný</t>
  </si>
  <si>
    <t>-340255653</t>
  </si>
  <si>
    <t>(1458,720-83,93-213,238-(50,00+4,73+2,02))*2,00</t>
  </si>
  <si>
    <t>19</t>
  </si>
  <si>
    <t>175151101</t>
  </si>
  <si>
    <t>Obsypání potrubí strojně sypaninou bez prohození, uloženou do 3 m</t>
  </si>
  <si>
    <t>-98585273</t>
  </si>
  <si>
    <t>(100,50*1,00*0,46)-2,02 "odbočky pro kanalizační přípojky"</t>
  </si>
  <si>
    <t>(52,10*1,30*0,415)-4,73 "stoka N-1"</t>
  </si>
  <si>
    <t>(301,00*1,30*0,50)-50,00 "stoka N"</t>
  </si>
  <si>
    <t>20</t>
  </si>
  <si>
    <t>58337303</t>
  </si>
  <si>
    <t>štěrkopísek frakce 0/8</t>
  </si>
  <si>
    <t>-704132422</t>
  </si>
  <si>
    <t>213,238*2,00</t>
  </si>
  <si>
    <t>Zakládání</t>
  </si>
  <si>
    <t>212752111</t>
  </si>
  <si>
    <t>Trativod z drenážních trubek korugovaných PE-HD SN 4 perforace 220° včetně lože otevřený výkop DN 100 pro liniové stavby</t>
  </si>
  <si>
    <t>951302803</t>
  </si>
  <si>
    <t>301,00+52,10 "stoka N + stokas N-1"</t>
  </si>
  <si>
    <t>Vodorovné konstrukce</t>
  </si>
  <si>
    <t>22</t>
  </si>
  <si>
    <t>451572111</t>
  </si>
  <si>
    <t>Lože pod potrubí otevřený výkop z kameniva drobného těženého</t>
  </si>
  <si>
    <t>-578198758</t>
  </si>
  <si>
    <t xml:space="preserve">100,50*1,00*0,15 "odbočky pro kanalizační přípojky" </t>
  </si>
  <si>
    <t>52,10*1,30*0,15 "stoka N-1"</t>
  </si>
  <si>
    <t>301,00*1,30*0,15 "stoka N"</t>
  </si>
  <si>
    <t>23</t>
  </si>
  <si>
    <t>59213010</t>
  </si>
  <si>
    <t>žlab kabelový betonový k ochraně zemního drátovodného vedení 100x31x26cm</t>
  </si>
  <si>
    <t>2086284144</t>
  </si>
  <si>
    <t>1,50*12</t>
  </si>
  <si>
    <t>24</t>
  </si>
  <si>
    <t>59213006</t>
  </si>
  <si>
    <t>deska krycí betonová 500x310/210x55mm</t>
  </si>
  <si>
    <t>1836340593</t>
  </si>
  <si>
    <t>25</t>
  </si>
  <si>
    <t>452111141</t>
  </si>
  <si>
    <t>Osazení betonových kabelových žlabů a krycích desek</t>
  </si>
  <si>
    <t>kus</t>
  </si>
  <si>
    <t>238353201</t>
  </si>
  <si>
    <t>18+36</t>
  </si>
  <si>
    <t>Komunikace pozemní</t>
  </si>
  <si>
    <t>26</t>
  </si>
  <si>
    <t>564861011</t>
  </si>
  <si>
    <t>Podklad ze štěrkodrtě ŠD plochy do 100 m2 tl 200 mm</t>
  </si>
  <si>
    <t>-1709994884</t>
  </si>
  <si>
    <t>14,00*1,30</t>
  </si>
  <si>
    <t>27</t>
  </si>
  <si>
    <t>567132115</t>
  </si>
  <si>
    <t>Podklad ze směsi stmelené cementem SC C 8/10 (KSC I) tl 200 mm</t>
  </si>
  <si>
    <t>-1246027815</t>
  </si>
  <si>
    <t>28</t>
  </si>
  <si>
    <t>573111111</t>
  </si>
  <si>
    <t>Postřik živičný infiltrační s posypem z asfaltu množství 0,50 kg/m2</t>
  </si>
  <si>
    <t>1556404545</t>
  </si>
  <si>
    <t>29</t>
  </si>
  <si>
    <t>573211107</t>
  </si>
  <si>
    <t>Postřik živičný spojovací z asfaltu v množství 0,30 kg/m2</t>
  </si>
  <si>
    <t>-1177704844</t>
  </si>
  <si>
    <t>30</t>
  </si>
  <si>
    <t>577144111</t>
  </si>
  <si>
    <t>Asfaltový beton vrstva obrusná ACO 11+ (ABS) tř. I tl 50 mm š do 3 m z nemodifikovaného asfaltu</t>
  </si>
  <si>
    <t>198457866</t>
  </si>
  <si>
    <t>31</t>
  </si>
  <si>
    <t>577165032</t>
  </si>
  <si>
    <t>Asfaltový beton vrstva ložní ACL 16 (ABVH) tl 70 mm š do 1,5 m z modifikovaného asfaltu</t>
  </si>
  <si>
    <t>233764326</t>
  </si>
  <si>
    <t>32</t>
  </si>
  <si>
    <t>577175032</t>
  </si>
  <si>
    <t>Asfaltový beton vrstva ložní ACL 16 (ABVH) tl. 80 mm š do 1,5 m z modifikovaného asfaltu</t>
  </si>
  <si>
    <t>1853252976</t>
  </si>
  <si>
    <t>Trubní vedení</t>
  </si>
  <si>
    <t>33</t>
  </si>
  <si>
    <t>871313121</t>
  </si>
  <si>
    <t>Montáž kanalizačního potrubí hladkého plnostěnného SN 8 z PVC-U DN 160</t>
  </si>
  <si>
    <t>22137673</t>
  </si>
  <si>
    <t>100,50 "odbočky pro kanalizační přípojky"</t>
  </si>
  <si>
    <t>34</t>
  </si>
  <si>
    <t>28611164</t>
  </si>
  <si>
    <t>trubka kanalizační PVC-U plnostěnná jednovrstvá DN 160x1000mm SN8</t>
  </si>
  <si>
    <t>524033964</t>
  </si>
  <si>
    <t>100,5*1,03 'Přepočtené koeficientem množství</t>
  </si>
  <si>
    <t>35</t>
  </si>
  <si>
    <t>871373123</t>
  </si>
  <si>
    <t>Montáž kanalizačního potrubí hladkého plnostěnného SN 12 z PVC-U DN 315</t>
  </si>
  <si>
    <t>26204621</t>
  </si>
  <si>
    <t>52,10 "stoka N-1"</t>
  </si>
  <si>
    <t>36</t>
  </si>
  <si>
    <t>28611109</t>
  </si>
  <si>
    <t>trubka kanalizační PVC-U plnostěnná jednovrstvá s rázovou odolností DN 315x6000mm SN12</t>
  </si>
  <si>
    <t>1598588645</t>
  </si>
  <si>
    <t>52,1*1,03 'Přepočtené koeficientem množství</t>
  </si>
  <si>
    <t>37</t>
  </si>
  <si>
    <t>871393123</t>
  </si>
  <si>
    <t>Montáž kanalizačního potrubí hladkého plnostěnného SN 12 z PVC-U DN 400</t>
  </si>
  <si>
    <t>-1251987765</t>
  </si>
  <si>
    <t>301,00 "stoka N"</t>
  </si>
  <si>
    <t>38</t>
  </si>
  <si>
    <t>28611110</t>
  </si>
  <si>
    <t>trubka kanalizační PVC-U plnostěnná jednovrstvá s rázovou odolností DN 400x6000mm SN12</t>
  </si>
  <si>
    <t>756956195</t>
  </si>
  <si>
    <t>301*1,03 'Přepočtené koeficientem množství</t>
  </si>
  <si>
    <t>39</t>
  </si>
  <si>
    <t>877310310</t>
  </si>
  <si>
    <t>Montáž kolen a víček na kanalizačním potrubí z PVC-U trub hladkých plnostěnných DN 150</t>
  </si>
  <si>
    <t>903143941</t>
  </si>
  <si>
    <t>17+17 "zaslepení odboček"</t>
  </si>
  <si>
    <t>40</t>
  </si>
  <si>
    <t>28611722</t>
  </si>
  <si>
    <t>víčko kanalizace plastové KG DN 160</t>
  </si>
  <si>
    <t>935447085</t>
  </si>
  <si>
    <t>41</t>
  </si>
  <si>
    <t>28611361</t>
  </si>
  <si>
    <t>koleno kanalizační PVC KG 160x45°</t>
  </si>
  <si>
    <t>-171192739</t>
  </si>
  <si>
    <t>42</t>
  </si>
  <si>
    <t>877370320</t>
  </si>
  <si>
    <t>Montáž odboček na kanalizačním potrubí z PP nebo tvrdého PVC-U trub hladkých plnostěnných DN 300</t>
  </si>
  <si>
    <t>1769603205</t>
  </si>
  <si>
    <t>3"stoka N-1"</t>
  </si>
  <si>
    <t>43</t>
  </si>
  <si>
    <t>28611404</t>
  </si>
  <si>
    <t>odbočka kanalizační plastová s hrdlem KG 315/160/45°</t>
  </si>
  <si>
    <t>1812101907</t>
  </si>
  <si>
    <t>44</t>
  </si>
  <si>
    <t>877390320</t>
  </si>
  <si>
    <t>Montáž odboček na kanalizačním potrubí PVC-U trub hladkých plnostěnných DN 400</t>
  </si>
  <si>
    <t>-188440409</t>
  </si>
  <si>
    <t>14 "stoka N"</t>
  </si>
  <si>
    <t>45</t>
  </si>
  <si>
    <t>28611410</t>
  </si>
  <si>
    <t>odbočka kanalizační plastová s hrdlem KG 400/160/45°</t>
  </si>
  <si>
    <t>-726782488</t>
  </si>
  <si>
    <t>46</t>
  </si>
  <si>
    <t>894411121</t>
  </si>
  <si>
    <t>Zřízení šachet kanalizačních z betonových dílců na potrubí DN přes 200 do 300 dno beton tř. C 25/30</t>
  </si>
  <si>
    <t>-2039965598</t>
  </si>
  <si>
    <t>47</t>
  </si>
  <si>
    <t>894411131</t>
  </si>
  <si>
    <t>Zřízení šachet kanalizačních z betonových dílců na potrubí DN přes 300 do 400 dno beton tř. C 25/30</t>
  </si>
  <si>
    <t>949813073</t>
  </si>
  <si>
    <t>48</t>
  </si>
  <si>
    <t>59224338</t>
  </si>
  <si>
    <t>dno betonové šachty DN 1000 kanalizační výšky 80cm</t>
  </si>
  <si>
    <t>1106940966</t>
  </si>
  <si>
    <t>49</t>
  </si>
  <si>
    <t>59224420</t>
  </si>
  <si>
    <t>skruž betonové šachty DN 1000 kanalizační 100x100x10cm stupadla poplastovaná</t>
  </si>
  <si>
    <t>1291913148</t>
  </si>
  <si>
    <t>50</t>
  </si>
  <si>
    <t>59224418</t>
  </si>
  <si>
    <t>skruž betonové šachty DN 1000 kanalizační 100x50x10cm stupadla poplastovaná</t>
  </si>
  <si>
    <t>-1401584051</t>
  </si>
  <si>
    <t>51</t>
  </si>
  <si>
    <t>59224416</t>
  </si>
  <si>
    <t>skruž betonové šachty DN 1000 kanalizační 100x25x10cm stupadla poplastovaná</t>
  </si>
  <si>
    <t>-1884364923</t>
  </si>
  <si>
    <t>52</t>
  </si>
  <si>
    <t>59224312</t>
  </si>
  <si>
    <t>konus betonové šachty DN 1000 kanalizační 100x62,5x58cm tl stěny 12 stupadla poplastovaná</t>
  </si>
  <si>
    <t>510549781</t>
  </si>
  <si>
    <t>53</t>
  </si>
  <si>
    <t>59224075</t>
  </si>
  <si>
    <t>deska betonová zákrytová k ukončení šachet 1000/625x200mm</t>
  </si>
  <si>
    <t>-174609552</t>
  </si>
  <si>
    <t>54</t>
  </si>
  <si>
    <t>59224184</t>
  </si>
  <si>
    <t>prstenec šachtový vyrovnávací betonový 625x120x40mm</t>
  </si>
  <si>
    <t>-599658739</t>
  </si>
  <si>
    <t>55</t>
  </si>
  <si>
    <t>59224185</t>
  </si>
  <si>
    <t>prstenec šachtový vyrovnávací betonový 625x120x60mm</t>
  </si>
  <si>
    <t>693920892</t>
  </si>
  <si>
    <t>56</t>
  </si>
  <si>
    <t>59224176</t>
  </si>
  <si>
    <t>prstenec šachtový vyrovnávací betonový 625x120x80mm</t>
  </si>
  <si>
    <t>995466390</t>
  </si>
  <si>
    <t>57</t>
  </si>
  <si>
    <t>59224187</t>
  </si>
  <si>
    <t>prstenec šachtový vyrovnávací betonový 625x120x100mm</t>
  </si>
  <si>
    <t>93967658</t>
  </si>
  <si>
    <t>58</t>
  </si>
  <si>
    <t>59224188</t>
  </si>
  <si>
    <t>prstenec šachtový vyrovnávací betonový 625x120x120mm</t>
  </si>
  <si>
    <t>-1298202234</t>
  </si>
  <si>
    <t>59</t>
  </si>
  <si>
    <t>59224348</t>
  </si>
  <si>
    <t>těsnění elastomerové pro spojení šachetních dílů DN 1000</t>
  </si>
  <si>
    <t>-2062045971</t>
  </si>
  <si>
    <t>60</t>
  </si>
  <si>
    <t>899104112</t>
  </si>
  <si>
    <t>Osazení poklopů litinových nebo ocelových včetně rámů pro třídu zatížení D400, E600</t>
  </si>
  <si>
    <t>551975768</t>
  </si>
  <si>
    <t>61</t>
  </si>
  <si>
    <t>55241017</t>
  </si>
  <si>
    <t>poklop šachtový litinový kruhový DN 600 bez ventilace tř D400 pro běžný provoz</t>
  </si>
  <si>
    <t>456167197</t>
  </si>
  <si>
    <t>Ostatní konstrukce a práce-bourání</t>
  </si>
  <si>
    <t>62</t>
  </si>
  <si>
    <t>919732211</t>
  </si>
  <si>
    <t>Styčná spára napojení nového živičného povrchu na stávající za tepla š 15 mm hl 25 mm s prořezáním</t>
  </si>
  <si>
    <t>-2004670358</t>
  </si>
  <si>
    <t>14,00*2+1,30</t>
  </si>
  <si>
    <t>63</t>
  </si>
  <si>
    <t>919735113</t>
  </si>
  <si>
    <t>Řezání stávajícího živičného krytu hl přes 100 do 150 mm</t>
  </si>
  <si>
    <t>1116417300</t>
  </si>
  <si>
    <t>99</t>
  </si>
  <si>
    <t>Přesun hmot</t>
  </si>
  <si>
    <t>64</t>
  </si>
  <si>
    <t>997002611</t>
  </si>
  <si>
    <t>Nakládání suti a vybouraných hmot</t>
  </si>
  <si>
    <t>-76424796</t>
  </si>
  <si>
    <t>47,32*0,20*2,00 "asfaltové konstrukce vozovek"</t>
  </si>
  <si>
    <t>417,30*0,30*2,00 "štěrk-podkladní vrstvy vozovek"</t>
  </si>
  <si>
    <t>65</t>
  </si>
  <si>
    <t>997321511</t>
  </si>
  <si>
    <t>Vodorovná doprava suti a vybouraných hmot po suchu do 1 km</t>
  </si>
  <si>
    <t>1898401023</t>
  </si>
  <si>
    <t>269,308</t>
  </si>
  <si>
    <t>66</t>
  </si>
  <si>
    <t>997321519</t>
  </si>
  <si>
    <t xml:space="preserve">Příplatek ZKD 1km vodorovné dopravy suti a vybouraných hmot po suchu </t>
  </si>
  <si>
    <t>-1533510051</t>
  </si>
  <si>
    <t>269,308*9 "+9km"</t>
  </si>
  <si>
    <t>997</t>
  </si>
  <si>
    <t>Přesun sutě</t>
  </si>
  <si>
    <t>67</t>
  </si>
  <si>
    <t>997013871</t>
  </si>
  <si>
    <t>Poplatek za uložení stavebního odpadu na recyklační skládce (skládkovné) směsného stavebního a demoličního kód odpadu 17 09 04</t>
  </si>
  <si>
    <t>6206063</t>
  </si>
  <si>
    <t>68</t>
  </si>
  <si>
    <t>997013875</t>
  </si>
  <si>
    <t>Poplatek za uložení stavebního odpadu na recyklační skládce (skládkovné) asfaltového bez obsahu dehtu zatříděného do Katalogu odpadů pod kódem 17 03 02</t>
  </si>
  <si>
    <t>1236855692</t>
  </si>
  <si>
    <t>998</t>
  </si>
  <si>
    <t>69</t>
  </si>
  <si>
    <t>998276101</t>
  </si>
  <si>
    <t>Přesun hmot pro trubní vedení z trub z plastických hmot otevřený výkop</t>
  </si>
  <si>
    <t>1058849790</t>
  </si>
  <si>
    <t>SO 302 - VODOVOD</t>
  </si>
  <si>
    <t>222211</t>
  </si>
  <si>
    <t>M - Práce a dodávky M</t>
  </si>
  <si>
    <t xml:space="preserve">    23-M - Montáže potrubí</t>
  </si>
  <si>
    <t>HZS - Hodinové zúčtovací sazby</t>
  </si>
  <si>
    <t>113107182</t>
  </si>
  <si>
    <t>Odstranění asf.recyklátu tl přes 50 do 100 mm strojně pl přes 50 do 200 m2</t>
  </si>
  <si>
    <t>-1747121227</t>
  </si>
  <si>
    <t xml:space="preserve">91,00*1,00 "v trase řadu 0" </t>
  </si>
  <si>
    <t>300114717</t>
  </si>
  <si>
    <t>49,00*1,00 "nad ochrannými trubkami"</t>
  </si>
  <si>
    <t>156,00*1,00 "v celé trase řadu 0"</t>
  </si>
  <si>
    <t>1140420312</t>
  </si>
  <si>
    <t>24*10 "10 dnů"</t>
  </si>
  <si>
    <t>1820336561</t>
  </si>
  <si>
    <t>112932821</t>
  </si>
  <si>
    <t xml:space="preserve">1,00*10 "křížení se silovými a slaboproudými kabely" </t>
  </si>
  <si>
    <t>-360333610</t>
  </si>
  <si>
    <t>2,50*2,00*1,30*10</t>
  </si>
  <si>
    <t>132254204</t>
  </si>
  <si>
    <t>Hloubení zapažených rýh š do 2000 mm v hornině třídy těžitelnosti I skupiny 3 objem do 500 m3</t>
  </si>
  <si>
    <t>-862393677</t>
  </si>
  <si>
    <t>49,00*1,00*1,50 "ochranné trubky"</t>
  </si>
  <si>
    <t>245,75 "kubaturové listy - řad 0"</t>
  </si>
  <si>
    <t>101,79 "kubaturové listy - řad 0-1"</t>
  </si>
  <si>
    <t>151811131</t>
  </si>
  <si>
    <t>Osazení pažicího boxu hl výkopu do 4 m š do 1,2 m</t>
  </si>
  <si>
    <t>-1803790129</t>
  </si>
  <si>
    <t>49,00*1,50*2 "ochranné trubky"</t>
  </si>
  <si>
    <t>491,50 "řad  0"</t>
  </si>
  <si>
    <t>203,57 "řad  0-1"</t>
  </si>
  <si>
    <t>151811231</t>
  </si>
  <si>
    <t>Odstranění pažicího boxu hl výkopu do 4 m š do 1,2 m</t>
  </si>
  <si>
    <t>-582291586</t>
  </si>
  <si>
    <t>413108597</t>
  </si>
  <si>
    <t>421,040</t>
  </si>
  <si>
    <t>-554134298</t>
  </si>
  <si>
    <t>421,04*2,00</t>
  </si>
  <si>
    <t>391517341</t>
  </si>
  <si>
    <t>421,04</t>
  </si>
  <si>
    <t>1208297193</t>
  </si>
  <si>
    <t>421,04-27,50-107,55-(1,48+0,66+0,31) "výkopy-lože-obsyp-objem potrubí"</t>
  </si>
  <si>
    <t>CS ÚRS</t>
  </si>
  <si>
    <t>-1866336963</t>
  </si>
  <si>
    <t>283,540*2,00</t>
  </si>
  <si>
    <t>194067241</t>
  </si>
  <si>
    <t>((156,00+70,00+49,00)*1,00*0,40)-(1,48+0,66+0,31) "odečten objem potrubí"</t>
  </si>
  <si>
    <t>1541490253</t>
  </si>
  <si>
    <t>107,550*2,00</t>
  </si>
  <si>
    <t>-2098486191</t>
  </si>
  <si>
    <t xml:space="preserve">49,00*1,00*0,10 "ochranné trubky" </t>
  </si>
  <si>
    <t>156,00*1,00*0,10 "řad 0"</t>
  </si>
  <si>
    <t>70,00*1,00*0,10 "stoka 0-1"</t>
  </si>
  <si>
    <t>-1045581990</t>
  </si>
  <si>
    <t>10*1,20</t>
  </si>
  <si>
    <t>337047894</t>
  </si>
  <si>
    <t>2027289949</t>
  </si>
  <si>
    <t>12+24</t>
  </si>
  <si>
    <t>452313131</t>
  </si>
  <si>
    <t>Podkladní bloky z betonu prostého bez zvýšených nároků na prostředí tř. C 12/15 otevřený výkop</t>
  </si>
  <si>
    <t>-436131026</t>
  </si>
  <si>
    <t>0,02*9+0,04*6+0,04*3</t>
  </si>
  <si>
    <t>452353101</t>
  </si>
  <si>
    <t>Bednění podkladních bloků otevřený výkop</t>
  </si>
  <si>
    <t>1040951167</t>
  </si>
  <si>
    <t>0,13*9+0,15*6+0,27*3</t>
  </si>
  <si>
    <t>452361111</t>
  </si>
  <si>
    <t>Výztuž podkladních desek nebo bloků nebo pražců otevřený výkop z betonářské oceli 10 216</t>
  </si>
  <si>
    <t>670094856</t>
  </si>
  <si>
    <t>(0,666*6+0,800*3)*0,001</t>
  </si>
  <si>
    <t>591241111</t>
  </si>
  <si>
    <t>Kladení dlažby z kostek drobných z kamene na MC tl 50 mm</t>
  </si>
  <si>
    <t>1627919314</t>
  </si>
  <si>
    <t>0,50*6+1,00*3</t>
  </si>
  <si>
    <t>58381014</t>
  </si>
  <si>
    <t>kostka řezanoštípaná dlažební žula 10x10x8cm</t>
  </si>
  <si>
    <t>-1031104637</t>
  </si>
  <si>
    <t>857242122</t>
  </si>
  <si>
    <t>Montáž litinových tvarovek jednoosých přírubových otevřený výkop DN 80</t>
  </si>
  <si>
    <t>806889378</t>
  </si>
  <si>
    <t>55254047</t>
  </si>
  <si>
    <t>koleno 90° s patkou přírubové litinové vodovodní N-kus PN10/40 DN 80</t>
  </si>
  <si>
    <t>-1331722928</t>
  </si>
  <si>
    <t>55252235</t>
  </si>
  <si>
    <t>trouba přírubová PN10/16 DN 80 dl 200mm</t>
  </si>
  <si>
    <t>-1083859470</t>
  </si>
  <si>
    <t>857264122</t>
  </si>
  <si>
    <t>Montáž litinových tvarovek odbočných přírubových otevřený výkop DN 100</t>
  </si>
  <si>
    <t>641500357</t>
  </si>
  <si>
    <t>55253515</t>
  </si>
  <si>
    <t>tvarovka přírubová litinová s přírubovou odbočkou,práškový epoxid tl 250µm T-kus DN 100/80</t>
  </si>
  <si>
    <t>662974783</t>
  </si>
  <si>
    <t>871161141</t>
  </si>
  <si>
    <t>Montáž potrubí z PE100 SDR 11 otevřený výkop svařovaných na tupo D 32 x 3,0 mm</t>
  </si>
  <si>
    <t>-1306612936</t>
  </si>
  <si>
    <t>2,00 "přepojení stávajících vodovodních přípojek d32mm"</t>
  </si>
  <si>
    <t>28613500</t>
  </si>
  <si>
    <t>potrubí vodovodní dvouvrstvé PE100 RC SDR11 32x3,0mm</t>
  </si>
  <si>
    <t>835981054</t>
  </si>
  <si>
    <t>2,00</t>
  </si>
  <si>
    <t>2*1,05 'Přepočtené koeficientem množství</t>
  </si>
  <si>
    <t>871251221</t>
  </si>
  <si>
    <t>Montáž potrubí z PE100 SDR 17 otevřený výkop svařovaných elektrotvarovkou D 110 x 6,6 mm</t>
  </si>
  <si>
    <t>1209343708</t>
  </si>
  <si>
    <t>226,00</t>
  </si>
  <si>
    <t>28613576</t>
  </si>
  <si>
    <t>potrubí dvouvrstvé PE100 RC SDR17 110x6,6 dl 12m</t>
  </si>
  <si>
    <t>-1947699159</t>
  </si>
  <si>
    <t>226*1,05 'Přepočtené koeficientem množství</t>
  </si>
  <si>
    <t>877241201</t>
  </si>
  <si>
    <t>Montáž tvarovek svařovaných na tupo na vodovodním potrubí z PE trub d 90</t>
  </si>
  <si>
    <t>-1390837206</t>
  </si>
  <si>
    <t>3+3</t>
  </si>
  <si>
    <t>753800013</t>
  </si>
  <si>
    <t>Lemový nákružek d 90</t>
  </si>
  <si>
    <t>269233109</t>
  </si>
  <si>
    <t>727700313</t>
  </si>
  <si>
    <t>Otočná příruba d 90 PP/Steel</t>
  </si>
  <si>
    <t>-1844223993</t>
  </si>
  <si>
    <t>877251101</t>
  </si>
  <si>
    <t>Montáž elektrospojek na vodovodním potrubí z PE trub d 110</t>
  </si>
  <si>
    <t>202969276</t>
  </si>
  <si>
    <t>6+2"el.spojek a el.redukcí"</t>
  </si>
  <si>
    <t>28615975</t>
  </si>
  <si>
    <t>elektrospojka SDR11 PE 100 PN16 D 110mm</t>
  </si>
  <si>
    <t>-475598100</t>
  </si>
  <si>
    <t>28614978</t>
  </si>
  <si>
    <t>elektroredukce PE 100 PN16 D 110-90mm</t>
  </si>
  <si>
    <t>1001760661</t>
  </si>
  <si>
    <t>877251110</t>
  </si>
  <si>
    <t>Montáž elektrokolen 45° na vodovodním potrubí z PE trub d 110</t>
  </si>
  <si>
    <t>884762861</t>
  </si>
  <si>
    <t>28614949</t>
  </si>
  <si>
    <t>elektrokoleno 45° PE 100 PN16 D 110mm</t>
  </si>
  <si>
    <t>-954847123</t>
  </si>
  <si>
    <t>877251201</t>
  </si>
  <si>
    <t>Montáž tvarovek svařovaných na tupo na vodovodním potrubí z PE trub d 110</t>
  </si>
  <si>
    <t>1516448201</t>
  </si>
  <si>
    <t>4+4+1 "lemový nákružek+oročná příruba+oblouk"</t>
  </si>
  <si>
    <t>753800014</t>
  </si>
  <si>
    <t>Lemový nákružek d 110</t>
  </si>
  <si>
    <t>2092374889</t>
  </si>
  <si>
    <t>727700314</t>
  </si>
  <si>
    <t>Otočná příruba d 110 PP/Steel</t>
  </si>
  <si>
    <t>-1369731280</t>
  </si>
  <si>
    <t>753091014</t>
  </si>
  <si>
    <t>Oblouk 22° d 110, PE 100 RC</t>
  </si>
  <si>
    <t>-603950656</t>
  </si>
  <si>
    <t>877321115</t>
  </si>
  <si>
    <t>Montáž elektro T-kusů redukovaných na vodovodním potrubí z PE trub d 110/90</t>
  </si>
  <si>
    <t>3038534</t>
  </si>
  <si>
    <t>TMP.193135009</t>
  </si>
  <si>
    <t>Elektrotvarovka sedlová d 110-90</t>
  </si>
  <si>
    <t>Vlastní</t>
  </si>
  <si>
    <t>52834489</t>
  </si>
  <si>
    <t>891173911</t>
  </si>
  <si>
    <t>Montáž vodovodního ventilu hlavního pro přípojky DN 32</t>
  </si>
  <si>
    <t>354027613</t>
  </si>
  <si>
    <t>2"přepojení stávajících vodovodních přípojek d32mm"</t>
  </si>
  <si>
    <t>55110846</t>
  </si>
  <si>
    <t>ventil přímý průchozí 1"</t>
  </si>
  <si>
    <t>-225956736</t>
  </si>
  <si>
    <t>42291056</t>
  </si>
  <si>
    <t>souprava zemní pro navrtávací pas</t>
  </si>
  <si>
    <t>-476126484</t>
  </si>
  <si>
    <t>891189951</t>
  </si>
  <si>
    <t>Montáž potrubních spojek mna potrubí d32mm</t>
  </si>
  <si>
    <t>-1255039743</t>
  </si>
  <si>
    <t>2 "přepojení stávajících vodovodních přípojek d32mm"</t>
  </si>
  <si>
    <t>31951000</t>
  </si>
  <si>
    <t>potrubní spojkad32mm</t>
  </si>
  <si>
    <t>-1406214753</t>
  </si>
  <si>
    <t>891241112</t>
  </si>
  <si>
    <t>Montáž vodovodních šoupátek otevřený výkop DN 80</t>
  </si>
  <si>
    <t>1534602920</t>
  </si>
  <si>
    <t>42291073</t>
  </si>
  <si>
    <t xml:space="preserve">souprava zemní pro šoupátka DN 65-80mm </t>
  </si>
  <si>
    <t>1453800670</t>
  </si>
  <si>
    <t>42221116</t>
  </si>
  <si>
    <t>šoupátko s přírubami voda DN 80 PN16</t>
  </si>
  <si>
    <t>2132922621</t>
  </si>
  <si>
    <t>891247112</t>
  </si>
  <si>
    <t>Montáž hydrantů podzemních DN 80</t>
  </si>
  <si>
    <t>1998240858</t>
  </si>
  <si>
    <t>42273590</t>
  </si>
  <si>
    <t>hydrant podzemní DN 80 PN 16</t>
  </si>
  <si>
    <t>-1984486205</t>
  </si>
  <si>
    <t>891261112</t>
  </si>
  <si>
    <t>Montáž vodovodních šoupátek otevřený výkop DN 100</t>
  </si>
  <si>
    <t>1568824552</t>
  </si>
  <si>
    <t>42291074</t>
  </si>
  <si>
    <t xml:space="preserve">souprava zemní pro šoupátka DN 100-150mm </t>
  </si>
  <si>
    <t>1691662014</t>
  </si>
  <si>
    <t>42221117</t>
  </si>
  <si>
    <t>šoupátko s přírubami voda DN 100 PN16</t>
  </si>
  <si>
    <t>-321754030</t>
  </si>
  <si>
    <t>891269111</t>
  </si>
  <si>
    <t>Montáž navrtávacích pasů na potrubí z jakýchkoli trub DN 100</t>
  </si>
  <si>
    <t>-1127177487</t>
  </si>
  <si>
    <t>2 "přepojení vodovodních přípojek"</t>
  </si>
  <si>
    <t>42271414</t>
  </si>
  <si>
    <t xml:space="preserve">pás navrtávací  DN 100, s výstupem 1" </t>
  </si>
  <si>
    <t>1316637853</t>
  </si>
  <si>
    <t>892273122</t>
  </si>
  <si>
    <t>Proplach a dezinfekce vodovodního potrubí DN od 80 do 125</t>
  </si>
  <si>
    <t>-1584661083</t>
  </si>
  <si>
    <t>156,00+70,00</t>
  </si>
  <si>
    <t>899401111</t>
  </si>
  <si>
    <t>Osazení poklopů litinových ventilových</t>
  </si>
  <si>
    <t>1222408965</t>
  </si>
  <si>
    <t>2 "přepojení stávajících vodovodních přípojek"</t>
  </si>
  <si>
    <t>42291402</t>
  </si>
  <si>
    <t>poklop litinový ventilový</t>
  </si>
  <si>
    <t>-525189796</t>
  </si>
  <si>
    <t>42210051</t>
  </si>
  <si>
    <t>deska podkladová uličního poklopu litinového ventilového</t>
  </si>
  <si>
    <t>1958768824</t>
  </si>
  <si>
    <t>899401112</t>
  </si>
  <si>
    <t>Osazení poklopů litinových šoupátkových</t>
  </si>
  <si>
    <t>-1289849985</t>
  </si>
  <si>
    <t>42291352</t>
  </si>
  <si>
    <t>poklop litinový šoupátkový pro zemní soupravy osazení do terénu a do vozovky</t>
  </si>
  <si>
    <t>-1166045351</t>
  </si>
  <si>
    <t>70</t>
  </si>
  <si>
    <t>899401113</t>
  </si>
  <si>
    <t>Osazení poklopů litinových hydrantových</t>
  </si>
  <si>
    <t>-1826022917</t>
  </si>
  <si>
    <t>71</t>
  </si>
  <si>
    <t>42291452</t>
  </si>
  <si>
    <t>poklop litinový hydrantový DN 80</t>
  </si>
  <si>
    <t>-97671736</t>
  </si>
  <si>
    <t>72</t>
  </si>
  <si>
    <t>899721111</t>
  </si>
  <si>
    <t>Signalizační vodič DN do 150 mm na potrubí</t>
  </si>
  <si>
    <t>-115511120</t>
  </si>
  <si>
    <t>240,00</t>
  </si>
  <si>
    <t>73</t>
  </si>
  <si>
    <t>34140844</t>
  </si>
  <si>
    <t>vodič siganlizační 1x6mm2</t>
  </si>
  <si>
    <t>-2119603802</t>
  </si>
  <si>
    <t>240*1,05 'Přepočtené koeficientem množství</t>
  </si>
  <si>
    <t>74</t>
  </si>
  <si>
    <t>899722114</t>
  </si>
  <si>
    <t>Krytí potrubí z plastů výstražnou fólií z PVC 40 cm</t>
  </si>
  <si>
    <t>-923960357</t>
  </si>
  <si>
    <t>230,00</t>
  </si>
  <si>
    <t>75</t>
  </si>
  <si>
    <t>69311307</t>
  </si>
  <si>
    <t>výstražná fólie do výkopu š 400mm</t>
  </si>
  <si>
    <t>-690433540</t>
  </si>
  <si>
    <t>76</t>
  </si>
  <si>
    <t>966071711</t>
  </si>
  <si>
    <t>Bourání sloupků a vzpěr plotových ocelových do 2,5 m zabetonovaných</t>
  </si>
  <si>
    <t>1091070876</t>
  </si>
  <si>
    <t>150,00/3,00</t>
  </si>
  <si>
    <t>77</t>
  </si>
  <si>
    <t>966071822</t>
  </si>
  <si>
    <t>Rozebrání oplocení z drátěného pletiva se čtvercovými oky v přes 1,6 do 2,0 m</t>
  </si>
  <si>
    <t>-863434163</t>
  </si>
  <si>
    <t>150,00</t>
  </si>
  <si>
    <t>78</t>
  </si>
  <si>
    <t>918560544</t>
  </si>
  <si>
    <t>49,00*1,00*0,30*2,00 "nad ochrannými trubkami"</t>
  </si>
  <si>
    <t>156,00*1,00*0,30*2,00 "v celé trase řadu 0"</t>
  </si>
  <si>
    <t>79</t>
  </si>
  <si>
    <t>309196550</t>
  </si>
  <si>
    <t>123,00</t>
  </si>
  <si>
    <t>80</t>
  </si>
  <si>
    <t>-2127778749</t>
  </si>
  <si>
    <t>123,00*9 "9km"</t>
  </si>
  <si>
    <t>81</t>
  </si>
  <si>
    <t>728926742</t>
  </si>
  <si>
    <t>82</t>
  </si>
  <si>
    <t>136814384</t>
  </si>
  <si>
    <t>Práce a dodávky M</t>
  </si>
  <si>
    <t>23-M</t>
  </si>
  <si>
    <t>Montáže potrubí</t>
  </si>
  <si>
    <t>83</t>
  </si>
  <si>
    <t>230170003</t>
  </si>
  <si>
    <t>Tlakové zkoušky těsnosti potrubí - příprava DN přes 80 do 125</t>
  </si>
  <si>
    <t>sada</t>
  </si>
  <si>
    <t>1631445464</t>
  </si>
  <si>
    <t>84</t>
  </si>
  <si>
    <t>230170013</t>
  </si>
  <si>
    <t>Tlakové zkoušky těsnosti potrubí - zkouška DN přes 80 do 125</t>
  </si>
  <si>
    <t>-131101091</t>
  </si>
  <si>
    <t>HZS</t>
  </si>
  <si>
    <t>Hodinové zúčtovací sazby</t>
  </si>
  <si>
    <t>85</t>
  </si>
  <si>
    <t>HZS3111</t>
  </si>
  <si>
    <t>Hodinová zúčtovací sazba montér potrubí-práce na propojení na stávající vodovod</t>
  </si>
  <si>
    <t>512</t>
  </si>
  <si>
    <t>-2364121</t>
  </si>
  <si>
    <t>3*8</t>
  </si>
  <si>
    <t>VRN - Vedlejší rozpočtové náklady</t>
  </si>
  <si>
    <t>42.2</t>
  </si>
  <si>
    <t xml:space="preserve">    VRN3 - Zařízení staveniště</t>
  </si>
  <si>
    <t xml:space="preserve">    VRN4 - Inženýrská činnost</t>
  </si>
  <si>
    <t xml:space="preserve">    VRN7 - Provozní vlivy</t>
  </si>
  <si>
    <t>VRN1 - Průzkumné, geodetické a projektové práce</t>
  </si>
  <si>
    <t>VRN3</t>
  </si>
  <si>
    <t>Zařízení staveniště</t>
  </si>
  <si>
    <t>031002000</t>
  </si>
  <si>
    <t>Související přípravné práce pro vybudování zařízení staveniště</t>
  </si>
  <si>
    <t>komplet</t>
  </si>
  <si>
    <t>1024</t>
  </si>
  <si>
    <t>180287137</t>
  </si>
  <si>
    <t>032002000</t>
  </si>
  <si>
    <t>Vybavení zařízení staveniště</t>
  </si>
  <si>
    <t>1319634365</t>
  </si>
  <si>
    <t>039002000</t>
  </si>
  <si>
    <t>Zrušení zařízení staveniště včetně uvedení dotčených ploch do původního stavu</t>
  </si>
  <si>
    <t>-16746330</t>
  </si>
  <si>
    <t>VRN4</t>
  </si>
  <si>
    <t>Inženýrská činnost</t>
  </si>
  <si>
    <t>043144000</t>
  </si>
  <si>
    <t>Zkoušky těsnosti kanalizace</t>
  </si>
  <si>
    <t>-89082589</t>
  </si>
  <si>
    <t>043154000</t>
  </si>
  <si>
    <t>Zkoušky hutnicí-zkouška únosnosti pláně</t>
  </si>
  <si>
    <t>-308251632</t>
  </si>
  <si>
    <t>043194000.1</t>
  </si>
  <si>
    <t>Ostatní zkoušky - zkoušky signalizačního vodiče (vodovod)</t>
  </si>
  <si>
    <t>-889069168</t>
  </si>
  <si>
    <t>2 "dva vodovodní řady"</t>
  </si>
  <si>
    <t>043194000.2</t>
  </si>
  <si>
    <t>Ostatní zkoušky-bakteriologický rozbor (vodovod)</t>
  </si>
  <si>
    <t>210448540</t>
  </si>
  <si>
    <t>043203000</t>
  </si>
  <si>
    <t>Rozbory asfaltu PAU (přítomnost dehtu)</t>
  </si>
  <si>
    <t>286974809</t>
  </si>
  <si>
    <t>043203002</t>
  </si>
  <si>
    <t>Monitoring kanalizace (kamerová prohlídka stoky včetně vyhodnocení)</t>
  </si>
  <si>
    <t>komlpet</t>
  </si>
  <si>
    <t>-1777074104</t>
  </si>
  <si>
    <t>044003000</t>
  </si>
  <si>
    <t>Revize hydrantů (vodovod)</t>
  </si>
  <si>
    <t>1369226667</t>
  </si>
  <si>
    <t>049103000</t>
  </si>
  <si>
    <t>Náklady vzniklé v souvislosti s realizací stavby-vytýčení ostatních inž.sítí</t>
  </si>
  <si>
    <t>1876297124</t>
  </si>
  <si>
    <t>VRN7</t>
  </si>
  <si>
    <t>Provozní vlivy</t>
  </si>
  <si>
    <t>072103011</t>
  </si>
  <si>
    <t xml:space="preserve">Zajištění DIO (dopravně-inženžrská opatření, přechodné dopravní značení) </t>
  </si>
  <si>
    <t>1411153463</t>
  </si>
  <si>
    <t>VRN1</t>
  </si>
  <si>
    <t>Průzkumné, geodetické a projektové práce</t>
  </si>
  <si>
    <t>012103000</t>
  </si>
  <si>
    <t xml:space="preserve">Geodetické práce před výstavbou - vytýčení stavby </t>
  </si>
  <si>
    <t>-880612755</t>
  </si>
  <si>
    <t>2 "SO kanalizace + SO vodovodu"</t>
  </si>
  <si>
    <t>012203000</t>
  </si>
  <si>
    <t>Geodetické práce při provádění stavby</t>
  </si>
  <si>
    <t>814351620</t>
  </si>
  <si>
    <t>013274000</t>
  </si>
  <si>
    <t xml:space="preserve">Pasportizace sousedního objektu před započetím prací ve spolupráci se statikem, případný návrh opatření během provádění prací </t>
  </si>
  <si>
    <t>175400876</t>
  </si>
  <si>
    <t>1 "objekt kaple u židovského hřbitova"</t>
  </si>
  <si>
    <t>013254000</t>
  </si>
  <si>
    <t xml:space="preserve">Dokumentace skutečného provedení stavby </t>
  </si>
  <si>
    <t>-702946453</t>
  </si>
  <si>
    <t>24*2 "dva stavební objekty"</t>
  </si>
  <si>
    <t>NÁZEV:</t>
  </si>
  <si>
    <t>Podivín - ul. Hřbitovní, dopravní a tech. infrastruktura, SO 301-KANALIZACE</t>
  </si>
  <si>
    <t xml:space="preserve"> STOKA "N"</t>
  </si>
  <si>
    <t>VÝKAZ</t>
  </si>
  <si>
    <t>VÝMĚR</t>
  </si>
  <si>
    <t>PAŽENÍ</t>
  </si>
  <si>
    <t>HLOUBENÍ</t>
  </si>
  <si>
    <t>STANIČ.</t>
  </si>
  <si>
    <t>VZDÁL.</t>
  </si>
  <si>
    <t>HLOUBKY</t>
  </si>
  <si>
    <t>PLOCHY</t>
  </si>
  <si>
    <t>KUBATURY</t>
  </si>
  <si>
    <t>JEDNOTL.</t>
  </si>
  <si>
    <t>SOUHRN</t>
  </si>
  <si>
    <t>PRŮMĚR</t>
  </si>
  <si>
    <t>DO 2m</t>
  </si>
  <si>
    <t>DO 4m</t>
  </si>
  <si>
    <t>DO 6m</t>
  </si>
  <si>
    <t>Š.RÝHY</t>
  </si>
  <si>
    <t>DO 1m</t>
  </si>
  <si>
    <t>DO 2,5m</t>
  </si>
  <si>
    <t>SOUČTY:</t>
  </si>
  <si>
    <t>PŘÍPOČET NA ŠACHTY:</t>
  </si>
  <si>
    <t>PŘÍPOČET NA DRENÁŽ</t>
  </si>
  <si>
    <t>OBJEM POTRUBÍ</t>
  </si>
  <si>
    <t>ČÍSLO ŠACHTY</t>
  </si>
  <si>
    <t>HLOUBKU</t>
  </si>
  <si>
    <t>KUBATURA</t>
  </si>
  <si>
    <t>PLOCHA</t>
  </si>
  <si>
    <t>DÉLKA</t>
  </si>
  <si>
    <t>PROFIL</t>
  </si>
  <si>
    <t>OBJEM</t>
  </si>
  <si>
    <t>mm</t>
  </si>
  <si>
    <t>Š1</t>
  </si>
  <si>
    <t>Š2</t>
  </si>
  <si>
    <t>Š3</t>
  </si>
  <si>
    <t>Š4</t>
  </si>
  <si>
    <t>Š5</t>
  </si>
  <si>
    <t>Š6</t>
  </si>
  <si>
    <t>Š7</t>
  </si>
  <si>
    <t>Š8</t>
  </si>
  <si>
    <t>Š9</t>
  </si>
  <si>
    <t>Š10</t>
  </si>
  <si>
    <t>Š11</t>
  </si>
  <si>
    <t>CELKOVÝ OBJEM</t>
  </si>
  <si>
    <t xml:space="preserve">Výkopy + přípočet na šachty + přípočet na drenáž </t>
  </si>
  <si>
    <t>Výkopy + přípočet na šachty + přípočet na drenáž - objem potrubí</t>
  </si>
  <si>
    <t xml:space="preserve"> STOKA "N-1"</t>
  </si>
  <si>
    <t>Š12</t>
  </si>
  <si>
    <t>Š13</t>
  </si>
  <si>
    <t>Podivín - ul. Hřbitovní, dopravní a tech. infrastruktura, SO 303-VODOVOD</t>
  </si>
  <si>
    <t xml:space="preserve">  ŘAD "0"</t>
  </si>
  <si>
    <t>x2</t>
  </si>
  <si>
    <t xml:space="preserve">Výkopy  </t>
  </si>
  <si>
    <t>Výkopy- objem potrubí</t>
  </si>
  <si>
    <t xml:space="preserve">  ŘAD "0-1"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</si>
</sst>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gray125">
        <fgColor indexed="22"/>
        <bgColor indexed="1"/>
      </patternFill>
    </fill>
    <fill>
      <patternFill patternType="gray125">
        <fgColor indexed="9"/>
        <bgColor indexed="1"/>
      </patternFill>
    </fill>
    <fill>
      <patternFill patternType="solid">
        <fgColor indexed="9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2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left"/>
    </xf>
    <xf numFmtId="2" fontId="38" fillId="0" borderId="0" xfId="0" applyNumberFormat="1" applyFont="1" applyAlignment="1">
      <alignment horizontal="center"/>
    </xf>
    <xf numFmtId="2" fontId="37" fillId="5" borderId="23" xfId="0" applyNumberFormat="1" applyFont="1" applyFill="1" applyBorder="1" applyAlignment="1">
      <alignment horizontal="center"/>
    </xf>
    <xf numFmtId="2" fontId="37" fillId="5" borderId="24" xfId="0" applyNumberFormat="1" applyFont="1" applyFill="1" applyBorder="1" applyAlignment="1">
      <alignment horizontal="left"/>
    </xf>
    <xf numFmtId="2" fontId="37" fillId="5" borderId="24" xfId="0" applyNumberFormat="1" applyFont="1" applyFill="1" applyBorder="1" applyAlignment="1">
      <alignment horizontal="center"/>
    </xf>
    <xf numFmtId="2" fontId="37" fillId="5" borderId="25" xfId="0" applyNumberFormat="1" applyFont="1" applyFill="1" applyBorder="1" applyAlignment="1">
      <alignment horizontal="center"/>
    </xf>
    <xf numFmtId="2" fontId="39" fillId="5" borderId="26" xfId="0" applyNumberFormat="1" applyFont="1" applyFill="1" applyBorder="1" applyAlignment="1">
      <alignment horizontal="center"/>
    </xf>
    <xf numFmtId="2" fontId="37" fillId="5" borderId="27" xfId="0" applyNumberFormat="1" applyFont="1" applyFill="1" applyBorder="1" applyAlignment="1">
      <alignment horizontal="center"/>
    </xf>
    <xf numFmtId="2" fontId="37" fillId="5" borderId="26" xfId="0" applyNumberFormat="1" applyFont="1" applyFill="1" applyBorder="1" applyAlignment="1">
      <alignment horizontal="center"/>
    </xf>
    <xf numFmtId="2" fontId="37" fillId="5" borderId="28" xfId="0" applyNumberFormat="1" applyFont="1" applyFill="1" applyBorder="1" applyAlignment="1">
      <alignment horizontal="center"/>
    </xf>
    <xf numFmtId="2" fontId="39" fillId="5" borderId="27" xfId="0" applyNumberFormat="1" applyFont="1" applyFill="1" applyBorder="1" applyAlignment="1">
      <alignment horizontal="center"/>
    </xf>
    <xf numFmtId="2" fontId="37" fillId="5" borderId="29" xfId="0" applyNumberFormat="1" applyFont="1" applyFill="1" applyBorder="1" applyAlignment="1">
      <alignment horizontal="center"/>
    </xf>
    <xf numFmtId="2" fontId="37" fillId="5" borderId="30" xfId="0" applyNumberFormat="1" applyFont="1" applyFill="1" applyBorder="1" applyAlignment="1">
      <alignment horizontal="center"/>
    </xf>
    <xf numFmtId="2" fontId="37" fillId="5" borderId="31" xfId="0" applyNumberFormat="1" applyFont="1" applyFill="1" applyBorder="1" applyAlignment="1">
      <alignment horizontal="center"/>
    </xf>
    <xf numFmtId="2" fontId="40" fillId="0" borderId="27" xfId="0" applyNumberFormat="1" applyFont="1" applyBorder="1" applyAlignment="1">
      <alignment horizontal="center"/>
    </xf>
    <xf numFmtId="2" fontId="38" fillId="0" borderId="27" xfId="0" applyNumberFormat="1" applyFont="1" applyBorder="1" applyAlignment="1">
      <alignment horizontal="center"/>
    </xf>
    <xf numFmtId="2" fontId="38" fillId="5" borderId="27" xfId="0" applyNumberFormat="1" applyFont="1" applyFill="1" applyBorder="1" applyAlignment="1">
      <alignment horizontal="center"/>
    </xf>
    <xf numFmtId="2" fontId="40" fillId="5" borderId="27" xfId="0" applyNumberFormat="1" applyFont="1" applyFill="1" applyBorder="1" applyAlignment="1">
      <alignment horizontal="center"/>
    </xf>
    <xf numFmtId="2" fontId="40" fillId="0" borderId="0" xfId="0" applyNumberFormat="1" applyFont="1" applyAlignment="1">
      <alignment horizontal="center"/>
    </xf>
    <xf numFmtId="2" fontId="37" fillId="0" borderId="32" xfId="0" applyNumberFormat="1" applyFont="1" applyBorder="1" applyAlignment="1">
      <alignment horizontal="center"/>
    </xf>
    <xf numFmtId="2" fontId="37" fillId="0" borderId="27" xfId="0" applyNumberFormat="1" applyFont="1" applyBorder="1" applyAlignment="1">
      <alignment horizontal="center"/>
    </xf>
    <xf numFmtId="2" fontId="38" fillId="0" borderId="33" xfId="0" applyNumberFormat="1" applyFont="1" applyBorder="1" applyAlignment="1">
      <alignment horizontal="left"/>
    </xf>
    <xf numFmtId="2" fontId="38" fillId="0" borderId="34" xfId="0" applyNumberFormat="1" applyFont="1" applyBorder="1" applyAlignment="1">
      <alignment horizontal="center"/>
    </xf>
    <xf numFmtId="2" fontId="38" fillId="0" borderId="34" xfId="0" applyNumberFormat="1" applyFont="1" applyBorder="1" applyAlignment="1">
      <alignment horizontal="left"/>
    </xf>
    <xf numFmtId="2" fontId="38" fillId="0" borderId="35" xfId="0" applyNumberFormat="1" applyFont="1" applyBorder="1" applyAlignment="1">
      <alignment horizontal="center"/>
    </xf>
    <xf numFmtId="2" fontId="38" fillId="0" borderId="33" xfId="0" applyNumberFormat="1" applyFont="1" applyBorder="1" applyAlignment="1">
      <alignment horizontal="center"/>
    </xf>
    <xf numFmtId="2" fontId="38" fillId="0" borderId="35" xfId="0" applyNumberFormat="1" applyFont="1" applyBorder="1" applyAlignment="1">
      <alignment horizontal="left"/>
    </xf>
    <xf numFmtId="2" fontId="38" fillId="0" borderId="36" xfId="0" applyNumberFormat="1" applyFont="1" applyBorder="1" applyAlignment="1">
      <alignment horizontal="center"/>
    </xf>
    <xf numFmtId="2" fontId="38" fillId="0" borderId="37" xfId="0" applyNumberFormat="1" applyFont="1" applyBorder="1" applyAlignment="1">
      <alignment horizontal="center"/>
    </xf>
    <xf numFmtId="2" fontId="38" fillId="0" borderId="38" xfId="0" applyNumberFormat="1" applyFont="1" applyBorder="1" applyAlignment="1">
      <alignment horizontal="center"/>
    </xf>
    <xf numFmtId="2" fontId="38" fillId="0" borderId="39" xfId="0" applyNumberFormat="1" applyFont="1" applyBorder="1" applyAlignment="1">
      <alignment horizontal="center"/>
    </xf>
    <xf numFmtId="1" fontId="38" fillId="0" borderId="39" xfId="0" applyNumberFormat="1" applyFont="1" applyBorder="1" applyAlignment="1">
      <alignment horizontal="center"/>
    </xf>
    <xf numFmtId="2" fontId="38" fillId="0" borderId="32" xfId="0" applyNumberFormat="1" applyFont="1" applyBorder="1" applyAlignment="1">
      <alignment horizontal="center"/>
    </xf>
    <xf numFmtId="1" fontId="38" fillId="0" borderId="32" xfId="0" applyNumberFormat="1" applyFont="1" applyBorder="1" applyAlignment="1">
      <alignment horizontal="center"/>
    </xf>
    <xf numFmtId="2" fontId="37" fillId="0" borderId="0" xfId="0" applyNumberFormat="1" applyFont="1" applyAlignment="1">
      <alignment horizontal="right"/>
    </xf>
    <xf numFmtId="2" fontId="38" fillId="0" borderId="0" xfId="0" applyNumberFormat="1" applyFont="1" applyAlignment="1">
      <alignment horizontal="left"/>
    </xf>
    <xf numFmtId="2" fontId="38" fillId="6" borderId="27" xfId="0" applyNumberFormat="1" applyFont="1" applyFill="1" applyBorder="1" applyAlignment="1">
      <alignment horizontal="center"/>
    </xf>
    <xf numFmtId="2" fontId="38" fillId="7" borderId="27" xfId="0" applyNumberFormat="1" applyFont="1" applyFill="1" applyBorder="1" applyAlignment="1">
      <alignment horizontal="center"/>
    </xf>
    <xf numFmtId="2" fontId="37" fillId="7" borderId="27" xfId="0" applyNumberFormat="1" applyFont="1" applyFill="1" applyBorder="1" applyAlignment="1">
      <alignment horizontal="center"/>
    </xf>
    <xf numFmtId="2" fontId="38" fillId="0" borderId="40" xfId="0" applyNumberFormat="1" applyFont="1" applyBorder="1" applyAlignment="1">
      <alignment horizontal="center"/>
    </xf>
    <xf numFmtId="1" fontId="38" fillId="0" borderId="0" xfId="0" applyNumberFormat="1" applyFont="1" applyAlignment="1">
      <alignment horizont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321945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260985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173990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80</xdr:row>
      <xdr:rowOff>0</xdr:rowOff>
    </xdr:from>
    <xdr:to>
      <xdr:col>9</xdr:col>
      <xdr:colOff>1215390</xdr:colOff>
      <xdr:row>83</xdr:row>
      <xdr:rowOff>173990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111</xdr:row>
      <xdr:rowOff>0</xdr:rowOff>
    </xdr:from>
    <xdr:to>
      <xdr:col>9</xdr:col>
      <xdr:colOff>1215390</xdr:colOff>
      <xdr:row>114</xdr:row>
      <xdr:rowOff>173990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173990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80</xdr:row>
      <xdr:rowOff>0</xdr:rowOff>
    </xdr:from>
    <xdr:to>
      <xdr:col>9</xdr:col>
      <xdr:colOff>1215390</xdr:colOff>
      <xdr:row>83</xdr:row>
      <xdr:rowOff>173990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113</xdr:row>
      <xdr:rowOff>0</xdr:rowOff>
    </xdr:from>
    <xdr:to>
      <xdr:col>9</xdr:col>
      <xdr:colOff>1215390</xdr:colOff>
      <xdr:row>116</xdr:row>
      <xdr:rowOff>173990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173990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80</xdr:row>
      <xdr:rowOff>0</xdr:rowOff>
    </xdr:from>
    <xdr:to>
      <xdr:col>9</xdr:col>
      <xdr:colOff>1215390</xdr:colOff>
      <xdr:row>83</xdr:row>
      <xdr:rowOff>173990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109</xdr:row>
      <xdr:rowOff>173990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B2" sqref="B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25" t="s">
        <v>14</v>
      </c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R5" s="18"/>
      <c r="BE5" s="222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26" t="s">
        <v>17</v>
      </c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R6" s="18"/>
      <c r="BE6" s="223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21</v>
      </c>
      <c r="AR7" s="18"/>
      <c r="BE7" s="223"/>
      <c r="BS7" s="15" t="s">
        <v>6</v>
      </c>
    </row>
    <row r="8" spans="1:74" ht="12" customHeight="1">
      <c r="B8" s="18"/>
      <c r="D8" s="25" t="s">
        <v>22</v>
      </c>
      <c r="K8" s="23" t="s">
        <v>23</v>
      </c>
      <c r="AK8" s="25" t="s">
        <v>24</v>
      </c>
      <c r="AN8" s="26" t="s">
        <v>25</v>
      </c>
      <c r="AR8" s="18"/>
      <c r="BE8" s="223"/>
      <c r="BS8" s="15" t="s">
        <v>6</v>
      </c>
    </row>
    <row r="9" spans="1:74" ht="29.25" customHeight="1">
      <c r="B9" s="18"/>
      <c r="D9" s="22" t="s">
        <v>26</v>
      </c>
      <c r="K9" s="27" t="s">
        <v>27</v>
      </c>
      <c r="AK9" s="22" t="s">
        <v>28</v>
      </c>
      <c r="AN9" s="27" t="s">
        <v>29</v>
      </c>
      <c r="AR9" s="18"/>
      <c r="BE9" s="223"/>
      <c r="BS9" s="15" t="s">
        <v>6</v>
      </c>
    </row>
    <row r="10" spans="1:74" ht="12" customHeight="1">
      <c r="B10" s="18"/>
      <c r="D10" s="25" t="s">
        <v>30</v>
      </c>
      <c r="AK10" s="25" t="s">
        <v>31</v>
      </c>
      <c r="AN10" s="23" t="s">
        <v>32</v>
      </c>
      <c r="AR10" s="18"/>
      <c r="BE10" s="223"/>
      <c r="BS10" s="15" t="s">
        <v>6</v>
      </c>
    </row>
    <row r="11" spans="1:74" ht="18.399999999999999" customHeight="1">
      <c r="B11" s="18"/>
      <c r="E11" s="23" t="s">
        <v>33</v>
      </c>
      <c r="AK11" s="25" t="s">
        <v>34</v>
      </c>
      <c r="AN11" s="23" t="s">
        <v>1</v>
      </c>
      <c r="AR11" s="18"/>
      <c r="BE11" s="223"/>
      <c r="BS11" s="15" t="s">
        <v>6</v>
      </c>
    </row>
    <row r="12" spans="1:74" ht="6.95" customHeight="1">
      <c r="B12" s="18"/>
      <c r="AR12" s="18"/>
      <c r="BE12" s="223"/>
      <c r="BS12" s="15" t="s">
        <v>6</v>
      </c>
    </row>
    <row r="13" spans="1:74" ht="12" customHeight="1">
      <c r="B13" s="18"/>
      <c r="D13" s="25" t="s">
        <v>35</v>
      </c>
      <c r="AK13" s="25" t="s">
        <v>31</v>
      </c>
      <c r="AN13" s="28" t="s">
        <v>36</v>
      </c>
      <c r="AR13" s="18"/>
      <c r="BE13" s="223"/>
      <c r="BS13" s="15" t="s">
        <v>6</v>
      </c>
    </row>
    <row r="14" spans="1:74" ht="12.75">
      <c r="B14" s="18"/>
      <c r="E14" s="227" t="s">
        <v>36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5" t="s">
        <v>34</v>
      </c>
      <c r="AN14" s="28" t="s">
        <v>36</v>
      </c>
      <c r="AR14" s="18"/>
      <c r="BE14" s="223"/>
      <c r="BS14" s="15" t="s">
        <v>6</v>
      </c>
    </row>
    <row r="15" spans="1:74" ht="6.95" customHeight="1">
      <c r="B15" s="18"/>
      <c r="AR15" s="18"/>
      <c r="BE15" s="223"/>
      <c r="BS15" s="15" t="s">
        <v>4</v>
      </c>
    </row>
    <row r="16" spans="1:74" ht="12" customHeight="1">
      <c r="B16" s="18"/>
      <c r="D16" s="25" t="s">
        <v>37</v>
      </c>
      <c r="AK16" s="25" t="s">
        <v>31</v>
      </c>
      <c r="AN16" s="23" t="s">
        <v>38</v>
      </c>
      <c r="AR16" s="18"/>
      <c r="BE16" s="223"/>
      <c r="BS16" s="15" t="s">
        <v>4</v>
      </c>
    </row>
    <row r="17" spans="2:71" ht="18.399999999999999" customHeight="1">
      <c r="B17" s="18"/>
      <c r="E17" s="23" t="s">
        <v>39</v>
      </c>
      <c r="AK17" s="25" t="s">
        <v>34</v>
      </c>
      <c r="AN17" s="23" t="s">
        <v>1</v>
      </c>
      <c r="AR17" s="18"/>
      <c r="BE17" s="223"/>
      <c r="BS17" s="15" t="s">
        <v>40</v>
      </c>
    </row>
    <row r="18" spans="2:71" ht="6.95" customHeight="1">
      <c r="B18" s="18"/>
      <c r="AR18" s="18"/>
      <c r="BE18" s="223"/>
      <c r="BS18" s="15" t="s">
        <v>6</v>
      </c>
    </row>
    <row r="19" spans="2:71" ht="12" customHeight="1">
      <c r="B19" s="18"/>
      <c r="D19" s="25" t="s">
        <v>41</v>
      </c>
      <c r="AK19" s="25" t="s">
        <v>31</v>
      </c>
      <c r="AN19" s="23" t="s">
        <v>38</v>
      </c>
      <c r="AR19" s="18"/>
      <c r="BE19" s="223"/>
      <c r="BS19" s="15" t="s">
        <v>6</v>
      </c>
    </row>
    <row r="20" spans="2:71" ht="18.399999999999999" customHeight="1">
      <c r="B20" s="18"/>
      <c r="E20" s="23" t="s">
        <v>39</v>
      </c>
      <c r="AK20" s="25" t="s">
        <v>34</v>
      </c>
      <c r="AN20" s="23" t="s">
        <v>1</v>
      </c>
      <c r="AR20" s="18"/>
      <c r="BE20" s="223"/>
      <c r="BS20" s="15" t="s">
        <v>40</v>
      </c>
    </row>
    <row r="21" spans="2:71" ht="6.95" customHeight="1">
      <c r="B21" s="18"/>
      <c r="AR21" s="18"/>
      <c r="BE21" s="223"/>
    </row>
    <row r="22" spans="2:71" ht="12" customHeight="1">
      <c r="B22" s="18"/>
      <c r="D22" s="25" t="s">
        <v>42</v>
      </c>
      <c r="AR22" s="18"/>
      <c r="BE22" s="223"/>
    </row>
    <row r="23" spans="2:71" ht="16.5" customHeight="1">
      <c r="B23" s="18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18"/>
      <c r="BE23" s="223"/>
    </row>
    <row r="24" spans="2:71" ht="6.95" customHeight="1">
      <c r="B24" s="18"/>
      <c r="AR24" s="18"/>
      <c r="BE24" s="223"/>
    </row>
    <row r="25" spans="2:71" ht="6.95" customHeight="1">
      <c r="B25" s="18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8"/>
      <c r="BE25" s="223"/>
    </row>
    <row r="26" spans="2:71" s="1" customFormat="1" ht="25.9" customHeight="1">
      <c r="B26" s="31"/>
      <c r="D26" s="32" t="s">
        <v>43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0">
        <f>ROUND(AG94,2)</f>
        <v>0</v>
      </c>
      <c r="AL26" s="231"/>
      <c r="AM26" s="231"/>
      <c r="AN26" s="231"/>
      <c r="AO26" s="231"/>
      <c r="AR26" s="31"/>
      <c r="BE26" s="223"/>
    </row>
    <row r="27" spans="2:71" s="1" customFormat="1" ht="6.95" customHeight="1">
      <c r="B27" s="31"/>
      <c r="AR27" s="31"/>
      <c r="BE27" s="223"/>
    </row>
    <row r="28" spans="2:71" s="1" customFormat="1" ht="12.75">
      <c r="B28" s="31"/>
      <c r="L28" s="232" t="s">
        <v>44</v>
      </c>
      <c r="M28" s="232"/>
      <c r="N28" s="232"/>
      <c r="O28" s="232"/>
      <c r="P28" s="232"/>
      <c r="W28" s="232" t="s">
        <v>45</v>
      </c>
      <c r="X28" s="232"/>
      <c r="Y28" s="232"/>
      <c r="Z28" s="232"/>
      <c r="AA28" s="232"/>
      <c r="AB28" s="232"/>
      <c r="AC28" s="232"/>
      <c r="AD28" s="232"/>
      <c r="AE28" s="232"/>
      <c r="AK28" s="232" t="s">
        <v>46</v>
      </c>
      <c r="AL28" s="232"/>
      <c r="AM28" s="232"/>
      <c r="AN28" s="232"/>
      <c r="AO28" s="232"/>
      <c r="AR28" s="31"/>
      <c r="BE28" s="223"/>
    </row>
    <row r="29" spans="2:71" s="2" customFormat="1" ht="14.45" customHeight="1">
      <c r="B29" s="34"/>
      <c r="D29" s="25" t="s">
        <v>47</v>
      </c>
      <c r="F29" s="25" t="s">
        <v>48</v>
      </c>
      <c r="L29" s="221">
        <v>0.21</v>
      </c>
      <c r="M29" s="220"/>
      <c r="N29" s="220"/>
      <c r="O29" s="220"/>
      <c r="P29" s="220"/>
      <c r="W29" s="219">
        <f>ROUND(AZ94, 2)</f>
        <v>0</v>
      </c>
      <c r="X29" s="220"/>
      <c r="Y29" s="220"/>
      <c r="Z29" s="220"/>
      <c r="AA29" s="220"/>
      <c r="AB29" s="220"/>
      <c r="AC29" s="220"/>
      <c r="AD29" s="220"/>
      <c r="AE29" s="220"/>
      <c r="AK29" s="219">
        <f>ROUND(AV94, 2)</f>
        <v>0</v>
      </c>
      <c r="AL29" s="220"/>
      <c r="AM29" s="220"/>
      <c r="AN29" s="220"/>
      <c r="AO29" s="220"/>
      <c r="AR29" s="34"/>
      <c r="BE29" s="224"/>
    </row>
    <row r="30" spans="2:71" s="2" customFormat="1" ht="14.45" customHeight="1">
      <c r="B30" s="34"/>
      <c r="F30" s="25" t="s">
        <v>49</v>
      </c>
      <c r="L30" s="221">
        <v>0.12</v>
      </c>
      <c r="M30" s="220"/>
      <c r="N30" s="220"/>
      <c r="O30" s="220"/>
      <c r="P30" s="220"/>
      <c r="W30" s="219">
        <f>ROUND(BA94, 2)</f>
        <v>0</v>
      </c>
      <c r="X30" s="220"/>
      <c r="Y30" s="220"/>
      <c r="Z30" s="220"/>
      <c r="AA30" s="220"/>
      <c r="AB30" s="220"/>
      <c r="AC30" s="220"/>
      <c r="AD30" s="220"/>
      <c r="AE30" s="220"/>
      <c r="AK30" s="219">
        <f>ROUND(AW94, 2)</f>
        <v>0</v>
      </c>
      <c r="AL30" s="220"/>
      <c r="AM30" s="220"/>
      <c r="AN30" s="220"/>
      <c r="AO30" s="220"/>
      <c r="AR30" s="34"/>
      <c r="BE30" s="224"/>
    </row>
    <row r="31" spans="2:71" s="2" customFormat="1" ht="14.45" hidden="1" customHeight="1">
      <c r="B31" s="34"/>
      <c r="F31" s="25" t="s">
        <v>50</v>
      </c>
      <c r="L31" s="221">
        <v>0.21</v>
      </c>
      <c r="M31" s="220"/>
      <c r="N31" s="220"/>
      <c r="O31" s="220"/>
      <c r="P31" s="220"/>
      <c r="W31" s="219">
        <f>ROUND(BB94, 2)</f>
        <v>0</v>
      </c>
      <c r="X31" s="220"/>
      <c r="Y31" s="220"/>
      <c r="Z31" s="220"/>
      <c r="AA31" s="220"/>
      <c r="AB31" s="220"/>
      <c r="AC31" s="220"/>
      <c r="AD31" s="220"/>
      <c r="AE31" s="220"/>
      <c r="AK31" s="219">
        <v>0</v>
      </c>
      <c r="AL31" s="220"/>
      <c r="AM31" s="220"/>
      <c r="AN31" s="220"/>
      <c r="AO31" s="220"/>
      <c r="AR31" s="34"/>
      <c r="BE31" s="224"/>
    </row>
    <row r="32" spans="2:71" s="2" customFormat="1" ht="14.45" hidden="1" customHeight="1">
      <c r="B32" s="34"/>
      <c r="F32" s="25" t="s">
        <v>51</v>
      </c>
      <c r="L32" s="221">
        <v>0.12</v>
      </c>
      <c r="M32" s="220"/>
      <c r="N32" s="220"/>
      <c r="O32" s="220"/>
      <c r="P32" s="220"/>
      <c r="W32" s="219">
        <f>ROUND(BC94, 2)</f>
        <v>0</v>
      </c>
      <c r="X32" s="220"/>
      <c r="Y32" s="220"/>
      <c r="Z32" s="220"/>
      <c r="AA32" s="220"/>
      <c r="AB32" s="220"/>
      <c r="AC32" s="220"/>
      <c r="AD32" s="220"/>
      <c r="AE32" s="220"/>
      <c r="AK32" s="219">
        <v>0</v>
      </c>
      <c r="AL32" s="220"/>
      <c r="AM32" s="220"/>
      <c r="AN32" s="220"/>
      <c r="AO32" s="220"/>
      <c r="AR32" s="34"/>
      <c r="BE32" s="224"/>
    </row>
    <row r="33" spans="2:57" s="2" customFormat="1" ht="14.45" hidden="1" customHeight="1">
      <c r="B33" s="34"/>
      <c r="F33" s="25" t="s">
        <v>52</v>
      </c>
      <c r="L33" s="221">
        <v>0</v>
      </c>
      <c r="M33" s="220"/>
      <c r="N33" s="220"/>
      <c r="O33" s="220"/>
      <c r="P33" s="220"/>
      <c r="W33" s="219">
        <f>ROUND(BD94, 2)</f>
        <v>0</v>
      </c>
      <c r="X33" s="220"/>
      <c r="Y33" s="220"/>
      <c r="Z33" s="220"/>
      <c r="AA33" s="220"/>
      <c r="AB33" s="220"/>
      <c r="AC33" s="220"/>
      <c r="AD33" s="220"/>
      <c r="AE33" s="220"/>
      <c r="AK33" s="219">
        <v>0</v>
      </c>
      <c r="AL33" s="220"/>
      <c r="AM33" s="220"/>
      <c r="AN33" s="220"/>
      <c r="AO33" s="220"/>
      <c r="AR33" s="34"/>
      <c r="BE33" s="224"/>
    </row>
    <row r="34" spans="2:57" s="1" customFormat="1" ht="6.95" customHeight="1">
      <c r="B34" s="31"/>
      <c r="AR34" s="31"/>
      <c r="BE34" s="223"/>
    </row>
    <row r="35" spans="2:57" s="1" customFormat="1" ht="25.9" customHeight="1">
      <c r="B35" s="31"/>
      <c r="C35" s="35"/>
      <c r="D35" s="36" t="s">
        <v>53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54</v>
      </c>
      <c r="U35" s="37"/>
      <c r="V35" s="37"/>
      <c r="W35" s="37"/>
      <c r="X35" s="252" t="s">
        <v>55</v>
      </c>
      <c r="Y35" s="253"/>
      <c r="Z35" s="253"/>
      <c r="AA35" s="253"/>
      <c r="AB35" s="253"/>
      <c r="AC35" s="37"/>
      <c r="AD35" s="37"/>
      <c r="AE35" s="37"/>
      <c r="AF35" s="37"/>
      <c r="AG35" s="37"/>
      <c r="AH35" s="37"/>
      <c r="AI35" s="37"/>
      <c r="AJ35" s="37"/>
      <c r="AK35" s="254">
        <f>SUM(AK26:AK33)</f>
        <v>0</v>
      </c>
      <c r="AL35" s="253"/>
      <c r="AM35" s="253"/>
      <c r="AN35" s="253"/>
      <c r="AO35" s="255"/>
      <c r="AP35" s="35"/>
      <c r="AQ35" s="35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1"/>
      <c r="D49" s="39" t="s">
        <v>56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57</v>
      </c>
      <c r="AI49" s="40"/>
      <c r="AJ49" s="40"/>
      <c r="AK49" s="40"/>
      <c r="AL49" s="40"/>
      <c r="AM49" s="40"/>
      <c r="AN49" s="40"/>
      <c r="AO49" s="40"/>
      <c r="AR49" s="31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1"/>
      <c r="D60" s="41" t="s">
        <v>58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1" t="s">
        <v>59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1" t="s">
        <v>58</v>
      </c>
      <c r="AI60" s="33"/>
      <c r="AJ60" s="33"/>
      <c r="AK60" s="33"/>
      <c r="AL60" s="33"/>
      <c r="AM60" s="41" t="s">
        <v>59</v>
      </c>
      <c r="AN60" s="33"/>
      <c r="AO60" s="33"/>
      <c r="AR60" s="31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1"/>
      <c r="D64" s="39" t="s">
        <v>60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61</v>
      </c>
      <c r="AI64" s="40"/>
      <c r="AJ64" s="40"/>
      <c r="AK64" s="40"/>
      <c r="AL64" s="40"/>
      <c r="AM64" s="40"/>
      <c r="AN64" s="40"/>
      <c r="AO64" s="40"/>
      <c r="AR64" s="31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1"/>
      <c r="D75" s="41" t="s">
        <v>58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1" t="s">
        <v>59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1" t="s">
        <v>58</v>
      </c>
      <c r="AI75" s="33"/>
      <c r="AJ75" s="33"/>
      <c r="AK75" s="33"/>
      <c r="AL75" s="33"/>
      <c r="AM75" s="41" t="s">
        <v>59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1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1"/>
    </row>
    <row r="82" spans="1:91" s="1" customFormat="1" ht="24.95" customHeight="1">
      <c r="B82" s="31"/>
      <c r="C82" s="19" t="s">
        <v>62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6"/>
      <c r="C84" s="25" t="s">
        <v>13</v>
      </c>
      <c r="L84" s="3" t="str">
        <f>K5</f>
        <v>POD_HBITOVNI</v>
      </c>
      <c r="AR84" s="46"/>
    </row>
    <row r="85" spans="1:91" s="4" customFormat="1" ht="36.950000000000003" customHeight="1">
      <c r="B85" s="47"/>
      <c r="C85" s="48" t="s">
        <v>16</v>
      </c>
      <c r="L85" s="243" t="str">
        <f>K6</f>
        <v>PODIVÍN – ul. Hřbitovní, dopravní a technická infrastruktura, SO 301 – KANALIZACE, SO 302 - VODOVOD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R85" s="47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5" t="s">
        <v>22</v>
      </c>
      <c r="L87" s="49" t="str">
        <f>IF(K8="","",K8)</f>
        <v>Podivín</v>
      </c>
      <c r="AI87" s="25" t="s">
        <v>24</v>
      </c>
      <c r="AM87" s="245" t="str">
        <f>IF(AN8= "","",AN8)</f>
        <v>10. 11. 2025</v>
      </c>
      <c r="AN87" s="245"/>
      <c r="AR87" s="31"/>
    </row>
    <row r="88" spans="1:91" s="1" customFormat="1" ht="6.95" customHeight="1">
      <c r="B88" s="31"/>
      <c r="AR88" s="31"/>
    </row>
    <row r="89" spans="1:91" s="1" customFormat="1" ht="25.7" customHeight="1">
      <c r="B89" s="31"/>
      <c r="C89" s="25" t="s">
        <v>30</v>
      </c>
      <c r="L89" s="3" t="str">
        <f>IF(E11= "","",E11)</f>
        <v>Město Podivín</v>
      </c>
      <c r="AI89" s="25" t="s">
        <v>37</v>
      </c>
      <c r="AM89" s="246" t="str">
        <f>IF(E17="","",E17)</f>
        <v>Projekce inženýrských sítí s.r.o.</v>
      </c>
      <c r="AN89" s="247"/>
      <c r="AO89" s="247"/>
      <c r="AP89" s="247"/>
      <c r="AR89" s="31"/>
      <c r="AS89" s="248" t="s">
        <v>63</v>
      </c>
      <c r="AT89" s="249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25.7" customHeight="1">
      <c r="B90" s="31"/>
      <c r="C90" s="25" t="s">
        <v>35</v>
      </c>
      <c r="L90" s="3" t="str">
        <f>IF(E14= "Vyplň údaj","",E14)</f>
        <v/>
      </c>
      <c r="AI90" s="25" t="s">
        <v>41</v>
      </c>
      <c r="AM90" s="246" t="str">
        <f>IF(E20="","",E20)</f>
        <v>Projekce inženýrských sítí s.r.o.</v>
      </c>
      <c r="AN90" s="247"/>
      <c r="AO90" s="247"/>
      <c r="AP90" s="247"/>
      <c r="AR90" s="31"/>
      <c r="AS90" s="250"/>
      <c r="AT90" s="251"/>
      <c r="BD90" s="53"/>
    </row>
    <row r="91" spans="1:91" s="1" customFormat="1" ht="10.9" customHeight="1">
      <c r="B91" s="31"/>
      <c r="AR91" s="31"/>
      <c r="AS91" s="250"/>
      <c r="AT91" s="251"/>
      <c r="BD91" s="53"/>
    </row>
    <row r="92" spans="1:91" s="1" customFormat="1" ht="29.25" customHeight="1">
      <c r="B92" s="31"/>
      <c r="C92" s="236" t="s">
        <v>64</v>
      </c>
      <c r="D92" s="237"/>
      <c r="E92" s="237"/>
      <c r="F92" s="237"/>
      <c r="G92" s="237"/>
      <c r="H92" s="54"/>
      <c r="I92" s="238" t="s">
        <v>65</v>
      </c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9" t="s">
        <v>66</v>
      </c>
      <c r="AH92" s="237"/>
      <c r="AI92" s="237"/>
      <c r="AJ92" s="237"/>
      <c r="AK92" s="237"/>
      <c r="AL92" s="237"/>
      <c r="AM92" s="237"/>
      <c r="AN92" s="238" t="s">
        <v>67</v>
      </c>
      <c r="AO92" s="237"/>
      <c r="AP92" s="240"/>
      <c r="AQ92" s="55" t="s">
        <v>68</v>
      </c>
      <c r="AR92" s="31"/>
      <c r="AS92" s="56" t="s">
        <v>69</v>
      </c>
      <c r="AT92" s="57" t="s">
        <v>70</v>
      </c>
      <c r="AU92" s="57" t="s">
        <v>71</v>
      </c>
      <c r="AV92" s="57" t="s">
        <v>72</v>
      </c>
      <c r="AW92" s="57" t="s">
        <v>73</v>
      </c>
      <c r="AX92" s="57" t="s">
        <v>74</v>
      </c>
      <c r="AY92" s="57" t="s">
        <v>75</v>
      </c>
      <c r="AZ92" s="57" t="s">
        <v>76</v>
      </c>
      <c r="BA92" s="57" t="s">
        <v>77</v>
      </c>
      <c r="BB92" s="57" t="s">
        <v>78</v>
      </c>
      <c r="BC92" s="57" t="s">
        <v>79</v>
      </c>
      <c r="BD92" s="58" t="s">
        <v>80</v>
      </c>
    </row>
    <row r="93" spans="1:91" s="1" customFormat="1" ht="10.9" customHeight="1">
      <c r="B93" s="31"/>
      <c r="AR93" s="31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0"/>
      <c r="C94" s="61" t="s">
        <v>81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41">
        <f>ROUND(SUM(AG95:AG97),2)</f>
        <v>0</v>
      </c>
      <c r="AH94" s="241"/>
      <c r="AI94" s="241"/>
      <c r="AJ94" s="241"/>
      <c r="AK94" s="241"/>
      <c r="AL94" s="241"/>
      <c r="AM94" s="241"/>
      <c r="AN94" s="242">
        <f>SUM(AG94,AT94)</f>
        <v>0</v>
      </c>
      <c r="AO94" s="242"/>
      <c r="AP94" s="242"/>
      <c r="AQ94" s="64" t="s">
        <v>1</v>
      </c>
      <c r="AR94" s="60"/>
      <c r="AS94" s="65">
        <f>ROUND(SUM(AS95:AS97),2)</f>
        <v>0</v>
      </c>
      <c r="AT94" s="66">
        <f>ROUND(SUM(AV94:AW94),2)</f>
        <v>0</v>
      </c>
      <c r="AU94" s="67">
        <f>ROUND(SUM(AU95:AU97),5)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ROUND(SUM(AZ95:AZ97),2)</f>
        <v>0</v>
      </c>
      <c r="BA94" s="66">
        <f>ROUND(SUM(BA95:BA97),2)</f>
        <v>0</v>
      </c>
      <c r="BB94" s="66">
        <f>ROUND(SUM(BB95:BB97),2)</f>
        <v>0</v>
      </c>
      <c r="BC94" s="66">
        <f>ROUND(SUM(BC95:BC97),2)</f>
        <v>0</v>
      </c>
      <c r="BD94" s="68">
        <f>ROUND(SUM(BD95:BD97),2)</f>
        <v>0</v>
      </c>
      <c r="BS94" s="69" t="s">
        <v>82</v>
      </c>
      <c r="BT94" s="69" t="s">
        <v>83</v>
      </c>
      <c r="BU94" s="70" t="s">
        <v>84</v>
      </c>
      <c r="BV94" s="69" t="s">
        <v>85</v>
      </c>
      <c r="BW94" s="69" t="s">
        <v>5</v>
      </c>
      <c r="BX94" s="69" t="s">
        <v>86</v>
      </c>
      <c r="CL94" s="69" t="s">
        <v>19</v>
      </c>
    </row>
    <row r="95" spans="1:91" s="6" customFormat="1" ht="16.5" customHeight="1">
      <c r="A95" s="71" t="s">
        <v>87</v>
      </c>
      <c r="B95" s="72"/>
      <c r="C95" s="73"/>
      <c r="D95" s="235" t="s">
        <v>88</v>
      </c>
      <c r="E95" s="235"/>
      <c r="F95" s="235"/>
      <c r="G95" s="235"/>
      <c r="H95" s="235"/>
      <c r="I95" s="74"/>
      <c r="J95" s="235" t="s">
        <v>89</v>
      </c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3">
        <f>'SO 301 - KANALIZACE'!J30</f>
        <v>0</v>
      </c>
      <c r="AH95" s="234"/>
      <c r="AI95" s="234"/>
      <c r="AJ95" s="234"/>
      <c r="AK95" s="234"/>
      <c r="AL95" s="234"/>
      <c r="AM95" s="234"/>
      <c r="AN95" s="233">
        <f>SUM(AG95,AT95)</f>
        <v>0</v>
      </c>
      <c r="AO95" s="234"/>
      <c r="AP95" s="234"/>
      <c r="AQ95" s="75" t="s">
        <v>90</v>
      </c>
      <c r="AR95" s="72"/>
      <c r="AS95" s="76">
        <v>0</v>
      </c>
      <c r="AT95" s="77">
        <f>ROUND(SUM(AV95:AW95),2)</f>
        <v>0</v>
      </c>
      <c r="AU95" s="78">
        <f>'SO 301 - KANALIZACE'!P125</f>
        <v>0</v>
      </c>
      <c r="AV95" s="77">
        <f>'SO 301 - KANALIZACE'!J33</f>
        <v>0</v>
      </c>
      <c r="AW95" s="77">
        <f>'SO 301 - KANALIZACE'!J34</f>
        <v>0</v>
      </c>
      <c r="AX95" s="77">
        <f>'SO 301 - KANALIZACE'!J35</f>
        <v>0</v>
      </c>
      <c r="AY95" s="77">
        <f>'SO 301 - KANALIZACE'!J36</f>
        <v>0</v>
      </c>
      <c r="AZ95" s="77">
        <f>'SO 301 - KANALIZACE'!F33</f>
        <v>0</v>
      </c>
      <c r="BA95" s="77">
        <f>'SO 301 - KANALIZACE'!F34</f>
        <v>0</v>
      </c>
      <c r="BB95" s="77">
        <f>'SO 301 - KANALIZACE'!F35</f>
        <v>0</v>
      </c>
      <c r="BC95" s="77">
        <f>'SO 301 - KANALIZACE'!F36</f>
        <v>0</v>
      </c>
      <c r="BD95" s="79">
        <f>'SO 301 - KANALIZACE'!F37</f>
        <v>0</v>
      </c>
      <c r="BT95" s="80" t="s">
        <v>91</v>
      </c>
      <c r="BV95" s="80" t="s">
        <v>85</v>
      </c>
      <c r="BW95" s="80" t="s">
        <v>92</v>
      </c>
      <c r="BX95" s="80" t="s">
        <v>5</v>
      </c>
      <c r="CL95" s="80" t="s">
        <v>93</v>
      </c>
      <c r="CM95" s="80" t="s">
        <v>94</v>
      </c>
    </row>
    <row r="96" spans="1:91" s="6" customFormat="1" ht="16.5" customHeight="1">
      <c r="A96" s="71" t="s">
        <v>87</v>
      </c>
      <c r="B96" s="72"/>
      <c r="C96" s="73"/>
      <c r="D96" s="235" t="s">
        <v>95</v>
      </c>
      <c r="E96" s="235"/>
      <c r="F96" s="235"/>
      <c r="G96" s="235"/>
      <c r="H96" s="235"/>
      <c r="I96" s="74"/>
      <c r="J96" s="235" t="s">
        <v>96</v>
      </c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3">
        <f>'SO 302 - VODOVOD'!J30</f>
        <v>0</v>
      </c>
      <c r="AH96" s="234"/>
      <c r="AI96" s="234"/>
      <c r="AJ96" s="234"/>
      <c r="AK96" s="234"/>
      <c r="AL96" s="234"/>
      <c r="AM96" s="234"/>
      <c r="AN96" s="233">
        <f>SUM(AG96,AT96)</f>
        <v>0</v>
      </c>
      <c r="AO96" s="234"/>
      <c r="AP96" s="234"/>
      <c r="AQ96" s="75" t="s">
        <v>90</v>
      </c>
      <c r="AR96" s="72"/>
      <c r="AS96" s="76">
        <v>0</v>
      </c>
      <c r="AT96" s="77">
        <f>ROUND(SUM(AV96:AW96),2)</f>
        <v>0</v>
      </c>
      <c r="AU96" s="78">
        <f>'SO 302 - VODOVOD'!P127</f>
        <v>0</v>
      </c>
      <c r="AV96" s="77">
        <f>'SO 302 - VODOVOD'!J33</f>
        <v>0</v>
      </c>
      <c r="AW96" s="77">
        <f>'SO 302 - VODOVOD'!J34</f>
        <v>0</v>
      </c>
      <c r="AX96" s="77">
        <f>'SO 302 - VODOVOD'!J35</f>
        <v>0</v>
      </c>
      <c r="AY96" s="77">
        <f>'SO 302 - VODOVOD'!J36</f>
        <v>0</v>
      </c>
      <c r="AZ96" s="77">
        <f>'SO 302 - VODOVOD'!F33</f>
        <v>0</v>
      </c>
      <c r="BA96" s="77">
        <f>'SO 302 - VODOVOD'!F34</f>
        <v>0</v>
      </c>
      <c r="BB96" s="77">
        <f>'SO 302 - VODOVOD'!F35</f>
        <v>0</v>
      </c>
      <c r="BC96" s="77">
        <f>'SO 302 - VODOVOD'!F36</f>
        <v>0</v>
      </c>
      <c r="BD96" s="79">
        <f>'SO 302 - VODOVOD'!F37</f>
        <v>0</v>
      </c>
      <c r="BT96" s="80" t="s">
        <v>91</v>
      </c>
      <c r="BV96" s="80" t="s">
        <v>85</v>
      </c>
      <c r="BW96" s="80" t="s">
        <v>97</v>
      </c>
      <c r="BX96" s="80" t="s">
        <v>5</v>
      </c>
      <c r="CL96" s="80" t="s">
        <v>98</v>
      </c>
      <c r="CM96" s="80" t="s">
        <v>94</v>
      </c>
    </row>
    <row r="97" spans="1:91" s="6" customFormat="1" ht="16.5" customHeight="1">
      <c r="A97" s="71" t="s">
        <v>87</v>
      </c>
      <c r="B97" s="72"/>
      <c r="C97" s="73"/>
      <c r="D97" s="235" t="s">
        <v>99</v>
      </c>
      <c r="E97" s="235"/>
      <c r="F97" s="235"/>
      <c r="G97" s="235"/>
      <c r="H97" s="235"/>
      <c r="I97" s="74"/>
      <c r="J97" s="235" t="s">
        <v>100</v>
      </c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3">
        <f>'VRN - Vedlejší rozpočtové...'!J30</f>
        <v>0</v>
      </c>
      <c r="AH97" s="234"/>
      <c r="AI97" s="234"/>
      <c r="AJ97" s="234"/>
      <c r="AK97" s="234"/>
      <c r="AL97" s="234"/>
      <c r="AM97" s="234"/>
      <c r="AN97" s="233">
        <f>SUM(AG97,AT97)</f>
        <v>0</v>
      </c>
      <c r="AO97" s="234"/>
      <c r="AP97" s="234"/>
      <c r="AQ97" s="75" t="s">
        <v>90</v>
      </c>
      <c r="AR97" s="72"/>
      <c r="AS97" s="81">
        <v>0</v>
      </c>
      <c r="AT97" s="82">
        <f>ROUND(SUM(AV97:AW97),2)</f>
        <v>0</v>
      </c>
      <c r="AU97" s="83">
        <f>'VRN - Vedlejší rozpočtové...'!P120</f>
        <v>0</v>
      </c>
      <c r="AV97" s="82">
        <f>'VRN - Vedlejší rozpočtové...'!J33</f>
        <v>0</v>
      </c>
      <c r="AW97" s="82">
        <f>'VRN - Vedlejší rozpočtové...'!J34</f>
        <v>0</v>
      </c>
      <c r="AX97" s="82">
        <f>'VRN - Vedlejší rozpočtové...'!J35</f>
        <v>0</v>
      </c>
      <c r="AY97" s="82">
        <f>'VRN - Vedlejší rozpočtové...'!J36</f>
        <v>0</v>
      </c>
      <c r="AZ97" s="82">
        <f>'VRN - Vedlejší rozpočtové...'!F33</f>
        <v>0</v>
      </c>
      <c r="BA97" s="82">
        <f>'VRN - Vedlejší rozpočtové...'!F34</f>
        <v>0</v>
      </c>
      <c r="BB97" s="82">
        <f>'VRN - Vedlejší rozpočtové...'!F35</f>
        <v>0</v>
      </c>
      <c r="BC97" s="82">
        <f>'VRN - Vedlejší rozpočtové...'!F36</f>
        <v>0</v>
      </c>
      <c r="BD97" s="84">
        <f>'VRN - Vedlejší rozpočtové...'!F37</f>
        <v>0</v>
      </c>
      <c r="BT97" s="80" t="s">
        <v>91</v>
      </c>
      <c r="BV97" s="80" t="s">
        <v>85</v>
      </c>
      <c r="BW97" s="80" t="s">
        <v>101</v>
      </c>
      <c r="BX97" s="80" t="s">
        <v>5</v>
      </c>
      <c r="CL97" s="80" t="s">
        <v>19</v>
      </c>
      <c r="CM97" s="80" t="s">
        <v>94</v>
      </c>
    </row>
    <row r="98" spans="1:91" s="1" customFormat="1" ht="30" customHeight="1">
      <c r="B98" s="31"/>
      <c r="AR98" s="31"/>
    </row>
    <row r="99" spans="1:91" s="1" customFormat="1" ht="6.95" customHeight="1"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31"/>
    </row>
  </sheetData>
  <sheetProtection algorithmName="SHA-512" hashValue="ULR1PEDyQdhADAVo5NiWNUME0+AzUFGl6Gnv9SOVjr+3xRENvYThClTXEEJiKBmzSR3pUIUAzT5LS+bPgMFW/w==" saltValue="LBD7iaj3kKbgURUEzL1L/f6ehGGTDm0cwPhdmerBScMRaam7n9Is7o0YcsGKKVquGyTKwmQpLZEkUU9mYJsVvA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SO 301 - KANALIZACE'!C2" display="/" xr:uid="{00000000-0004-0000-0000-000000000000}"/>
    <hyperlink ref="A96" location="'SO 302 - VODOVOD'!C2" display="/" xr:uid="{00000000-0004-0000-0000-000001000000}"/>
    <hyperlink ref="A97" location="'VRN - Vedlejší rozpočtové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5"/>
  <sheetViews>
    <sheetView showGridLines="0" workbookViewId="0">
      <selection activeCell="A67" sqref="A67:XFD6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92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94</v>
      </c>
    </row>
    <row r="4" spans="2:46" ht="24.95" customHeight="1">
      <c r="B4" s="18"/>
      <c r="D4" s="19" t="s">
        <v>102</v>
      </c>
      <c r="L4" s="18"/>
      <c r="M4" s="85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57" t="str">
        <f>'Rekapitulace stavby'!K6</f>
        <v>PODIVÍN – ul. Hřbitovní, dopravní a technická infrastruktura, SO 301 – KANALIZACE, SO 302 - VODOVOD</v>
      </c>
      <c r="F7" s="258"/>
      <c r="G7" s="258"/>
      <c r="H7" s="258"/>
      <c r="L7" s="18"/>
    </row>
    <row r="8" spans="2:46" s="1" customFormat="1" ht="12" customHeight="1">
      <c r="B8" s="31"/>
      <c r="D8" s="25" t="s">
        <v>103</v>
      </c>
      <c r="L8" s="31"/>
    </row>
    <row r="9" spans="2:46" s="1" customFormat="1" ht="16.5" customHeight="1">
      <c r="B9" s="31"/>
      <c r="E9" s="243" t="s">
        <v>104</v>
      </c>
      <c r="F9" s="256"/>
      <c r="G9" s="256"/>
      <c r="H9" s="25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5" t="s">
        <v>18</v>
      </c>
      <c r="F11" s="23" t="s">
        <v>93</v>
      </c>
      <c r="I11" s="25" t="s">
        <v>20</v>
      </c>
      <c r="J11" s="23" t="s">
        <v>105</v>
      </c>
      <c r="L11" s="31"/>
    </row>
    <row r="12" spans="2:46" s="1" customFormat="1" ht="12" customHeight="1">
      <c r="B12" s="31"/>
      <c r="D12" s="25" t="s">
        <v>22</v>
      </c>
      <c r="F12" s="23" t="s">
        <v>23</v>
      </c>
      <c r="I12" s="25" t="s">
        <v>24</v>
      </c>
      <c r="J12" s="50" t="str">
        <f>'Rekapitulace stavby'!AN8</f>
        <v>10. 11. 2025</v>
      </c>
      <c r="L12" s="31"/>
    </row>
    <row r="13" spans="2:46" s="1" customFormat="1" ht="21.75" customHeight="1">
      <c r="B13" s="31"/>
      <c r="D13" s="22" t="s">
        <v>26</v>
      </c>
      <c r="F13" s="27" t="s">
        <v>27</v>
      </c>
      <c r="I13" s="22" t="s">
        <v>28</v>
      </c>
      <c r="J13" s="27" t="s">
        <v>29</v>
      </c>
      <c r="L13" s="31"/>
    </row>
    <row r="14" spans="2:46" s="1" customFormat="1" ht="12" customHeight="1">
      <c r="B14" s="31"/>
      <c r="D14" s="25" t="s">
        <v>30</v>
      </c>
      <c r="I14" s="25" t="s">
        <v>31</v>
      </c>
      <c r="J14" s="23" t="s">
        <v>32</v>
      </c>
      <c r="L14" s="31"/>
    </row>
    <row r="15" spans="2:46" s="1" customFormat="1" ht="18" customHeight="1">
      <c r="B15" s="31"/>
      <c r="E15" s="23" t="s">
        <v>33</v>
      </c>
      <c r="I15" s="25" t="s">
        <v>34</v>
      </c>
      <c r="J15" s="23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5" t="s">
        <v>35</v>
      </c>
      <c r="I17" s="25" t="s">
        <v>31</v>
      </c>
      <c r="J17" s="26" t="str">
        <f>'Rekapitulace stavby'!AN13</f>
        <v>Vyplň údaj</v>
      </c>
      <c r="L17" s="31"/>
    </row>
    <row r="18" spans="2:12" s="1" customFormat="1" ht="18" customHeight="1">
      <c r="B18" s="31"/>
      <c r="E18" s="259" t="str">
        <f>'Rekapitulace stavby'!E14</f>
        <v>Vyplň údaj</v>
      </c>
      <c r="F18" s="225"/>
      <c r="G18" s="225"/>
      <c r="H18" s="225"/>
      <c r="I18" s="25" t="s">
        <v>34</v>
      </c>
      <c r="J18" s="26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5" t="s">
        <v>37</v>
      </c>
      <c r="I20" s="25" t="s">
        <v>31</v>
      </c>
      <c r="J20" s="23" t="s">
        <v>38</v>
      </c>
      <c r="L20" s="31"/>
    </row>
    <row r="21" spans="2:12" s="1" customFormat="1" ht="18" customHeight="1">
      <c r="B21" s="31"/>
      <c r="E21" s="23" t="s">
        <v>39</v>
      </c>
      <c r="I21" s="25" t="s">
        <v>34</v>
      </c>
      <c r="J21" s="23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5" t="s">
        <v>41</v>
      </c>
      <c r="I23" s="25" t="s">
        <v>31</v>
      </c>
      <c r="J23" s="23" t="s">
        <v>38</v>
      </c>
      <c r="L23" s="31"/>
    </row>
    <row r="24" spans="2:12" s="1" customFormat="1" ht="18" customHeight="1">
      <c r="B24" s="31"/>
      <c r="E24" s="23" t="s">
        <v>39</v>
      </c>
      <c r="I24" s="25" t="s">
        <v>34</v>
      </c>
      <c r="J24" s="23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5" t="s">
        <v>42</v>
      </c>
      <c r="L26" s="31"/>
    </row>
    <row r="27" spans="2:12" s="7" customFormat="1" ht="16.5" customHeight="1">
      <c r="B27" s="86"/>
      <c r="E27" s="229" t="s">
        <v>1</v>
      </c>
      <c r="F27" s="229"/>
      <c r="G27" s="229"/>
      <c r="H27" s="229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35" customHeight="1">
      <c r="B30" s="31"/>
      <c r="D30" s="87" t="s">
        <v>43</v>
      </c>
      <c r="J30" s="63">
        <f>ROUND(J125,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45</v>
      </c>
      <c r="I32" s="88" t="s">
        <v>44</v>
      </c>
      <c r="J32" s="88" t="s">
        <v>46</v>
      </c>
      <c r="L32" s="31"/>
    </row>
    <row r="33" spans="2:12" s="1" customFormat="1" ht="14.45" customHeight="1">
      <c r="B33" s="31"/>
      <c r="D33" s="89" t="s">
        <v>47</v>
      </c>
      <c r="E33" s="25" t="s">
        <v>48</v>
      </c>
      <c r="F33" s="90">
        <f>ROUND((SUM(BE125:BE294)),  2)</f>
        <v>0</v>
      </c>
      <c r="I33" s="91">
        <v>0.21</v>
      </c>
      <c r="J33" s="90">
        <f>ROUND(((SUM(BE125:BE294))*I33),  2)</f>
        <v>0</v>
      </c>
      <c r="L33" s="31"/>
    </row>
    <row r="34" spans="2:12" s="1" customFormat="1" ht="14.45" customHeight="1">
      <c r="B34" s="31"/>
      <c r="E34" s="25" t="s">
        <v>49</v>
      </c>
      <c r="F34" s="90">
        <f>ROUND((SUM(BF125:BF294)),  2)</f>
        <v>0</v>
      </c>
      <c r="I34" s="91">
        <v>0.12</v>
      </c>
      <c r="J34" s="90">
        <f>ROUND(((SUM(BF125:BF294))*I34),  2)</f>
        <v>0</v>
      </c>
      <c r="L34" s="31"/>
    </row>
    <row r="35" spans="2:12" s="1" customFormat="1" ht="14.45" hidden="1" customHeight="1">
      <c r="B35" s="31"/>
      <c r="E35" s="25" t="s">
        <v>50</v>
      </c>
      <c r="F35" s="90">
        <f>ROUND((SUM(BG125:BG294)),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5" t="s">
        <v>51</v>
      </c>
      <c r="F36" s="90">
        <f>ROUND((SUM(BH125:BH294)),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5" t="s">
        <v>52</v>
      </c>
      <c r="F37" s="90">
        <f>ROUND((SUM(BI125:BI294)),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53</v>
      </c>
      <c r="E39" s="54"/>
      <c r="F39" s="54"/>
      <c r="G39" s="94" t="s">
        <v>54</v>
      </c>
      <c r="H39" s="95" t="s">
        <v>55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s="1" customFormat="1" ht="14.45" customHeight="1">
      <c r="B49" s="31"/>
      <c r="D49" s="39" t="s">
        <v>56</v>
      </c>
      <c r="E49" s="40"/>
      <c r="F49" s="40"/>
      <c r="G49" s="39" t="s">
        <v>57</v>
      </c>
      <c r="H49" s="40"/>
      <c r="I49" s="40"/>
      <c r="J49" s="40"/>
      <c r="K49" s="40"/>
      <c r="L49" s="31"/>
    </row>
    <row r="50" spans="2:12">
      <c r="B50" s="18"/>
      <c r="L50" s="18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 s="1" customFormat="1" ht="12.75">
      <c r="B60" s="31"/>
      <c r="D60" s="41" t="s">
        <v>58</v>
      </c>
      <c r="E60" s="33"/>
      <c r="F60" s="98" t="s">
        <v>59</v>
      </c>
      <c r="G60" s="41" t="s">
        <v>58</v>
      </c>
      <c r="H60" s="33"/>
      <c r="I60" s="33"/>
      <c r="J60" s="99" t="s">
        <v>59</v>
      </c>
      <c r="K60" s="33"/>
      <c r="L60" s="31"/>
    </row>
    <row r="61" spans="2:12">
      <c r="B61" s="18"/>
      <c r="L61" s="18"/>
    </row>
    <row r="62" spans="2:12">
      <c r="B62" s="18"/>
      <c r="L62" s="18"/>
    </row>
    <row r="63" spans="2:12">
      <c r="B63" s="18"/>
      <c r="L63" s="18"/>
    </row>
    <row r="64" spans="2:12" s="1" customFormat="1" ht="12.75">
      <c r="B64" s="31"/>
      <c r="D64" s="39" t="s">
        <v>60</v>
      </c>
      <c r="E64" s="40"/>
      <c r="F64" s="40"/>
      <c r="G64" s="39" t="s">
        <v>61</v>
      </c>
      <c r="H64" s="40"/>
      <c r="I64" s="40"/>
      <c r="J64" s="40"/>
      <c r="K64" s="40"/>
      <c r="L64" s="31"/>
    </row>
    <row r="65" spans="2:12">
      <c r="B65" s="18"/>
      <c r="L65" s="18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 s="1" customFormat="1" ht="12.75">
      <c r="B75" s="31"/>
      <c r="D75" s="41" t="s">
        <v>58</v>
      </c>
      <c r="E75" s="33"/>
      <c r="F75" s="98" t="s">
        <v>59</v>
      </c>
      <c r="G75" s="41" t="s">
        <v>58</v>
      </c>
      <c r="H75" s="33"/>
      <c r="I75" s="33"/>
      <c r="J75" s="99" t="s">
        <v>59</v>
      </c>
      <c r="K75" s="33"/>
      <c r="L75" s="31"/>
    </row>
    <row r="76" spans="2:12" s="1" customFormat="1" ht="14.45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1"/>
    </row>
    <row r="80" spans="2:12" s="1" customFormat="1" ht="6.95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1"/>
    </row>
    <row r="81" spans="2:47" s="1" customFormat="1" ht="24.95" customHeight="1">
      <c r="B81" s="31"/>
      <c r="C81" s="19" t="s">
        <v>106</v>
      </c>
      <c r="L81" s="31"/>
    </row>
    <row r="82" spans="2:47" s="1" customFormat="1" ht="6.95" customHeight="1">
      <c r="B82" s="31"/>
      <c r="L82" s="31"/>
    </row>
    <row r="83" spans="2:47" s="1" customFormat="1" ht="12" customHeight="1">
      <c r="B83" s="31"/>
      <c r="C83" s="25" t="s">
        <v>16</v>
      </c>
      <c r="L83" s="31"/>
    </row>
    <row r="84" spans="2:47" s="1" customFormat="1" ht="26.25" customHeight="1">
      <c r="B84" s="31"/>
      <c r="E84" s="257" t="str">
        <f>E7</f>
        <v>PODIVÍN – ul. Hřbitovní, dopravní a technická infrastruktura, SO 301 – KANALIZACE, SO 302 - VODOVOD</v>
      </c>
      <c r="F84" s="258"/>
      <c r="G84" s="258"/>
      <c r="H84" s="258"/>
      <c r="L84" s="31"/>
    </row>
    <row r="85" spans="2:47" s="1" customFormat="1" ht="12" customHeight="1">
      <c r="B85" s="31"/>
      <c r="C85" s="25" t="s">
        <v>103</v>
      </c>
      <c r="L85" s="31"/>
    </row>
    <row r="86" spans="2:47" s="1" customFormat="1" ht="16.5" customHeight="1">
      <c r="B86" s="31"/>
      <c r="E86" s="243" t="str">
        <f>E9</f>
        <v>SO 301 - KANALIZACE</v>
      </c>
      <c r="F86" s="256"/>
      <c r="G86" s="256"/>
      <c r="H86" s="256"/>
      <c r="L86" s="31"/>
    </row>
    <row r="87" spans="2:47" s="1" customFormat="1" ht="6.95" customHeight="1">
      <c r="B87" s="31"/>
      <c r="L87" s="31"/>
    </row>
    <row r="88" spans="2:47" s="1" customFormat="1" ht="12" customHeight="1">
      <c r="B88" s="31"/>
      <c r="C88" s="25" t="s">
        <v>22</v>
      </c>
      <c r="F88" s="23" t="str">
        <f>F12</f>
        <v>Podivín</v>
      </c>
      <c r="I88" s="25" t="s">
        <v>24</v>
      </c>
      <c r="J88" s="50" t="str">
        <f>IF(J12="","",J12)</f>
        <v>10. 11. 2025</v>
      </c>
      <c r="L88" s="31"/>
    </row>
    <row r="89" spans="2:47" s="1" customFormat="1" ht="6.95" customHeight="1">
      <c r="B89" s="31"/>
      <c r="L89" s="31"/>
    </row>
    <row r="90" spans="2:47" s="1" customFormat="1" ht="40.15" customHeight="1">
      <c r="B90" s="31"/>
      <c r="C90" s="25" t="s">
        <v>30</v>
      </c>
      <c r="F90" s="23" t="str">
        <f>E15</f>
        <v>Město Podivín</v>
      </c>
      <c r="I90" s="25" t="s">
        <v>37</v>
      </c>
      <c r="J90" s="29" t="str">
        <f>E21</f>
        <v>Projekce inženýrských sítí s.r.o.</v>
      </c>
      <c r="L90" s="31"/>
    </row>
    <row r="91" spans="2:47" s="1" customFormat="1" ht="40.15" customHeight="1">
      <c r="B91" s="31"/>
      <c r="C91" s="25" t="s">
        <v>35</v>
      </c>
      <c r="F91" s="23" t="str">
        <f>IF(E18="","",E18)</f>
        <v>Vyplň údaj</v>
      </c>
      <c r="I91" s="25" t="s">
        <v>41</v>
      </c>
      <c r="J91" s="29" t="str">
        <f>E24</f>
        <v>Projekce inženýrských sítí s.r.o.</v>
      </c>
      <c r="L91" s="31"/>
    </row>
    <row r="92" spans="2:47" s="1" customFormat="1" ht="10.35" customHeight="1">
      <c r="B92" s="31"/>
      <c r="L92" s="31"/>
    </row>
    <row r="93" spans="2:47" s="1" customFormat="1" ht="29.25" customHeight="1">
      <c r="B93" s="31"/>
      <c r="C93" s="100" t="s">
        <v>107</v>
      </c>
      <c r="D93" s="92"/>
      <c r="E93" s="92"/>
      <c r="F93" s="92"/>
      <c r="G93" s="92"/>
      <c r="H93" s="92"/>
      <c r="I93" s="92"/>
      <c r="J93" s="101" t="s">
        <v>108</v>
      </c>
      <c r="K93" s="92"/>
      <c r="L93" s="31"/>
    </row>
    <row r="94" spans="2:47" s="1" customFormat="1" ht="10.35" customHeight="1">
      <c r="B94" s="31"/>
      <c r="L94" s="31"/>
    </row>
    <row r="95" spans="2:47" s="1" customFormat="1" ht="22.9" customHeight="1">
      <c r="B95" s="31"/>
      <c r="C95" s="102" t="s">
        <v>109</v>
      </c>
      <c r="J95" s="63">
        <f>J125</f>
        <v>0</v>
      </c>
      <c r="L95" s="31"/>
      <c r="AU95" s="15" t="s">
        <v>110</v>
      </c>
    </row>
    <row r="96" spans="2:47" s="8" customFormat="1" ht="24.95" customHeight="1">
      <c r="B96" s="103"/>
      <c r="D96" s="104" t="s">
        <v>111</v>
      </c>
      <c r="E96" s="105"/>
      <c r="F96" s="105"/>
      <c r="G96" s="105"/>
      <c r="H96" s="105"/>
      <c r="I96" s="105"/>
      <c r="J96" s="106">
        <f>J126</f>
        <v>0</v>
      </c>
      <c r="L96" s="103"/>
    </row>
    <row r="97" spans="2:12" s="9" customFormat="1" ht="19.899999999999999" customHeight="1">
      <c r="B97" s="107"/>
      <c r="D97" s="108" t="s">
        <v>112</v>
      </c>
      <c r="E97" s="109"/>
      <c r="F97" s="109"/>
      <c r="G97" s="109"/>
      <c r="H97" s="109"/>
      <c r="I97" s="109"/>
      <c r="J97" s="110">
        <f>J127</f>
        <v>0</v>
      </c>
      <c r="L97" s="107"/>
    </row>
    <row r="98" spans="2:12" s="9" customFormat="1" ht="19.899999999999999" customHeight="1">
      <c r="B98" s="107"/>
      <c r="D98" s="108" t="s">
        <v>113</v>
      </c>
      <c r="E98" s="109"/>
      <c r="F98" s="109"/>
      <c r="G98" s="109"/>
      <c r="H98" s="109"/>
      <c r="I98" s="109"/>
      <c r="J98" s="110">
        <f>J185</f>
        <v>0</v>
      </c>
      <c r="L98" s="107"/>
    </row>
    <row r="99" spans="2:12" s="9" customFormat="1" ht="19.899999999999999" customHeight="1">
      <c r="B99" s="107"/>
      <c r="D99" s="108" t="s">
        <v>114</v>
      </c>
      <c r="E99" s="109"/>
      <c r="F99" s="109"/>
      <c r="G99" s="109"/>
      <c r="H99" s="109"/>
      <c r="I99" s="109"/>
      <c r="J99" s="110">
        <f>J188</f>
        <v>0</v>
      </c>
      <c r="L99" s="107"/>
    </row>
    <row r="100" spans="2:12" s="9" customFormat="1" ht="19.899999999999999" customHeight="1">
      <c r="B100" s="107"/>
      <c r="D100" s="108" t="s">
        <v>115</v>
      </c>
      <c r="E100" s="109"/>
      <c r="F100" s="109"/>
      <c r="G100" s="109"/>
      <c r="H100" s="109"/>
      <c r="I100" s="109"/>
      <c r="J100" s="110">
        <f>J200</f>
        <v>0</v>
      </c>
      <c r="L100" s="107"/>
    </row>
    <row r="101" spans="2:12" s="9" customFormat="1" ht="19.899999999999999" customHeight="1">
      <c r="B101" s="107"/>
      <c r="D101" s="108" t="s">
        <v>116</v>
      </c>
      <c r="E101" s="109"/>
      <c r="F101" s="109"/>
      <c r="G101" s="109"/>
      <c r="H101" s="109"/>
      <c r="I101" s="109"/>
      <c r="J101" s="110">
        <f>J215</f>
        <v>0</v>
      </c>
      <c r="L101" s="107"/>
    </row>
    <row r="102" spans="2:12" s="9" customFormat="1" ht="19.899999999999999" customHeight="1">
      <c r="B102" s="107"/>
      <c r="D102" s="108" t="s">
        <v>117</v>
      </c>
      <c r="E102" s="109"/>
      <c r="F102" s="109"/>
      <c r="G102" s="109"/>
      <c r="H102" s="109"/>
      <c r="I102" s="109"/>
      <c r="J102" s="110">
        <f>J274</f>
        <v>0</v>
      </c>
      <c r="L102" s="107"/>
    </row>
    <row r="103" spans="2:12" s="9" customFormat="1" ht="14.85" customHeight="1">
      <c r="B103" s="107"/>
      <c r="D103" s="108" t="s">
        <v>118</v>
      </c>
      <c r="E103" s="109"/>
      <c r="F103" s="109"/>
      <c r="G103" s="109"/>
      <c r="H103" s="109"/>
      <c r="I103" s="109"/>
      <c r="J103" s="110">
        <f>J279</f>
        <v>0</v>
      </c>
      <c r="L103" s="107"/>
    </row>
    <row r="104" spans="2:12" s="9" customFormat="1" ht="19.899999999999999" customHeight="1">
      <c r="B104" s="107"/>
      <c r="D104" s="108" t="s">
        <v>119</v>
      </c>
      <c r="E104" s="109"/>
      <c r="F104" s="109"/>
      <c r="G104" s="109"/>
      <c r="H104" s="109"/>
      <c r="I104" s="109"/>
      <c r="J104" s="110">
        <f>J288</f>
        <v>0</v>
      </c>
      <c r="L104" s="107"/>
    </row>
    <row r="105" spans="2:12" s="9" customFormat="1" ht="19.899999999999999" customHeight="1">
      <c r="B105" s="107"/>
      <c r="D105" s="108" t="s">
        <v>120</v>
      </c>
      <c r="E105" s="109"/>
      <c r="F105" s="109"/>
      <c r="G105" s="109"/>
      <c r="H105" s="109"/>
      <c r="I105" s="109"/>
      <c r="J105" s="110">
        <f>J293</f>
        <v>0</v>
      </c>
      <c r="L105" s="107"/>
    </row>
    <row r="106" spans="2:12" s="1" customFormat="1" ht="21.75" customHeight="1">
      <c r="B106" s="31"/>
      <c r="L106" s="31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31"/>
    </row>
    <row r="111" spans="2:12" s="1" customFormat="1" ht="6.95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1"/>
    </row>
    <row r="112" spans="2:12" s="1" customFormat="1" ht="24.95" customHeight="1">
      <c r="B112" s="31"/>
      <c r="C112" s="19" t="s">
        <v>121</v>
      </c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5" t="s">
        <v>16</v>
      </c>
      <c r="L114" s="31"/>
    </row>
    <row r="115" spans="2:65" s="1" customFormat="1" ht="26.25" customHeight="1">
      <c r="B115" s="31"/>
      <c r="E115" s="257" t="str">
        <f>E7</f>
        <v>PODIVÍN – ul. Hřbitovní, dopravní a technická infrastruktura, SO 301 – KANALIZACE, SO 302 - VODOVOD</v>
      </c>
      <c r="F115" s="258"/>
      <c r="G115" s="258"/>
      <c r="H115" s="258"/>
      <c r="L115" s="31"/>
    </row>
    <row r="116" spans="2:65" s="1" customFormat="1" ht="12" customHeight="1">
      <c r="B116" s="31"/>
      <c r="C116" s="25" t="s">
        <v>103</v>
      </c>
      <c r="L116" s="31"/>
    </row>
    <row r="117" spans="2:65" s="1" customFormat="1" ht="16.5" customHeight="1">
      <c r="B117" s="31"/>
      <c r="E117" s="243" t="str">
        <f>E9</f>
        <v>SO 301 - KANALIZACE</v>
      </c>
      <c r="F117" s="256"/>
      <c r="G117" s="256"/>
      <c r="H117" s="256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5" t="s">
        <v>22</v>
      </c>
      <c r="F119" s="23" t="str">
        <f>F12</f>
        <v>Podivín</v>
      </c>
      <c r="I119" s="25" t="s">
        <v>24</v>
      </c>
      <c r="J119" s="50" t="str">
        <f>IF(J12="","",J12)</f>
        <v>10. 11. 2025</v>
      </c>
      <c r="L119" s="31"/>
    </row>
    <row r="120" spans="2:65" s="1" customFormat="1" ht="6.95" customHeight="1">
      <c r="B120" s="31"/>
      <c r="L120" s="31"/>
    </row>
    <row r="121" spans="2:65" s="1" customFormat="1" ht="40.15" customHeight="1">
      <c r="B121" s="31"/>
      <c r="C121" s="25" t="s">
        <v>30</v>
      </c>
      <c r="F121" s="23" t="str">
        <f>E15</f>
        <v>Město Podivín</v>
      </c>
      <c r="I121" s="25" t="s">
        <v>37</v>
      </c>
      <c r="J121" s="29" t="str">
        <f>E21</f>
        <v>Projekce inženýrských sítí s.r.o.</v>
      </c>
      <c r="L121" s="31"/>
    </row>
    <row r="122" spans="2:65" s="1" customFormat="1" ht="40.15" customHeight="1">
      <c r="B122" s="31"/>
      <c r="C122" s="25" t="s">
        <v>35</v>
      </c>
      <c r="F122" s="23" t="str">
        <f>IF(E18="","",E18)</f>
        <v>Vyplň údaj</v>
      </c>
      <c r="I122" s="25" t="s">
        <v>41</v>
      </c>
      <c r="J122" s="29" t="str">
        <f>E24</f>
        <v>Projekce inženýrských sítí s.r.o.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11"/>
      <c r="C124" s="112" t="s">
        <v>122</v>
      </c>
      <c r="D124" s="113" t="s">
        <v>68</v>
      </c>
      <c r="E124" s="113" t="s">
        <v>64</v>
      </c>
      <c r="F124" s="113" t="s">
        <v>65</v>
      </c>
      <c r="G124" s="113" t="s">
        <v>123</v>
      </c>
      <c r="H124" s="113" t="s">
        <v>124</v>
      </c>
      <c r="I124" s="113" t="s">
        <v>125</v>
      </c>
      <c r="J124" s="113" t="s">
        <v>108</v>
      </c>
      <c r="K124" s="114" t="s">
        <v>126</v>
      </c>
      <c r="L124" s="111"/>
      <c r="M124" s="56" t="s">
        <v>1</v>
      </c>
      <c r="N124" s="57" t="s">
        <v>47</v>
      </c>
      <c r="O124" s="57" t="s">
        <v>127</v>
      </c>
      <c r="P124" s="57" t="s">
        <v>128</v>
      </c>
      <c r="Q124" s="57" t="s">
        <v>129</v>
      </c>
      <c r="R124" s="57" t="s">
        <v>130</v>
      </c>
      <c r="S124" s="57" t="s">
        <v>131</v>
      </c>
      <c r="T124" s="58" t="s">
        <v>132</v>
      </c>
    </row>
    <row r="125" spans="2:65" s="1" customFormat="1" ht="22.9" customHeight="1">
      <c r="B125" s="31"/>
      <c r="C125" s="61" t="s">
        <v>133</v>
      </c>
      <c r="J125" s="115">
        <f>BK125</f>
        <v>0</v>
      </c>
      <c r="L125" s="31"/>
      <c r="M125" s="59"/>
      <c r="N125" s="51"/>
      <c r="O125" s="51"/>
      <c r="P125" s="116">
        <f>P126</f>
        <v>0</v>
      </c>
      <c r="Q125" s="51"/>
      <c r="R125" s="116">
        <f>R126</f>
        <v>2807.0101843099997</v>
      </c>
      <c r="S125" s="51"/>
      <c r="T125" s="117">
        <f>T126</f>
        <v>257.52999999999997</v>
      </c>
      <c r="AT125" s="15" t="s">
        <v>82</v>
      </c>
      <c r="AU125" s="15" t="s">
        <v>110</v>
      </c>
      <c r="BK125" s="118">
        <f>BK126</f>
        <v>0</v>
      </c>
    </row>
    <row r="126" spans="2:65" s="11" customFormat="1" ht="25.9" customHeight="1">
      <c r="B126" s="119"/>
      <c r="D126" s="120" t="s">
        <v>82</v>
      </c>
      <c r="E126" s="121" t="s">
        <v>134</v>
      </c>
      <c r="F126" s="121" t="s">
        <v>135</v>
      </c>
      <c r="I126" s="122"/>
      <c r="J126" s="123">
        <f>BK126</f>
        <v>0</v>
      </c>
      <c r="L126" s="119"/>
      <c r="M126" s="124"/>
      <c r="P126" s="125">
        <f>P127+P185+P188+P200+P215+P274+P288+P293</f>
        <v>0</v>
      </c>
      <c r="R126" s="125">
        <f>R127+R185+R188+R200+R215+R274+R288+R293</f>
        <v>2807.0101843099997</v>
      </c>
      <c r="T126" s="126">
        <f>T127+T185+T188+T200+T215+T274+T288+T293</f>
        <v>257.52999999999997</v>
      </c>
      <c r="AR126" s="120" t="s">
        <v>91</v>
      </c>
      <c r="AT126" s="127" t="s">
        <v>82</v>
      </c>
      <c r="AU126" s="127" t="s">
        <v>83</v>
      </c>
      <c r="AY126" s="120" t="s">
        <v>136</v>
      </c>
      <c r="BK126" s="128">
        <f>BK127+BK185+BK188+BK200+BK215+BK274+BK288+BK293</f>
        <v>0</v>
      </c>
    </row>
    <row r="127" spans="2:65" s="11" customFormat="1" ht="22.9" customHeight="1">
      <c r="B127" s="119"/>
      <c r="D127" s="120" t="s">
        <v>82</v>
      </c>
      <c r="E127" s="129" t="s">
        <v>91</v>
      </c>
      <c r="F127" s="129" t="s">
        <v>137</v>
      </c>
      <c r="I127" s="122"/>
      <c r="J127" s="130">
        <f>BK127</f>
        <v>0</v>
      </c>
      <c r="L127" s="119"/>
      <c r="M127" s="124"/>
      <c r="P127" s="125">
        <f>SUM(P128:P184)</f>
        <v>0</v>
      </c>
      <c r="R127" s="125">
        <f>SUM(R128:R184)</f>
        <v>2638.7163562999999</v>
      </c>
      <c r="T127" s="126">
        <f>SUM(T128:T184)</f>
        <v>257.52999999999997</v>
      </c>
      <c r="AR127" s="120" t="s">
        <v>91</v>
      </c>
      <c r="AT127" s="127" t="s">
        <v>82</v>
      </c>
      <c r="AU127" s="127" t="s">
        <v>91</v>
      </c>
      <c r="AY127" s="120" t="s">
        <v>136</v>
      </c>
      <c r="BK127" s="128">
        <f>SUM(BK128:BK184)</f>
        <v>0</v>
      </c>
    </row>
    <row r="128" spans="2:65" s="1" customFormat="1" ht="16.5" customHeight="1">
      <c r="B128" s="31"/>
      <c r="C128" s="131" t="s">
        <v>91</v>
      </c>
      <c r="D128" s="131" t="s">
        <v>138</v>
      </c>
      <c r="E128" s="132" t="s">
        <v>139</v>
      </c>
      <c r="F128" s="133" t="s">
        <v>140</v>
      </c>
      <c r="G128" s="134" t="s">
        <v>141</v>
      </c>
      <c r="H128" s="135">
        <v>417.3</v>
      </c>
      <c r="I128" s="136"/>
      <c r="J128" s="137">
        <f>ROUND(I128*H128,2)</f>
        <v>0</v>
      </c>
      <c r="K128" s="133" t="s">
        <v>142</v>
      </c>
      <c r="L128" s="31"/>
      <c r="M128" s="138" t="s">
        <v>1</v>
      </c>
      <c r="N128" s="139" t="s">
        <v>48</v>
      </c>
      <c r="P128" s="140">
        <f>O128*H128</f>
        <v>0</v>
      </c>
      <c r="Q128" s="140">
        <v>0</v>
      </c>
      <c r="R128" s="140">
        <f>Q128*H128</f>
        <v>0</v>
      </c>
      <c r="S128" s="140">
        <v>0.44</v>
      </c>
      <c r="T128" s="141">
        <f>S128*H128</f>
        <v>183.61199999999999</v>
      </c>
      <c r="AR128" s="142" t="s">
        <v>143</v>
      </c>
      <c r="AT128" s="142" t="s">
        <v>138</v>
      </c>
      <c r="AU128" s="142" t="s">
        <v>94</v>
      </c>
      <c r="AY128" s="15" t="s">
        <v>136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5" t="s">
        <v>91</v>
      </c>
      <c r="BK128" s="143">
        <f>ROUND(I128*H128,2)</f>
        <v>0</v>
      </c>
      <c r="BL128" s="15" t="s">
        <v>143</v>
      </c>
      <c r="BM128" s="142" t="s">
        <v>144</v>
      </c>
    </row>
    <row r="129" spans="2:65" s="12" customFormat="1">
      <c r="B129" s="144"/>
      <c r="D129" s="145" t="s">
        <v>145</v>
      </c>
      <c r="E129" s="146" t="s">
        <v>1</v>
      </c>
      <c r="F129" s="147" t="s">
        <v>146</v>
      </c>
      <c r="H129" s="148">
        <v>26</v>
      </c>
      <c r="I129" s="149"/>
      <c r="L129" s="144"/>
      <c r="M129" s="150"/>
      <c r="T129" s="151"/>
      <c r="AT129" s="146" t="s">
        <v>145</v>
      </c>
      <c r="AU129" s="146" t="s">
        <v>94</v>
      </c>
      <c r="AV129" s="12" t="s">
        <v>94</v>
      </c>
      <c r="AW129" s="12" t="s">
        <v>40</v>
      </c>
      <c r="AX129" s="12" t="s">
        <v>83</v>
      </c>
      <c r="AY129" s="146" t="s">
        <v>136</v>
      </c>
    </row>
    <row r="130" spans="2:65" s="12" customFormat="1">
      <c r="B130" s="144"/>
      <c r="D130" s="145" t="s">
        <v>145</v>
      </c>
      <c r="E130" s="146" t="s">
        <v>1</v>
      </c>
      <c r="F130" s="147" t="s">
        <v>147</v>
      </c>
      <c r="H130" s="148">
        <v>391.3</v>
      </c>
      <c r="I130" s="149"/>
      <c r="L130" s="144"/>
      <c r="M130" s="150"/>
      <c r="T130" s="151"/>
      <c r="AT130" s="146" t="s">
        <v>145</v>
      </c>
      <c r="AU130" s="146" t="s">
        <v>94</v>
      </c>
      <c r="AV130" s="12" t="s">
        <v>94</v>
      </c>
      <c r="AW130" s="12" t="s">
        <v>40</v>
      </c>
      <c r="AX130" s="12" t="s">
        <v>83</v>
      </c>
      <c r="AY130" s="146" t="s">
        <v>136</v>
      </c>
    </row>
    <row r="131" spans="2:65" s="13" customFormat="1">
      <c r="B131" s="152"/>
      <c r="D131" s="145" t="s">
        <v>145</v>
      </c>
      <c r="E131" s="153" t="s">
        <v>1</v>
      </c>
      <c r="F131" s="154" t="s">
        <v>148</v>
      </c>
      <c r="H131" s="155">
        <v>417.3</v>
      </c>
      <c r="I131" s="156"/>
      <c r="L131" s="152"/>
      <c r="M131" s="157"/>
      <c r="T131" s="158"/>
      <c r="AT131" s="153" t="s">
        <v>145</v>
      </c>
      <c r="AU131" s="153" t="s">
        <v>94</v>
      </c>
      <c r="AV131" s="13" t="s">
        <v>143</v>
      </c>
      <c r="AW131" s="13" t="s">
        <v>40</v>
      </c>
      <c r="AX131" s="13" t="s">
        <v>91</v>
      </c>
      <c r="AY131" s="153" t="s">
        <v>136</v>
      </c>
    </row>
    <row r="132" spans="2:65" s="1" customFormat="1" ht="16.5" customHeight="1">
      <c r="B132" s="31"/>
      <c r="C132" s="131" t="s">
        <v>94</v>
      </c>
      <c r="D132" s="131" t="s">
        <v>138</v>
      </c>
      <c r="E132" s="132" t="s">
        <v>149</v>
      </c>
      <c r="F132" s="133" t="s">
        <v>150</v>
      </c>
      <c r="G132" s="134" t="s">
        <v>141</v>
      </c>
      <c r="H132" s="135">
        <v>239.2</v>
      </c>
      <c r="I132" s="136"/>
      <c r="J132" s="137">
        <f>ROUND(I132*H132,2)</f>
        <v>0</v>
      </c>
      <c r="K132" s="133" t="s">
        <v>142</v>
      </c>
      <c r="L132" s="31"/>
      <c r="M132" s="138" t="s">
        <v>1</v>
      </c>
      <c r="N132" s="139" t="s">
        <v>48</v>
      </c>
      <c r="P132" s="140">
        <f>O132*H132</f>
        <v>0</v>
      </c>
      <c r="Q132" s="140">
        <v>0</v>
      </c>
      <c r="R132" s="140">
        <f>Q132*H132</f>
        <v>0</v>
      </c>
      <c r="S132" s="140">
        <v>0.22</v>
      </c>
      <c r="T132" s="141">
        <f>S132*H132</f>
        <v>52.623999999999995</v>
      </c>
      <c r="AR132" s="142" t="s">
        <v>143</v>
      </c>
      <c r="AT132" s="142" t="s">
        <v>138</v>
      </c>
      <c r="AU132" s="142" t="s">
        <v>94</v>
      </c>
      <c r="AY132" s="15" t="s">
        <v>136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5" t="s">
        <v>91</v>
      </c>
      <c r="BK132" s="143">
        <f>ROUND(I132*H132,2)</f>
        <v>0</v>
      </c>
      <c r="BL132" s="15" t="s">
        <v>143</v>
      </c>
      <c r="BM132" s="142" t="s">
        <v>151</v>
      </c>
    </row>
    <row r="133" spans="2:65" s="12" customFormat="1">
      <c r="B133" s="144"/>
      <c r="D133" s="145" t="s">
        <v>145</v>
      </c>
      <c r="E133" s="146" t="s">
        <v>1</v>
      </c>
      <c r="F133" s="147" t="s">
        <v>152</v>
      </c>
      <c r="H133" s="148">
        <v>239.2</v>
      </c>
      <c r="I133" s="149"/>
      <c r="L133" s="144"/>
      <c r="M133" s="150"/>
      <c r="T133" s="151"/>
      <c r="AT133" s="146" t="s">
        <v>145</v>
      </c>
      <c r="AU133" s="146" t="s">
        <v>94</v>
      </c>
      <c r="AV133" s="12" t="s">
        <v>94</v>
      </c>
      <c r="AW133" s="12" t="s">
        <v>40</v>
      </c>
      <c r="AX133" s="12" t="s">
        <v>91</v>
      </c>
      <c r="AY133" s="146" t="s">
        <v>136</v>
      </c>
    </row>
    <row r="134" spans="2:65" s="1" customFormat="1" ht="16.5" customHeight="1">
      <c r="B134" s="31"/>
      <c r="C134" s="131" t="s">
        <v>153</v>
      </c>
      <c r="D134" s="131" t="s">
        <v>138</v>
      </c>
      <c r="E134" s="132" t="s">
        <v>154</v>
      </c>
      <c r="F134" s="133" t="s">
        <v>155</v>
      </c>
      <c r="G134" s="134" t="s">
        <v>141</v>
      </c>
      <c r="H134" s="135">
        <v>47.32</v>
      </c>
      <c r="I134" s="136"/>
      <c r="J134" s="137">
        <f>ROUND(I134*H134,2)</f>
        <v>0</v>
      </c>
      <c r="K134" s="133" t="s">
        <v>142</v>
      </c>
      <c r="L134" s="31"/>
      <c r="M134" s="138" t="s">
        <v>1</v>
      </c>
      <c r="N134" s="139" t="s">
        <v>48</v>
      </c>
      <c r="P134" s="140">
        <f>O134*H134</f>
        <v>0</v>
      </c>
      <c r="Q134" s="140">
        <v>0</v>
      </c>
      <c r="R134" s="140">
        <f>Q134*H134</f>
        <v>0</v>
      </c>
      <c r="S134" s="140">
        <v>0.45</v>
      </c>
      <c r="T134" s="141">
        <f>S134*H134</f>
        <v>21.294</v>
      </c>
      <c r="AR134" s="142" t="s">
        <v>143</v>
      </c>
      <c r="AT134" s="142" t="s">
        <v>138</v>
      </c>
      <c r="AU134" s="142" t="s">
        <v>94</v>
      </c>
      <c r="AY134" s="15" t="s">
        <v>136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5" t="s">
        <v>91</v>
      </c>
      <c r="BK134" s="143">
        <f>ROUND(I134*H134,2)</f>
        <v>0</v>
      </c>
      <c r="BL134" s="15" t="s">
        <v>143</v>
      </c>
      <c r="BM134" s="142" t="s">
        <v>156</v>
      </c>
    </row>
    <row r="135" spans="2:65" s="12" customFormat="1">
      <c r="B135" s="144"/>
      <c r="D135" s="145" t="s">
        <v>145</v>
      </c>
      <c r="E135" s="146" t="s">
        <v>1</v>
      </c>
      <c r="F135" s="147" t="s">
        <v>157</v>
      </c>
      <c r="H135" s="148">
        <v>47.32</v>
      </c>
      <c r="I135" s="149"/>
      <c r="L135" s="144"/>
      <c r="M135" s="150"/>
      <c r="T135" s="151"/>
      <c r="AT135" s="146" t="s">
        <v>145</v>
      </c>
      <c r="AU135" s="146" t="s">
        <v>94</v>
      </c>
      <c r="AV135" s="12" t="s">
        <v>94</v>
      </c>
      <c r="AW135" s="12" t="s">
        <v>40</v>
      </c>
      <c r="AX135" s="12" t="s">
        <v>91</v>
      </c>
      <c r="AY135" s="146" t="s">
        <v>136</v>
      </c>
    </row>
    <row r="136" spans="2:65" s="1" customFormat="1" ht="16.5" customHeight="1">
      <c r="B136" s="31"/>
      <c r="C136" s="131" t="s">
        <v>143</v>
      </c>
      <c r="D136" s="131" t="s">
        <v>138</v>
      </c>
      <c r="E136" s="132" t="s">
        <v>158</v>
      </c>
      <c r="F136" s="133" t="s">
        <v>159</v>
      </c>
      <c r="G136" s="134" t="s">
        <v>160</v>
      </c>
      <c r="H136" s="135">
        <v>432</v>
      </c>
      <c r="I136" s="136"/>
      <c r="J136" s="137">
        <f>ROUND(I136*H136,2)</f>
        <v>0</v>
      </c>
      <c r="K136" s="133" t="s">
        <v>142</v>
      </c>
      <c r="L136" s="31"/>
      <c r="M136" s="138" t="s">
        <v>1</v>
      </c>
      <c r="N136" s="139" t="s">
        <v>48</v>
      </c>
      <c r="P136" s="140">
        <f>O136*H136</f>
        <v>0</v>
      </c>
      <c r="Q136" s="140">
        <v>3.0000000000000001E-5</v>
      </c>
      <c r="R136" s="140">
        <f>Q136*H136</f>
        <v>1.2960000000000001E-2</v>
      </c>
      <c r="S136" s="140">
        <v>0</v>
      </c>
      <c r="T136" s="141">
        <f>S136*H136</f>
        <v>0</v>
      </c>
      <c r="AR136" s="142" t="s">
        <v>143</v>
      </c>
      <c r="AT136" s="142" t="s">
        <v>138</v>
      </c>
      <c r="AU136" s="142" t="s">
        <v>94</v>
      </c>
      <c r="AY136" s="15" t="s">
        <v>136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5" t="s">
        <v>91</v>
      </c>
      <c r="BK136" s="143">
        <f>ROUND(I136*H136,2)</f>
        <v>0</v>
      </c>
      <c r="BL136" s="15" t="s">
        <v>143</v>
      </c>
      <c r="BM136" s="142" t="s">
        <v>161</v>
      </c>
    </row>
    <row r="137" spans="2:65" s="12" customFormat="1">
      <c r="B137" s="144"/>
      <c r="D137" s="145" t="s">
        <v>145</v>
      </c>
      <c r="E137" s="146" t="s">
        <v>1</v>
      </c>
      <c r="F137" s="147" t="s">
        <v>162</v>
      </c>
      <c r="H137" s="148">
        <v>432</v>
      </c>
      <c r="I137" s="149"/>
      <c r="L137" s="144"/>
      <c r="M137" s="150"/>
      <c r="T137" s="151"/>
      <c r="AT137" s="146" t="s">
        <v>145</v>
      </c>
      <c r="AU137" s="146" t="s">
        <v>94</v>
      </c>
      <c r="AV137" s="12" t="s">
        <v>94</v>
      </c>
      <c r="AW137" s="12" t="s">
        <v>40</v>
      </c>
      <c r="AX137" s="12" t="s">
        <v>91</v>
      </c>
      <c r="AY137" s="146" t="s">
        <v>136</v>
      </c>
    </row>
    <row r="138" spans="2:65" s="1" customFormat="1" ht="16.5" customHeight="1">
      <c r="B138" s="31"/>
      <c r="C138" s="131" t="s">
        <v>163</v>
      </c>
      <c r="D138" s="131" t="s">
        <v>138</v>
      </c>
      <c r="E138" s="132" t="s">
        <v>164</v>
      </c>
      <c r="F138" s="133" t="s">
        <v>165</v>
      </c>
      <c r="G138" s="134" t="s">
        <v>166</v>
      </c>
      <c r="H138" s="135">
        <v>18</v>
      </c>
      <c r="I138" s="136"/>
      <c r="J138" s="137">
        <f>ROUND(I138*H138,2)</f>
        <v>0</v>
      </c>
      <c r="K138" s="133" t="s">
        <v>142</v>
      </c>
      <c r="L138" s="31"/>
      <c r="M138" s="138" t="s">
        <v>1</v>
      </c>
      <c r="N138" s="139" t="s">
        <v>48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143</v>
      </c>
      <c r="AT138" s="142" t="s">
        <v>138</v>
      </c>
      <c r="AU138" s="142" t="s">
        <v>94</v>
      </c>
      <c r="AY138" s="15" t="s">
        <v>136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91</v>
      </c>
      <c r="BK138" s="143">
        <f>ROUND(I138*H138,2)</f>
        <v>0</v>
      </c>
      <c r="BL138" s="15" t="s">
        <v>143</v>
      </c>
      <c r="BM138" s="142" t="s">
        <v>167</v>
      </c>
    </row>
    <row r="139" spans="2:65" s="12" customFormat="1">
      <c r="B139" s="144"/>
      <c r="D139" s="145" t="s">
        <v>145</v>
      </c>
      <c r="E139" s="146" t="s">
        <v>1</v>
      </c>
      <c r="F139" s="147" t="s">
        <v>168</v>
      </c>
      <c r="H139" s="148">
        <v>18</v>
      </c>
      <c r="I139" s="149"/>
      <c r="L139" s="144"/>
      <c r="M139" s="150"/>
      <c r="T139" s="151"/>
      <c r="AT139" s="146" t="s">
        <v>145</v>
      </c>
      <c r="AU139" s="146" t="s">
        <v>94</v>
      </c>
      <c r="AV139" s="12" t="s">
        <v>94</v>
      </c>
      <c r="AW139" s="12" t="s">
        <v>40</v>
      </c>
      <c r="AX139" s="12" t="s">
        <v>91</v>
      </c>
      <c r="AY139" s="146" t="s">
        <v>136</v>
      </c>
    </row>
    <row r="140" spans="2:65" s="1" customFormat="1" ht="16.5" customHeight="1">
      <c r="B140" s="31"/>
      <c r="C140" s="131" t="s">
        <v>169</v>
      </c>
      <c r="D140" s="131" t="s">
        <v>138</v>
      </c>
      <c r="E140" s="132" t="s">
        <v>170</v>
      </c>
      <c r="F140" s="133" t="s">
        <v>171</v>
      </c>
      <c r="G140" s="134" t="s">
        <v>172</v>
      </c>
      <c r="H140" s="135">
        <v>7.8</v>
      </c>
      <c r="I140" s="136"/>
      <c r="J140" s="137">
        <f>ROUND(I140*H140,2)</f>
        <v>0</v>
      </c>
      <c r="K140" s="133" t="s">
        <v>142</v>
      </c>
      <c r="L140" s="31"/>
      <c r="M140" s="138" t="s">
        <v>1</v>
      </c>
      <c r="N140" s="139" t="s">
        <v>48</v>
      </c>
      <c r="P140" s="140">
        <f>O140*H140</f>
        <v>0</v>
      </c>
      <c r="Q140" s="140">
        <v>3.6900000000000002E-2</v>
      </c>
      <c r="R140" s="140">
        <f>Q140*H140</f>
        <v>0.28782000000000002</v>
      </c>
      <c r="S140" s="140">
        <v>0</v>
      </c>
      <c r="T140" s="141">
        <f>S140*H140</f>
        <v>0</v>
      </c>
      <c r="AR140" s="142" t="s">
        <v>143</v>
      </c>
      <c r="AT140" s="142" t="s">
        <v>138</v>
      </c>
      <c r="AU140" s="142" t="s">
        <v>94</v>
      </c>
      <c r="AY140" s="15" t="s">
        <v>136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91</v>
      </c>
      <c r="BK140" s="143">
        <f>ROUND(I140*H140,2)</f>
        <v>0</v>
      </c>
      <c r="BL140" s="15" t="s">
        <v>143</v>
      </c>
      <c r="BM140" s="142" t="s">
        <v>173</v>
      </c>
    </row>
    <row r="141" spans="2:65" s="12" customFormat="1">
      <c r="B141" s="144"/>
      <c r="D141" s="145" t="s">
        <v>145</v>
      </c>
      <c r="E141" s="146" t="s">
        <v>1</v>
      </c>
      <c r="F141" s="147" t="s">
        <v>174</v>
      </c>
      <c r="H141" s="148">
        <v>7.8</v>
      </c>
      <c r="I141" s="149"/>
      <c r="L141" s="144"/>
      <c r="M141" s="150"/>
      <c r="T141" s="151"/>
      <c r="AT141" s="146" t="s">
        <v>145</v>
      </c>
      <c r="AU141" s="146" t="s">
        <v>94</v>
      </c>
      <c r="AV141" s="12" t="s">
        <v>94</v>
      </c>
      <c r="AW141" s="12" t="s">
        <v>40</v>
      </c>
      <c r="AX141" s="12" t="s">
        <v>91</v>
      </c>
      <c r="AY141" s="146" t="s">
        <v>136</v>
      </c>
    </row>
    <row r="142" spans="2:65" s="1" customFormat="1" ht="16.5" customHeight="1">
      <c r="B142" s="31"/>
      <c r="C142" s="131" t="s">
        <v>175</v>
      </c>
      <c r="D142" s="131" t="s">
        <v>138</v>
      </c>
      <c r="E142" s="132" t="s">
        <v>176</v>
      </c>
      <c r="F142" s="133" t="s">
        <v>177</v>
      </c>
      <c r="G142" s="134" t="s">
        <v>172</v>
      </c>
      <c r="H142" s="135">
        <v>15.6</v>
      </c>
      <c r="I142" s="136"/>
      <c r="J142" s="137">
        <f>ROUND(I142*H142,2)</f>
        <v>0</v>
      </c>
      <c r="K142" s="133" t="s">
        <v>142</v>
      </c>
      <c r="L142" s="31"/>
      <c r="M142" s="138" t="s">
        <v>1</v>
      </c>
      <c r="N142" s="139" t="s">
        <v>48</v>
      </c>
      <c r="P142" s="140">
        <f>O142*H142</f>
        <v>0</v>
      </c>
      <c r="Q142" s="140">
        <v>3.6900000000000002E-2</v>
      </c>
      <c r="R142" s="140">
        <f>Q142*H142</f>
        <v>0.57564000000000004</v>
      </c>
      <c r="S142" s="140">
        <v>0</v>
      </c>
      <c r="T142" s="141">
        <f>S142*H142</f>
        <v>0</v>
      </c>
      <c r="AR142" s="142" t="s">
        <v>143</v>
      </c>
      <c r="AT142" s="142" t="s">
        <v>138</v>
      </c>
      <c r="AU142" s="142" t="s">
        <v>94</v>
      </c>
      <c r="AY142" s="15" t="s">
        <v>136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5" t="s">
        <v>91</v>
      </c>
      <c r="BK142" s="143">
        <f>ROUND(I142*H142,2)</f>
        <v>0</v>
      </c>
      <c r="BL142" s="15" t="s">
        <v>143</v>
      </c>
      <c r="BM142" s="142" t="s">
        <v>178</v>
      </c>
    </row>
    <row r="143" spans="2:65" s="12" customFormat="1">
      <c r="B143" s="144"/>
      <c r="D143" s="145" t="s">
        <v>145</v>
      </c>
      <c r="E143" s="146" t="s">
        <v>1</v>
      </c>
      <c r="F143" s="147" t="s">
        <v>179</v>
      </c>
      <c r="H143" s="148">
        <v>15.6</v>
      </c>
      <c r="I143" s="149"/>
      <c r="L143" s="144"/>
      <c r="M143" s="150"/>
      <c r="T143" s="151"/>
      <c r="AT143" s="146" t="s">
        <v>145</v>
      </c>
      <c r="AU143" s="146" t="s">
        <v>94</v>
      </c>
      <c r="AV143" s="12" t="s">
        <v>94</v>
      </c>
      <c r="AW143" s="12" t="s">
        <v>40</v>
      </c>
      <c r="AX143" s="12" t="s">
        <v>91</v>
      </c>
      <c r="AY143" s="146" t="s">
        <v>136</v>
      </c>
    </row>
    <row r="144" spans="2:65" s="1" customFormat="1" ht="16.5" customHeight="1">
      <c r="B144" s="31"/>
      <c r="C144" s="131" t="s">
        <v>180</v>
      </c>
      <c r="D144" s="131" t="s">
        <v>138</v>
      </c>
      <c r="E144" s="132" t="s">
        <v>181</v>
      </c>
      <c r="F144" s="133" t="s">
        <v>182</v>
      </c>
      <c r="G144" s="134" t="s">
        <v>183</v>
      </c>
      <c r="H144" s="135">
        <v>117</v>
      </c>
      <c r="I144" s="136"/>
      <c r="J144" s="137">
        <f>ROUND(I144*H144,2)</f>
        <v>0</v>
      </c>
      <c r="K144" s="133" t="s">
        <v>142</v>
      </c>
      <c r="L144" s="31"/>
      <c r="M144" s="138" t="s">
        <v>1</v>
      </c>
      <c r="N144" s="139" t="s">
        <v>48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143</v>
      </c>
      <c r="AT144" s="142" t="s">
        <v>138</v>
      </c>
      <c r="AU144" s="142" t="s">
        <v>94</v>
      </c>
      <c r="AY144" s="15" t="s">
        <v>136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5" t="s">
        <v>91</v>
      </c>
      <c r="BK144" s="143">
        <f>ROUND(I144*H144,2)</f>
        <v>0</v>
      </c>
      <c r="BL144" s="15" t="s">
        <v>143</v>
      </c>
      <c r="BM144" s="142" t="s">
        <v>184</v>
      </c>
    </row>
    <row r="145" spans="2:65" s="12" customFormat="1">
      <c r="B145" s="144"/>
      <c r="D145" s="145" t="s">
        <v>145</v>
      </c>
      <c r="E145" s="146" t="s">
        <v>1</v>
      </c>
      <c r="F145" s="147" t="s">
        <v>185</v>
      </c>
      <c r="H145" s="148">
        <v>117</v>
      </c>
      <c r="I145" s="149"/>
      <c r="L145" s="144"/>
      <c r="M145" s="150"/>
      <c r="T145" s="151"/>
      <c r="AT145" s="146" t="s">
        <v>145</v>
      </c>
      <c r="AU145" s="146" t="s">
        <v>94</v>
      </c>
      <c r="AV145" s="12" t="s">
        <v>94</v>
      </c>
      <c r="AW145" s="12" t="s">
        <v>40</v>
      </c>
      <c r="AX145" s="12" t="s">
        <v>91</v>
      </c>
      <c r="AY145" s="146" t="s">
        <v>136</v>
      </c>
    </row>
    <row r="146" spans="2:65" s="1" customFormat="1" ht="21.75" customHeight="1">
      <c r="B146" s="31"/>
      <c r="C146" s="131" t="s">
        <v>186</v>
      </c>
      <c r="D146" s="131" t="s">
        <v>138</v>
      </c>
      <c r="E146" s="132" t="s">
        <v>187</v>
      </c>
      <c r="F146" s="133" t="s">
        <v>188</v>
      </c>
      <c r="G146" s="134" t="s">
        <v>183</v>
      </c>
      <c r="H146" s="135">
        <v>1458.72</v>
      </c>
      <c r="I146" s="136"/>
      <c r="J146" s="137">
        <f>ROUND(I146*H146,2)</f>
        <v>0</v>
      </c>
      <c r="K146" s="133" t="s">
        <v>142</v>
      </c>
      <c r="L146" s="31"/>
      <c r="M146" s="138" t="s">
        <v>1</v>
      </c>
      <c r="N146" s="139" t="s">
        <v>48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143</v>
      </c>
      <c r="AT146" s="142" t="s">
        <v>138</v>
      </c>
      <c r="AU146" s="142" t="s">
        <v>94</v>
      </c>
      <c r="AY146" s="15" t="s">
        <v>136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5" t="s">
        <v>91</v>
      </c>
      <c r="BK146" s="143">
        <f>ROUND(I146*H146,2)</f>
        <v>0</v>
      </c>
      <c r="BL146" s="15" t="s">
        <v>143</v>
      </c>
      <c r="BM146" s="142" t="s">
        <v>189</v>
      </c>
    </row>
    <row r="147" spans="2:65" s="12" customFormat="1">
      <c r="B147" s="144"/>
      <c r="D147" s="145" t="s">
        <v>145</v>
      </c>
      <c r="E147" s="146" t="s">
        <v>1</v>
      </c>
      <c r="F147" s="147" t="s">
        <v>190</v>
      </c>
      <c r="H147" s="148">
        <v>36</v>
      </c>
      <c r="I147" s="149"/>
      <c r="L147" s="144"/>
      <c r="M147" s="150"/>
      <c r="T147" s="151"/>
      <c r="AT147" s="146" t="s">
        <v>145</v>
      </c>
      <c r="AU147" s="146" t="s">
        <v>94</v>
      </c>
      <c r="AV147" s="12" t="s">
        <v>94</v>
      </c>
      <c r="AW147" s="12" t="s">
        <v>40</v>
      </c>
      <c r="AX147" s="12" t="s">
        <v>83</v>
      </c>
      <c r="AY147" s="146" t="s">
        <v>136</v>
      </c>
    </row>
    <row r="148" spans="2:65" s="12" customFormat="1">
      <c r="B148" s="144"/>
      <c r="D148" s="145" t="s">
        <v>145</v>
      </c>
      <c r="E148" s="146" t="s">
        <v>1</v>
      </c>
      <c r="F148" s="147" t="s">
        <v>191</v>
      </c>
      <c r="H148" s="148">
        <v>190.08</v>
      </c>
      <c r="I148" s="149"/>
      <c r="L148" s="144"/>
      <c r="M148" s="150"/>
      <c r="T148" s="151"/>
      <c r="AT148" s="146" t="s">
        <v>145</v>
      </c>
      <c r="AU148" s="146" t="s">
        <v>94</v>
      </c>
      <c r="AV148" s="12" t="s">
        <v>94</v>
      </c>
      <c r="AW148" s="12" t="s">
        <v>40</v>
      </c>
      <c r="AX148" s="12" t="s">
        <v>83</v>
      </c>
      <c r="AY148" s="146" t="s">
        <v>136</v>
      </c>
    </row>
    <row r="149" spans="2:65" s="12" customFormat="1">
      <c r="B149" s="144"/>
      <c r="D149" s="145" t="s">
        <v>145</v>
      </c>
      <c r="E149" s="146" t="s">
        <v>1</v>
      </c>
      <c r="F149" s="147" t="s">
        <v>192</v>
      </c>
      <c r="H149" s="148">
        <v>206.25</v>
      </c>
      <c r="I149" s="149"/>
      <c r="L149" s="144"/>
      <c r="M149" s="150"/>
      <c r="T149" s="151"/>
      <c r="AT149" s="146" t="s">
        <v>145</v>
      </c>
      <c r="AU149" s="146" t="s">
        <v>94</v>
      </c>
      <c r="AV149" s="12" t="s">
        <v>94</v>
      </c>
      <c r="AW149" s="12" t="s">
        <v>40</v>
      </c>
      <c r="AX149" s="12" t="s">
        <v>83</v>
      </c>
      <c r="AY149" s="146" t="s">
        <v>136</v>
      </c>
    </row>
    <row r="150" spans="2:65" s="12" customFormat="1">
      <c r="B150" s="144"/>
      <c r="D150" s="145" t="s">
        <v>145</v>
      </c>
      <c r="E150" s="146" t="s">
        <v>1</v>
      </c>
      <c r="F150" s="147" t="s">
        <v>193</v>
      </c>
      <c r="H150" s="148">
        <v>1026.3900000000001</v>
      </c>
      <c r="I150" s="149"/>
      <c r="L150" s="144"/>
      <c r="M150" s="150"/>
      <c r="T150" s="151"/>
      <c r="AT150" s="146" t="s">
        <v>145</v>
      </c>
      <c r="AU150" s="146" t="s">
        <v>94</v>
      </c>
      <c r="AV150" s="12" t="s">
        <v>94</v>
      </c>
      <c r="AW150" s="12" t="s">
        <v>40</v>
      </c>
      <c r="AX150" s="12" t="s">
        <v>83</v>
      </c>
      <c r="AY150" s="146" t="s">
        <v>136</v>
      </c>
    </row>
    <row r="151" spans="2:65" s="13" customFormat="1">
      <c r="B151" s="152"/>
      <c r="D151" s="145" t="s">
        <v>145</v>
      </c>
      <c r="E151" s="153" t="s">
        <v>1</v>
      </c>
      <c r="F151" s="154" t="s">
        <v>148</v>
      </c>
      <c r="H151" s="155">
        <v>1458.72</v>
      </c>
      <c r="I151" s="156"/>
      <c r="L151" s="152"/>
      <c r="M151" s="157"/>
      <c r="T151" s="158"/>
      <c r="AT151" s="153" t="s">
        <v>145</v>
      </c>
      <c r="AU151" s="153" t="s">
        <v>94</v>
      </c>
      <c r="AV151" s="13" t="s">
        <v>143</v>
      </c>
      <c r="AW151" s="13" t="s">
        <v>40</v>
      </c>
      <c r="AX151" s="13" t="s">
        <v>91</v>
      </c>
      <c r="AY151" s="153" t="s">
        <v>136</v>
      </c>
    </row>
    <row r="152" spans="2:65" s="1" customFormat="1" ht="16.5" customHeight="1">
      <c r="B152" s="31"/>
      <c r="C152" s="131" t="s">
        <v>194</v>
      </c>
      <c r="D152" s="131" t="s">
        <v>138</v>
      </c>
      <c r="E152" s="132" t="s">
        <v>195</v>
      </c>
      <c r="F152" s="133" t="s">
        <v>196</v>
      </c>
      <c r="G152" s="134" t="s">
        <v>141</v>
      </c>
      <c r="H152" s="135">
        <v>2220.44</v>
      </c>
      <c r="I152" s="136"/>
      <c r="J152" s="137">
        <f>ROUND(I152*H152,2)</f>
        <v>0</v>
      </c>
      <c r="K152" s="133" t="s">
        <v>142</v>
      </c>
      <c r="L152" s="31"/>
      <c r="M152" s="138" t="s">
        <v>1</v>
      </c>
      <c r="N152" s="139" t="s">
        <v>48</v>
      </c>
      <c r="P152" s="140">
        <f>O152*H152</f>
        <v>0</v>
      </c>
      <c r="Q152" s="140">
        <v>5.9000000000000003E-4</v>
      </c>
      <c r="R152" s="140">
        <f>Q152*H152</f>
        <v>1.3100596</v>
      </c>
      <c r="S152" s="140">
        <v>0</v>
      </c>
      <c r="T152" s="141">
        <f>S152*H152</f>
        <v>0</v>
      </c>
      <c r="AR152" s="142" t="s">
        <v>143</v>
      </c>
      <c r="AT152" s="142" t="s">
        <v>138</v>
      </c>
      <c r="AU152" s="142" t="s">
        <v>94</v>
      </c>
      <c r="AY152" s="15" t="s">
        <v>136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5" t="s">
        <v>91</v>
      </c>
      <c r="BK152" s="143">
        <f>ROUND(I152*H152,2)</f>
        <v>0</v>
      </c>
      <c r="BL152" s="15" t="s">
        <v>143</v>
      </c>
      <c r="BM152" s="142" t="s">
        <v>197</v>
      </c>
    </row>
    <row r="153" spans="2:65" s="12" customFormat="1">
      <c r="B153" s="144"/>
      <c r="D153" s="145" t="s">
        <v>145</v>
      </c>
      <c r="E153" s="146" t="s">
        <v>1</v>
      </c>
      <c r="F153" s="147" t="s">
        <v>198</v>
      </c>
      <c r="H153" s="148">
        <v>72</v>
      </c>
      <c r="I153" s="149"/>
      <c r="L153" s="144"/>
      <c r="M153" s="150"/>
      <c r="T153" s="151"/>
      <c r="AT153" s="146" t="s">
        <v>145</v>
      </c>
      <c r="AU153" s="146" t="s">
        <v>94</v>
      </c>
      <c r="AV153" s="12" t="s">
        <v>94</v>
      </c>
      <c r="AW153" s="12" t="s">
        <v>40</v>
      </c>
      <c r="AX153" s="12" t="s">
        <v>83</v>
      </c>
      <c r="AY153" s="146" t="s">
        <v>136</v>
      </c>
    </row>
    <row r="154" spans="2:65" s="12" customFormat="1">
      <c r="B154" s="144"/>
      <c r="D154" s="145" t="s">
        <v>145</v>
      </c>
      <c r="E154" s="146" t="s">
        <v>1</v>
      </c>
      <c r="F154" s="147" t="s">
        <v>199</v>
      </c>
      <c r="H154" s="148">
        <v>412.5</v>
      </c>
      <c r="I154" s="149"/>
      <c r="L154" s="144"/>
      <c r="M154" s="150"/>
      <c r="T154" s="151"/>
      <c r="AT154" s="146" t="s">
        <v>145</v>
      </c>
      <c r="AU154" s="146" t="s">
        <v>94</v>
      </c>
      <c r="AV154" s="12" t="s">
        <v>94</v>
      </c>
      <c r="AW154" s="12" t="s">
        <v>40</v>
      </c>
      <c r="AX154" s="12" t="s">
        <v>83</v>
      </c>
      <c r="AY154" s="146" t="s">
        <v>136</v>
      </c>
    </row>
    <row r="155" spans="2:65" s="12" customFormat="1">
      <c r="B155" s="144"/>
      <c r="D155" s="145" t="s">
        <v>145</v>
      </c>
      <c r="E155" s="146" t="s">
        <v>1</v>
      </c>
      <c r="F155" s="147" t="s">
        <v>200</v>
      </c>
      <c r="H155" s="148">
        <v>275.33999999999997</v>
      </c>
      <c r="I155" s="149"/>
      <c r="L155" s="144"/>
      <c r="M155" s="150"/>
      <c r="T155" s="151"/>
      <c r="AT155" s="146" t="s">
        <v>145</v>
      </c>
      <c r="AU155" s="146" t="s">
        <v>94</v>
      </c>
      <c r="AV155" s="12" t="s">
        <v>94</v>
      </c>
      <c r="AW155" s="12" t="s">
        <v>40</v>
      </c>
      <c r="AX155" s="12" t="s">
        <v>83</v>
      </c>
      <c r="AY155" s="146" t="s">
        <v>136</v>
      </c>
    </row>
    <row r="156" spans="2:65" s="12" customFormat="1">
      <c r="B156" s="144"/>
      <c r="D156" s="145" t="s">
        <v>145</v>
      </c>
      <c r="E156" s="146" t="s">
        <v>1</v>
      </c>
      <c r="F156" s="147" t="s">
        <v>201</v>
      </c>
      <c r="H156" s="148">
        <v>1460.6</v>
      </c>
      <c r="I156" s="149"/>
      <c r="L156" s="144"/>
      <c r="M156" s="150"/>
      <c r="T156" s="151"/>
      <c r="AT156" s="146" t="s">
        <v>145</v>
      </c>
      <c r="AU156" s="146" t="s">
        <v>94</v>
      </c>
      <c r="AV156" s="12" t="s">
        <v>94</v>
      </c>
      <c r="AW156" s="12" t="s">
        <v>40</v>
      </c>
      <c r="AX156" s="12" t="s">
        <v>83</v>
      </c>
      <c r="AY156" s="146" t="s">
        <v>136</v>
      </c>
    </row>
    <row r="157" spans="2:65" s="13" customFormat="1">
      <c r="B157" s="152"/>
      <c r="D157" s="145" t="s">
        <v>145</v>
      </c>
      <c r="E157" s="153" t="s">
        <v>1</v>
      </c>
      <c r="F157" s="154" t="s">
        <v>148</v>
      </c>
      <c r="H157" s="155">
        <v>2220.44</v>
      </c>
      <c r="I157" s="156"/>
      <c r="L157" s="152"/>
      <c r="M157" s="157"/>
      <c r="T157" s="158"/>
      <c r="AT157" s="153" t="s">
        <v>145</v>
      </c>
      <c r="AU157" s="153" t="s">
        <v>94</v>
      </c>
      <c r="AV157" s="13" t="s">
        <v>143</v>
      </c>
      <c r="AW157" s="13" t="s">
        <v>40</v>
      </c>
      <c r="AX157" s="13" t="s">
        <v>91</v>
      </c>
      <c r="AY157" s="153" t="s">
        <v>136</v>
      </c>
    </row>
    <row r="158" spans="2:65" s="1" customFormat="1" ht="16.5" customHeight="1">
      <c r="B158" s="31"/>
      <c r="C158" s="131" t="s">
        <v>202</v>
      </c>
      <c r="D158" s="131" t="s">
        <v>138</v>
      </c>
      <c r="E158" s="132" t="s">
        <v>203</v>
      </c>
      <c r="F158" s="133" t="s">
        <v>204</v>
      </c>
      <c r="G158" s="134" t="s">
        <v>141</v>
      </c>
      <c r="H158" s="135">
        <v>714.09</v>
      </c>
      <c r="I158" s="136"/>
      <c r="J158" s="137">
        <f>ROUND(I158*H158,2)</f>
        <v>0</v>
      </c>
      <c r="K158" s="133" t="s">
        <v>142</v>
      </c>
      <c r="L158" s="31"/>
      <c r="M158" s="138" t="s">
        <v>1</v>
      </c>
      <c r="N158" s="139" t="s">
        <v>48</v>
      </c>
      <c r="P158" s="140">
        <f>O158*H158</f>
        <v>0</v>
      </c>
      <c r="Q158" s="140">
        <v>6.3000000000000003E-4</v>
      </c>
      <c r="R158" s="140">
        <f>Q158*H158</f>
        <v>0.44987670000000002</v>
      </c>
      <c r="S158" s="140">
        <v>0</v>
      </c>
      <c r="T158" s="141">
        <f>S158*H158</f>
        <v>0</v>
      </c>
      <c r="AR158" s="142" t="s">
        <v>143</v>
      </c>
      <c r="AT158" s="142" t="s">
        <v>138</v>
      </c>
      <c r="AU158" s="142" t="s">
        <v>94</v>
      </c>
      <c r="AY158" s="15" t="s">
        <v>136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5" t="s">
        <v>91</v>
      </c>
      <c r="BK158" s="143">
        <f>ROUND(I158*H158,2)</f>
        <v>0</v>
      </c>
      <c r="BL158" s="15" t="s">
        <v>143</v>
      </c>
      <c r="BM158" s="142" t="s">
        <v>205</v>
      </c>
    </row>
    <row r="159" spans="2:65" s="12" customFormat="1">
      <c r="B159" s="144"/>
      <c r="D159" s="145" t="s">
        <v>145</v>
      </c>
      <c r="E159" s="146" t="s">
        <v>1</v>
      </c>
      <c r="F159" s="147" t="s">
        <v>206</v>
      </c>
      <c r="H159" s="148">
        <v>714.09</v>
      </c>
      <c r="I159" s="149"/>
      <c r="L159" s="144"/>
      <c r="M159" s="150"/>
      <c r="T159" s="151"/>
      <c r="AT159" s="146" t="s">
        <v>145</v>
      </c>
      <c r="AU159" s="146" t="s">
        <v>94</v>
      </c>
      <c r="AV159" s="12" t="s">
        <v>94</v>
      </c>
      <c r="AW159" s="12" t="s">
        <v>40</v>
      </c>
      <c r="AX159" s="12" t="s">
        <v>91</v>
      </c>
      <c r="AY159" s="146" t="s">
        <v>136</v>
      </c>
    </row>
    <row r="160" spans="2:65" s="1" customFormat="1" ht="16.5" customHeight="1">
      <c r="B160" s="31"/>
      <c r="C160" s="131" t="s">
        <v>8</v>
      </c>
      <c r="D160" s="131" t="s">
        <v>138</v>
      </c>
      <c r="E160" s="132" t="s">
        <v>207</v>
      </c>
      <c r="F160" s="133" t="s">
        <v>208</v>
      </c>
      <c r="G160" s="134" t="s">
        <v>141</v>
      </c>
      <c r="H160" s="135">
        <v>2220.44</v>
      </c>
      <c r="I160" s="136"/>
      <c r="J160" s="137">
        <f>ROUND(I160*H160,2)</f>
        <v>0</v>
      </c>
      <c r="K160" s="133" t="s">
        <v>142</v>
      </c>
      <c r="L160" s="31"/>
      <c r="M160" s="138" t="s">
        <v>1</v>
      </c>
      <c r="N160" s="139" t="s">
        <v>48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143</v>
      </c>
      <c r="AT160" s="142" t="s">
        <v>138</v>
      </c>
      <c r="AU160" s="142" t="s">
        <v>94</v>
      </c>
      <c r="AY160" s="15" t="s">
        <v>136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5" t="s">
        <v>91</v>
      </c>
      <c r="BK160" s="143">
        <f>ROUND(I160*H160,2)</f>
        <v>0</v>
      </c>
      <c r="BL160" s="15" t="s">
        <v>143</v>
      </c>
      <c r="BM160" s="142" t="s">
        <v>209</v>
      </c>
    </row>
    <row r="161" spans="2:65" s="12" customFormat="1">
      <c r="B161" s="144"/>
      <c r="D161" s="145" t="s">
        <v>145</v>
      </c>
      <c r="E161" s="146" t="s">
        <v>1</v>
      </c>
      <c r="F161" s="147" t="s">
        <v>198</v>
      </c>
      <c r="H161" s="148">
        <v>72</v>
      </c>
      <c r="I161" s="149"/>
      <c r="L161" s="144"/>
      <c r="M161" s="150"/>
      <c r="T161" s="151"/>
      <c r="AT161" s="146" t="s">
        <v>145</v>
      </c>
      <c r="AU161" s="146" t="s">
        <v>94</v>
      </c>
      <c r="AV161" s="12" t="s">
        <v>94</v>
      </c>
      <c r="AW161" s="12" t="s">
        <v>40</v>
      </c>
      <c r="AX161" s="12" t="s">
        <v>83</v>
      </c>
      <c r="AY161" s="146" t="s">
        <v>136</v>
      </c>
    </row>
    <row r="162" spans="2:65" s="12" customFormat="1">
      <c r="B162" s="144"/>
      <c r="D162" s="145" t="s">
        <v>145</v>
      </c>
      <c r="E162" s="146" t="s">
        <v>1</v>
      </c>
      <c r="F162" s="147" t="s">
        <v>199</v>
      </c>
      <c r="H162" s="148">
        <v>412.5</v>
      </c>
      <c r="I162" s="149"/>
      <c r="L162" s="144"/>
      <c r="M162" s="150"/>
      <c r="T162" s="151"/>
      <c r="AT162" s="146" t="s">
        <v>145</v>
      </c>
      <c r="AU162" s="146" t="s">
        <v>94</v>
      </c>
      <c r="AV162" s="12" t="s">
        <v>94</v>
      </c>
      <c r="AW162" s="12" t="s">
        <v>40</v>
      </c>
      <c r="AX162" s="12" t="s">
        <v>83</v>
      </c>
      <c r="AY162" s="146" t="s">
        <v>136</v>
      </c>
    </row>
    <row r="163" spans="2:65" s="12" customFormat="1">
      <c r="B163" s="144"/>
      <c r="D163" s="145" t="s">
        <v>145</v>
      </c>
      <c r="E163" s="146" t="s">
        <v>1</v>
      </c>
      <c r="F163" s="147" t="s">
        <v>200</v>
      </c>
      <c r="H163" s="148">
        <v>275.33999999999997</v>
      </c>
      <c r="I163" s="149"/>
      <c r="L163" s="144"/>
      <c r="M163" s="150"/>
      <c r="T163" s="151"/>
      <c r="AT163" s="146" t="s">
        <v>145</v>
      </c>
      <c r="AU163" s="146" t="s">
        <v>94</v>
      </c>
      <c r="AV163" s="12" t="s">
        <v>94</v>
      </c>
      <c r="AW163" s="12" t="s">
        <v>40</v>
      </c>
      <c r="AX163" s="12" t="s">
        <v>83</v>
      </c>
      <c r="AY163" s="146" t="s">
        <v>136</v>
      </c>
    </row>
    <row r="164" spans="2:65" s="12" customFormat="1">
      <c r="B164" s="144"/>
      <c r="D164" s="145" t="s">
        <v>145</v>
      </c>
      <c r="E164" s="146" t="s">
        <v>1</v>
      </c>
      <c r="F164" s="147" t="s">
        <v>201</v>
      </c>
      <c r="H164" s="148">
        <v>1460.6</v>
      </c>
      <c r="I164" s="149"/>
      <c r="L164" s="144"/>
      <c r="M164" s="150"/>
      <c r="T164" s="151"/>
      <c r="AT164" s="146" t="s">
        <v>145</v>
      </c>
      <c r="AU164" s="146" t="s">
        <v>94</v>
      </c>
      <c r="AV164" s="12" t="s">
        <v>94</v>
      </c>
      <c r="AW164" s="12" t="s">
        <v>40</v>
      </c>
      <c r="AX164" s="12" t="s">
        <v>83</v>
      </c>
      <c r="AY164" s="146" t="s">
        <v>136</v>
      </c>
    </row>
    <row r="165" spans="2:65" s="13" customFormat="1">
      <c r="B165" s="152"/>
      <c r="D165" s="145" t="s">
        <v>145</v>
      </c>
      <c r="E165" s="153" t="s">
        <v>1</v>
      </c>
      <c r="F165" s="154" t="s">
        <v>148</v>
      </c>
      <c r="H165" s="155">
        <v>2220.44</v>
      </c>
      <c r="I165" s="156"/>
      <c r="L165" s="152"/>
      <c r="M165" s="157"/>
      <c r="T165" s="158"/>
      <c r="AT165" s="153" t="s">
        <v>145</v>
      </c>
      <c r="AU165" s="153" t="s">
        <v>94</v>
      </c>
      <c r="AV165" s="13" t="s">
        <v>143</v>
      </c>
      <c r="AW165" s="13" t="s">
        <v>40</v>
      </c>
      <c r="AX165" s="13" t="s">
        <v>91</v>
      </c>
      <c r="AY165" s="153" t="s">
        <v>136</v>
      </c>
    </row>
    <row r="166" spans="2:65" s="1" customFormat="1" ht="16.5" customHeight="1">
      <c r="B166" s="31"/>
      <c r="C166" s="131" t="s">
        <v>210</v>
      </c>
      <c r="D166" s="131" t="s">
        <v>138</v>
      </c>
      <c r="E166" s="132" t="s">
        <v>211</v>
      </c>
      <c r="F166" s="133" t="s">
        <v>212</v>
      </c>
      <c r="G166" s="134" t="s">
        <v>141</v>
      </c>
      <c r="H166" s="135">
        <v>714.09</v>
      </c>
      <c r="I166" s="136"/>
      <c r="J166" s="137">
        <f>ROUND(I166*H166,2)</f>
        <v>0</v>
      </c>
      <c r="K166" s="133" t="s">
        <v>142</v>
      </c>
      <c r="L166" s="31"/>
      <c r="M166" s="138" t="s">
        <v>1</v>
      </c>
      <c r="N166" s="139" t="s">
        <v>48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143</v>
      </c>
      <c r="AT166" s="142" t="s">
        <v>138</v>
      </c>
      <c r="AU166" s="142" t="s">
        <v>94</v>
      </c>
      <c r="AY166" s="15" t="s">
        <v>136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5" t="s">
        <v>91</v>
      </c>
      <c r="BK166" s="143">
        <f>ROUND(I166*H166,2)</f>
        <v>0</v>
      </c>
      <c r="BL166" s="15" t="s">
        <v>143</v>
      </c>
      <c r="BM166" s="142" t="s">
        <v>213</v>
      </c>
    </row>
    <row r="167" spans="2:65" s="12" customFormat="1">
      <c r="B167" s="144"/>
      <c r="D167" s="145" t="s">
        <v>145</v>
      </c>
      <c r="E167" s="146" t="s">
        <v>1</v>
      </c>
      <c r="F167" s="147" t="s">
        <v>206</v>
      </c>
      <c r="H167" s="148">
        <v>714.09</v>
      </c>
      <c r="I167" s="149"/>
      <c r="L167" s="144"/>
      <c r="M167" s="150"/>
      <c r="T167" s="151"/>
      <c r="AT167" s="146" t="s">
        <v>145</v>
      </c>
      <c r="AU167" s="146" t="s">
        <v>94</v>
      </c>
      <c r="AV167" s="12" t="s">
        <v>94</v>
      </c>
      <c r="AW167" s="12" t="s">
        <v>40</v>
      </c>
      <c r="AX167" s="12" t="s">
        <v>91</v>
      </c>
      <c r="AY167" s="146" t="s">
        <v>136</v>
      </c>
    </row>
    <row r="168" spans="2:65" s="1" customFormat="1" ht="21.75" customHeight="1">
      <c r="B168" s="31"/>
      <c r="C168" s="131" t="s">
        <v>214</v>
      </c>
      <c r="D168" s="131" t="s">
        <v>138</v>
      </c>
      <c r="E168" s="132" t="s">
        <v>215</v>
      </c>
      <c r="F168" s="133" t="s">
        <v>216</v>
      </c>
      <c r="G168" s="134" t="s">
        <v>183</v>
      </c>
      <c r="H168" s="135">
        <v>1458.72</v>
      </c>
      <c r="I168" s="136"/>
      <c r="J168" s="137">
        <f>ROUND(I168*H168,2)</f>
        <v>0</v>
      </c>
      <c r="K168" s="133" t="s">
        <v>142</v>
      </c>
      <c r="L168" s="31"/>
      <c r="M168" s="138" t="s">
        <v>1</v>
      </c>
      <c r="N168" s="139" t="s">
        <v>48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143</v>
      </c>
      <c r="AT168" s="142" t="s">
        <v>138</v>
      </c>
      <c r="AU168" s="142" t="s">
        <v>94</v>
      </c>
      <c r="AY168" s="15" t="s">
        <v>136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5" t="s">
        <v>91</v>
      </c>
      <c r="BK168" s="143">
        <f>ROUND(I168*H168,2)</f>
        <v>0</v>
      </c>
      <c r="BL168" s="15" t="s">
        <v>143</v>
      </c>
      <c r="BM168" s="142" t="s">
        <v>217</v>
      </c>
    </row>
    <row r="169" spans="2:65" s="12" customFormat="1">
      <c r="B169" s="144"/>
      <c r="D169" s="145" t="s">
        <v>145</v>
      </c>
      <c r="E169" s="146" t="s">
        <v>1</v>
      </c>
      <c r="F169" s="147" t="s">
        <v>218</v>
      </c>
      <c r="H169" s="148">
        <v>1458.72</v>
      </c>
      <c r="I169" s="149"/>
      <c r="L169" s="144"/>
      <c r="M169" s="150"/>
      <c r="T169" s="151"/>
      <c r="AT169" s="146" t="s">
        <v>145</v>
      </c>
      <c r="AU169" s="146" t="s">
        <v>94</v>
      </c>
      <c r="AV169" s="12" t="s">
        <v>94</v>
      </c>
      <c r="AW169" s="12" t="s">
        <v>40</v>
      </c>
      <c r="AX169" s="12" t="s">
        <v>91</v>
      </c>
      <c r="AY169" s="146" t="s">
        <v>136</v>
      </c>
    </row>
    <row r="170" spans="2:65" s="1" customFormat="1" ht="16.5" customHeight="1">
      <c r="B170" s="31"/>
      <c r="C170" s="131" t="s">
        <v>219</v>
      </c>
      <c r="D170" s="131" t="s">
        <v>138</v>
      </c>
      <c r="E170" s="132" t="s">
        <v>220</v>
      </c>
      <c r="F170" s="133" t="s">
        <v>221</v>
      </c>
      <c r="G170" s="134" t="s">
        <v>222</v>
      </c>
      <c r="H170" s="135">
        <v>2917.44</v>
      </c>
      <c r="I170" s="136"/>
      <c r="J170" s="137">
        <f>ROUND(I170*H170,2)</f>
        <v>0</v>
      </c>
      <c r="K170" s="133" t="s">
        <v>142</v>
      </c>
      <c r="L170" s="31"/>
      <c r="M170" s="138" t="s">
        <v>1</v>
      </c>
      <c r="N170" s="139" t="s">
        <v>48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143</v>
      </c>
      <c r="AT170" s="142" t="s">
        <v>138</v>
      </c>
      <c r="AU170" s="142" t="s">
        <v>94</v>
      </c>
      <c r="AY170" s="15" t="s">
        <v>136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5" t="s">
        <v>91</v>
      </c>
      <c r="BK170" s="143">
        <f>ROUND(I170*H170,2)</f>
        <v>0</v>
      </c>
      <c r="BL170" s="15" t="s">
        <v>143</v>
      </c>
      <c r="BM170" s="142" t="s">
        <v>223</v>
      </c>
    </row>
    <row r="171" spans="2:65" s="12" customFormat="1">
      <c r="B171" s="144"/>
      <c r="D171" s="145" t="s">
        <v>145</v>
      </c>
      <c r="E171" s="146" t="s">
        <v>1</v>
      </c>
      <c r="F171" s="147" t="s">
        <v>224</v>
      </c>
      <c r="H171" s="148">
        <v>2917.44</v>
      </c>
      <c r="I171" s="149"/>
      <c r="L171" s="144"/>
      <c r="M171" s="150"/>
      <c r="T171" s="151"/>
      <c r="AT171" s="146" t="s">
        <v>145</v>
      </c>
      <c r="AU171" s="146" t="s">
        <v>94</v>
      </c>
      <c r="AV171" s="12" t="s">
        <v>94</v>
      </c>
      <c r="AW171" s="12" t="s">
        <v>40</v>
      </c>
      <c r="AX171" s="12" t="s">
        <v>91</v>
      </c>
      <c r="AY171" s="146" t="s">
        <v>136</v>
      </c>
    </row>
    <row r="172" spans="2:65" s="1" customFormat="1" ht="16.5" customHeight="1">
      <c r="B172" s="31"/>
      <c r="C172" s="131" t="s">
        <v>225</v>
      </c>
      <c r="D172" s="131" t="s">
        <v>138</v>
      </c>
      <c r="E172" s="132" t="s">
        <v>226</v>
      </c>
      <c r="F172" s="133" t="s">
        <v>227</v>
      </c>
      <c r="G172" s="134" t="s">
        <v>183</v>
      </c>
      <c r="H172" s="135">
        <v>1458.72</v>
      </c>
      <c r="I172" s="136"/>
      <c r="J172" s="137">
        <f>ROUND(I172*H172,2)</f>
        <v>0</v>
      </c>
      <c r="K172" s="133" t="s">
        <v>142</v>
      </c>
      <c r="L172" s="31"/>
      <c r="M172" s="138" t="s">
        <v>1</v>
      </c>
      <c r="N172" s="139" t="s">
        <v>48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143</v>
      </c>
      <c r="AT172" s="142" t="s">
        <v>138</v>
      </c>
      <c r="AU172" s="142" t="s">
        <v>94</v>
      </c>
      <c r="AY172" s="15" t="s">
        <v>136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5" t="s">
        <v>91</v>
      </c>
      <c r="BK172" s="143">
        <f>ROUND(I172*H172,2)</f>
        <v>0</v>
      </c>
      <c r="BL172" s="15" t="s">
        <v>143</v>
      </c>
      <c r="BM172" s="142" t="s">
        <v>228</v>
      </c>
    </row>
    <row r="173" spans="2:65" s="12" customFormat="1">
      <c r="B173" s="144"/>
      <c r="D173" s="145" t="s">
        <v>145</v>
      </c>
      <c r="E173" s="146" t="s">
        <v>1</v>
      </c>
      <c r="F173" s="147" t="s">
        <v>218</v>
      </c>
      <c r="H173" s="148">
        <v>1458.72</v>
      </c>
      <c r="I173" s="149"/>
      <c r="L173" s="144"/>
      <c r="M173" s="150"/>
      <c r="T173" s="151"/>
      <c r="AT173" s="146" t="s">
        <v>145</v>
      </c>
      <c r="AU173" s="146" t="s">
        <v>94</v>
      </c>
      <c r="AV173" s="12" t="s">
        <v>94</v>
      </c>
      <c r="AW173" s="12" t="s">
        <v>40</v>
      </c>
      <c r="AX173" s="12" t="s">
        <v>91</v>
      </c>
      <c r="AY173" s="146" t="s">
        <v>136</v>
      </c>
    </row>
    <row r="174" spans="2:65" s="1" customFormat="1" ht="16.5" customHeight="1">
      <c r="B174" s="31"/>
      <c r="C174" s="131" t="s">
        <v>229</v>
      </c>
      <c r="D174" s="131" t="s">
        <v>138</v>
      </c>
      <c r="E174" s="132" t="s">
        <v>230</v>
      </c>
      <c r="F174" s="133" t="s">
        <v>231</v>
      </c>
      <c r="G174" s="134" t="s">
        <v>183</v>
      </c>
      <c r="H174" s="135">
        <v>1104.8019999999999</v>
      </c>
      <c r="I174" s="136"/>
      <c r="J174" s="137">
        <f>ROUND(I174*H174,2)</f>
        <v>0</v>
      </c>
      <c r="K174" s="133" t="s">
        <v>142</v>
      </c>
      <c r="L174" s="31"/>
      <c r="M174" s="138" t="s">
        <v>1</v>
      </c>
      <c r="N174" s="139" t="s">
        <v>48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143</v>
      </c>
      <c r="AT174" s="142" t="s">
        <v>138</v>
      </c>
      <c r="AU174" s="142" t="s">
        <v>94</v>
      </c>
      <c r="AY174" s="15" t="s">
        <v>136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5" t="s">
        <v>91</v>
      </c>
      <c r="BK174" s="143">
        <f>ROUND(I174*H174,2)</f>
        <v>0</v>
      </c>
      <c r="BL174" s="15" t="s">
        <v>143</v>
      </c>
      <c r="BM174" s="142" t="s">
        <v>232</v>
      </c>
    </row>
    <row r="175" spans="2:65" s="12" customFormat="1">
      <c r="B175" s="144"/>
      <c r="D175" s="145" t="s">
        <v>145</v>
      </c>
      <c r="E175" s="146" t="s">
        <v>1</v>
      </c>
      <c r="F175" s="147" t="s">
        <v>233</v>
      </c>
      <c r="H175" s="148">
        <v>1104.8019999999999</v>
      </c>
      <c r="I175" s="149"/>
      <c r="L175" s="144"/>
      <c r="M175" s="150"/>
      <c r="T175" s="151"/>
      <c r="AT175" s="146" t="s">
        <v>145</v>
      </c>
      <c r="AU175" s="146" t="s">
        <v>94</v>
      </c>
      <c r="AV175" s="12" t="s">
        <v>94</v>
      </c>
      <c r="AW175" s="12" t="s">
        <v>40</v>
      </c>
      <c r="AX175" s="12" t="s">
        <v>91</v>
      </c>
      <c r="AY175" s="146" t="s">
        <v>136</v>
      </c>
    </row>
    <row r="176" spans="2:65" s="1" customFormat="1" ht="16.5" customHeight="1">
      <c r="B176" s="31"/>
      <c r="C176" s="159" t="s">
        <v>168</v>
      </c>
      <c r="D176" s="159" t="s">
        <v>234</v>
      </c>
      <c r="E176" s="160" t="s">
        <v>235</v>
      </c>
      <c r="F176" s="161" t="s">
        <v>236</v>
      </c>
      <c r="G176" s="162" t="s">
        <v>222</v>
      </c>
      <c r="H176" s="163">
        <v>2209.6039999999998</v>
      </c>
      <c r="I176" s="164"/>
      <c r="J176" s="165">
        <f>ROUND(I176*H176,2)</f>
        <v>0</v>
      </c>
      <c r="K176" s="161" t="s">
        <v>142</v>
      </c>
      <c r="L176" s="166"/>
      <c r="M176" s="167" t="s">
        <v>1</v>
      </c>
      <c r="N176" s="168" t="s">
        <v>48</v>
      </c>
      <c r="P176" s="140">
        <f>O176*H176</f>
        <v>0</v>
      </c>
      <c r="Q176" s="140">
        <v>1</v>
      </c>
      <c r="R176" s="140">
        <f>Q176*H176</f>
        <v>2209.6039999999998</v>
      </c>
      <c r="S176" s="140">
        <v>0</v>
      </c>
      <c r="T176" s="141">
        <f>S176*H176</f>
        <v>0</v>
      </c>
      <c r="AR176" s="142" t="s">
        <v>180</v>
      </c>
      <c r="AT176" s="142" t="s">
        <v>234</v>
      </c>
      <c r="AU176" s="142" t="s">
        <v>94</v>
      </c>
      <c r="AY176" s="15" t="s">
        <v>136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5" t="s">
        <v>91</v>
      </c>
      <c r="BK176" s="143">
        <f>ROUND(I176*H176,2)</f>
        <v>0</v>
      </c>
      <c r="BL176" s="15" t="s">
        <v>143</v>
      </c>
      <c r="BM176" s="142" t="s">
        <v>237</v>
      </c>
    </row>
    <row r="177" spans="2:65" s="12" customFormat="1">
      <c r="B177" s="144"/>
      <c r="D177" s="145" t="s">
        <v>145</v>
      </c>
      <c r="E177" s="146" t="s">
        <v>1</v>
      </c>
      <c r="F177" s="147" t="s">
        <v>238</v>
      </c>
      <c r="H177" s="148">
        <v>2209.6039999999998</v>
      </c>
      <c r="I177" s="149"/>
      <c r="L177" s="144"/>
      <c r="M177" s="150"/>
      <c r="T177" s="151"/>
      <c r="AT177" s="146" t="s">
        <v>145</v>
      </c>
      <c r="AU177" s="146" t="s">
        <v>94</v>
      </c>
      <c r="AV177" s="12" t="s">
        <v>94</v>
      </c>
      <c r="AW177" s="12" t="s">
        <v>40</v>
      </c>
      <c r="AX177" s="12" t="s">
        <v>91</v>
      </c>
      <c r="AY177" s="146" t="s">
        <v>136</v>
      </c>
    </row>
    <row r="178" spans="2:65" s="1" customFormat="1" ht="16.5" customHeight="1">
      <c r="B178" s="31"/>
      <c r="C178" s="131" t="s">
        <v>239</v>
      </c>
      <c r="D178" s="131" t="s">
        <v>138</v>
      </c>
      <c r="E178" s="132" t="s">
        <v>240</v>
      </c>
      <c r="F178" s="133" t="s">
        <v>241</v>
      </c>
      <c r="G178" s="134" t="s">
        <v>183</v>
      </c>
      <c r="H178" s="135">
        <v>213.238</v>
      </c>
      <c r="I178" s="136"/>
      <c r="J178" s="137">
        <f>ROUND(I178*H178,2)</f>
        <v>0</v>
      </c>
      <c r="K178" s="133" t="s">
        <v>142</v>
      </c>
      <c r="L178" s="31"/>
      <c r="M178" s="138" t="s">
        <v>1</v>
      </c>
      <c r="N178" s="139" t="s">
        <v>48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143</v>
      </c>
      <c r="AT178" s="142" t="s">
        <v>138</v>
      </c>
      <c r="AU178" s="142" t="s">
        <v>94</v>
      </c>
      <c r="AY178" s="15" t="s">
        <v>136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5" t="s">
        <v>91</v>
      </c>
      <c r="BK178" s="143">
        <f>ROUND(I178*H178,2)</f>
        <v>0</v>
      </c>
      <c r="BL178" s="15" t="s">
        <v>143</v>
      </c>
      <c r="BM178" s="142" t="s">
        <v>242</v>
      </c>
    </row>
    <row r="179" spans="2:65" s="12" customFormat="1">
      <c r="B179" s="144"/>
      <c r="D179" s="145" t="s">
        <v>145</v>
      </c>
      <c r="E179" s="146" t="s">
        <v>1</v>
      </c>
      <c r="F179" s="147" t="s">
        <v>243</v>
      </c>
      <c r="H179" s="148">
        <v>44.21</v>
      </c>
      <c r="I179" s="149"/>
      <c r="L179" s="144"/>
      <c r="M179" s="150"/>
      <c r="T179" s="151"/>
      <c r="AT179" s="146" t="s">
        <v>145</v>
      </c>
      <c r="AU179" s="146" t="s">
        <v>94</v>
      </c>
      <c r="AV179" s="12" t="s">
        <v>94</v>
      </c>
      <c r="AW179" s="12" t="s">
        <v>40</v>
      </c>
      <c r="AX179" s="12" t="s">
        <v>83</v>
      </c>
      <c r="AY179" s="146" t="s">
        <v>136</v>
      </c>
    </row>
    <row r="180" spans="2:65" s="12" customFormat="1">
      <c r="B180" s="144"/>
      <c r="D180" s="145" t="s">
        <v>145</v>
      </c>
      <c r="E180" s="146" t="s">
        <v>1</v>
      </c>
      <c r="F180" s="147" t="s">
        <v>244</v>
      </c>
      <c r="H180" s="148">
        <v>23.378</v>
      </c>
      <c r="I180" s="149"/>
      <c r="L180" s="144"/>
      <c r="M180" s="150"/>
      <c r="T180" s="151"/>
      <c r="AT180" s="146" t="s">
        <v>145</v>
      </c>
      <c r="AU180" s="146" t="s">
        <v>94</v>
      </c>
      <c r="AV180" s="12" t="s">
        <v>94</v>
      </c>
      <c r="AW180" s="12" t="s">
        <v>40</v>
      </c>
      <c r="AX180" s="12" t="s">
        <v>83</v>
      </c>
      <c r="AY180" s="146" t="s">
        <v>136</v>
      </c>
    </row>
    <row r="181" spans="2:65" s="12" customFormat="1">
      <c r="B181" s="144"/>
      <c r="D181" s="145" t="s">
        <v>145</v>
      </c>
      <c r="E181" s="146" t="s">
        <v>1</v>
      </c>
      <c r="F181" s="147" t="s">
        <v>245</v>
      </c>
      <c r="H181" s="148">
        <v>145.65</v>
      </c>
      <c r="I181" s="149"/>
      <c r="L181" s="144"/>
      <c r="M181" s="150"/>
      <c r="T181" s="151"/>
      <c r="AT181" s="146" t="s">
        <v>145</v>
      </c>
      <c r="AU181" s="146" t="s">
        <v>94</v>
      </c>
      <c r="AV181" s="12" t="s">
        <v>94</v>
      </c>
      <c r="AW181" s="12" t="s">
        <v>40</v>
      </c>
      <c r="AX181" s="12" t="s">
        <v>83</v>
      </c>
      <c r="AY181" s="146" t="s">
        <v>136</v>
      </c>
    </row>
    <row r="182" spans="2:65" s="13" customFormat="1">
      <c r="B182" s="152"/>
      <c r="D182" s="145" t="s">
        <v>145</v>
      </c>
      <c r="E182" s="153" t="s">
        <v>1</v>
      </c>
      <c r="F182" s="154" t="s">
        <v>148</v>
      </c>
      <c r="H182" s="155">
        <v>213.238</v>
      </c>
      <c r="I182" s="156"/>
      <c r="L182" s="152"/>
      <c r="M182" s="157"/>
      <c r="T182" s="158"/>
      <c r="AT182" s="153" t="s">
        <v>145</v>
      </c>
      <c r="AU182" s="153" t="s">
        <v>94</v>
      </c>
      <c r="AV182" s="13" t="s">
        <v>143</v>
      </c>
      <c r="AW182" s="13" t="s">
        <v>40</v>
      </c>
      <c r="AX182" s="13" t="s">
        <v>91</v>
      </c>
      <c r="AY182" s="153" t="s">
        <v>136</v>
      </c>
    </row>
    <row r="183" spans="2:65" s="1" customFormat="1" ht="16.5" customHeight="1">
      <c r="B183" s="31"/>
      <c r="C183" s="159" t="s">
        <v>246</v>
      </c>
      <c r="D183" s="159" t="s">
        <v>234</v>
      </c>
      <c r="E183" s="160" t="s">
        <v>247</v>
      </c>
      <c r="F183" s="161" t="s">
        <v>248</v>
      </c>
      <c r="G183" s="162" t="s">
        <v>222</v>
      </c>
      <c r="H183" s="163">
        <v>426.476</v>
      </c>
      <c r="I183" s="164"/>
      <c r="J183" s="165">
        <f>ROUND(I183*H183,2)</f>
        <v>0</v>
      </c>
      <c r="K183" s="161" t="s">
        <v>142</v>
      </c>
      <c r="L183" s="166"/>
      <c r="M183" s="167" t="s">
        <v>1</v>
      </c>
      <c r="N183" s="168" t="s">
        <v>48</v>
      </c>
      <c r="P183" s="140">
        <f>O183*H183</f>
        <v>0</v>
      </c>
      <c r="Q183" s="140">
        <v>1</v>
      </c>
      <c r="R183" s="140">
        <f>Q183*H183</f>
        <v>426.476</v>
      </c>
      <c r="S183" s="140">
        <v>0</v>
      </c>
      <c r="T183" s="141">
        <f>S183*H183</f>
        <v>0</v>
      </c>
      <c r="AR183" s="142" t="s">
        <v>180</v>
      </c>
      <c r="AT183" s="142" t="s">
        <v>234</v>
      </c>
      <c r="AU183" s="142" t="s">
        <v>94</v>
      </c>
      <c r="AY183" s="15" t="s">
        <v>136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5" t="s">
        <v>91</v>
      </c>
      <c r="BK183" s="143">
        <f>ROUND(I183*H183,2)</f>
        <v>0</v>
      </c>
      <c r="BL183" s="15" t="s">
        <v>143</v>
      </c>
      <c r="BM183" s="142" t="s">
        <v>249</v>
      </c>
    </row>
    <row r="184" spans="2:65" s="12" customFormat="1">
      <c r="B184" s="144"/>
      <c r="D184" s="145" t="s">
        <v>145</v>
      </c>
      <c r="E184" s="146" t="s">
        <v>1</v>
      </c>
      <c r="F184" s="147" t="s">
        <v>250</v>
      </c>
      <c r="H184" s="148">
        <v>426.476</v>
      </c>
      <c r="I184" s="149"/>
      <c r="L184" s="144"/>
      <c r="M184" s="150"/>
      <c r="T184" s="151"/>
      <c r="AT184" s="146" t="s">
        <v>145</v>
      </c>
      <c r="AU184" s="146" t="s">
        <v>94</v>
      </c>
      <c r="AV184" s="12" t="s">
        <v>94</v>
      </c>
      <c r="AW184" s="12" t="s">
        <v>40</v>
      </c>
      <c r="AX184" s="12" t="s">
        <v>91</v>
      </c>
      <c r="AY184" s="146" t="s">
        <v>136</v>
      </c>
    </row>
    <row r="185" spans="2:65" s="11" customFormat="1" ht="22.9" customHeight="1">
      <c r="B185" s="119"/>
      <c r="D185" s="120" t="s">
        <v>82</v>
      </c>
      <c r="E185" s="129" t="s">
        <v>94</v>
      </c>
      <c r="F185" s="129" t="s">
        <v>251</v>
      </c>
      <c r="I185" s="122"/>
      <c r="J185" s="130">
        <f>BK185</f>
        <v>0</v>
      </c>
      <c r="L185" s="119"/>
      <c r="M185" s="124"/>
      <c r="P185" s="125">
        <f>SUM(P186:P187)</f>
        <v>0</v>
      </c>
      <c r="R185" s="125">
        <f>SUM(R186:R187)</f>
        <v>72.276039000000011</v>
      </c>
      <c r="T185" s="126">
        <f>SUM(T186:T187)</f>
        <v>0</v>
      </c>
      <c r="AR185" s="120" t="s">
        <v>91</v>
      </c>
      <c r="AT185" s="127" t="s">
        <v>82</v>
      </c>
      <c r="AU185" s="127" t="s">
        <v>91</v>
      </c>
      <c r="AY185" s="120" t="s">
        <v>136</v>
      </c>
      <c r="BK185" s="128">
        <f>SUM(BK186:BK187)</f>
        <v>0</v>
      </c>
    </row>
    <row r="186" spans="2:65" s="1" customFormat="1" ht="24.2" customHeight="1">
      <c r="B186" s="31"/>
      <c r="C186" s="131" t="s">
        <v>7</v>
      </c>
      <c r="D186" s="131" t="s">
        <v>138</v>
      </c>
      <c r="E186" s="132" t="s">
        <v>252</v>
      </c>
      <c r="F186" s="133" t="s">
        <v>253</v>
      </c>
      <c r="G186" s="134" t="s">
        <v>172</v>
      </c>
      <c r="H186" s="135">
        <v>353.1</v>
      </c>
      <c r="I186" s="136"/>
      <c r="J186" s="137">
        <f>ROUND(I186*H186,2)</f>
        <v>0</v>
      </c>
      <c r="K186" s="133" t="s">
        <v>142</v>
      </c>
      <c r="L186" s="31"/>
      <c r="M186" s="138" t="s">
        <v>1</v>
      </c>
      <c r="N186" s="139" t="s">
        <v>48</v>
      </c>
      <c r="P186" s="140">
        <f>O186*H186</f>
        <v>0</v>
      </c>
      <c r="Q186" s="140">
        <v>0.20469000000000001</v>
      </c>
      <c r="R186" s="140">
        <f>Q186*H186</f>
        <v>72.276039000000011</v>
      </c>
      <c r="S186" s="140">
        <v>0</v>
      </c>
      <c r="T186" s="141">
        <f>S186*H186</f>
        <v>0</v>
      </c>
      <c r="AR186" s="142" t="s">
        <v>143</v>
      </c>
      <c r="AT186" s="142" t="s">
        <v>138</v>
      </c>
      <c r="AU186" s="142" t="s">
        <v>94</v>
      </c>
      <c r="AY186" s="15" t="s">
        <v>136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5" t="s">
        <v>91</v>
      </c>
      <c r="BK186" s="143">
        <f>ROUND(I186*H186,2)</f>
        <v>0</v>
      </c>
      <c r="BL186" s="15" t="s">
        <v>143</v>
      </c>
      <c r="BM186" s="142" t="s">
        <v>254</v>
      </c>
    </row>
    <row r="187" spans="2:65" s="12" customFormat="1">
      <c r="B187" s="144"/>
      <c r="D187" s="145" t="s">
        <v>145</v>
      </c>
      <c r="E187" s="146" t="s">
        <v>1</v>
      </c>
      <c r="F187" s="147" t="s">
        <v>255</v>
      </c>
      <c r="H187" s="148">
        <v>353.1</v>
      </c>
      <c r="I187" s="149"/>
      <c r="L187" s="144"/>
      <c r="M187" s="150"/>
      <c r="T187" s="151"/>
      <c r="AT187" s="146" t="s">
        <v>145</v>
      </c>
      <c r="AU187" s="146" t="s">
        <v>94</v>
      </c>
      <c r="AV187" s="12" t="s">
        <v>94</v>
      </c>
      <c r="AW187" s="12" t="s">
        <v>40</v>
      </c>
      <c r="AX187" s="12" t="s">
        <v>91</v>
      </c>
      <c r="AY187" s="146" t="s">
        <v>136</v>
      </c>
    </row>
    <row r="188" spans="2:65" s="11" customFormat="1" ht="22.9" customHeight="1">
      <c r="B188" s="119"/>
      <c r="D188" s="120" t="s">
        <v>82</v>
      </c>
      <c r="E188" s="129" t="s">
        <v>143</v>
      </c>
      <c r="F188" s="129" t="s">
        <v>256</v>
      </c>
      <c r="I188" s="122"/>
      <c r="J188" s="130">
        <f>BK188</f>
        <v>0</v>
      </c>
      <c r="L188" s="119"/>
      <c r="M188" s="124"/>
      <c r="P188" s="125">
        <f>SUM(P189:P199)</f>
        <v>0</v>
      </c>
      <c r="R188" s="125">
        <f>SUM(R189:R199)</f>
        <v>2.5190999999999999</v>
      </c>
      <c r="T188" s="126">
        <f>SUM(T189:T199)</f>
        <v>0</v>
      </c>
      <c r="AR188" s="120" t="s">
        <v>91</v>
      </c>
      <c r="AT188" s="127" t="s">
        <v>82</v>
      </c>
      <c r="AU188" s="127" t="s">
        <v>91</v>
      </c>
      <c r="AY188" s="120" t="s">
        <v>136</v>
      </c>
      <c r="BK188" s="128">
        <f>SUM(BK189:BK199)</f>
        <v>0</v>
      </c>
    </row>
    <row r="189" spans="2:65" s="1" customFormat="1" ht="16.5" customHeight="1">
      <c r="B189" s="31"/>
      <c r="C189" s="131" t="s">
        <v>257</v>
      </c>
      <c r="D189" s="131" t="s">
        <v>138</v>
      </c>
      <c r="E189" s="132" t="s">
        <v>258</v>
      </c>
      <c r="F189" s="133" t="s">
        <v>259</v>
      </c>
      <c r="G189" s="134" t="s">
        <v>183</v>
      </c>
      <c r="H189" s="135">
        <v>83.93</v>
      </c>
      <c r="I189" s="136"/>
      <c r="J189" s="137">
        <f>ROUND(I189*H189,2)</f>
        <v>0</v>
      </c>
      <c r="K189" s="133" t="s">
        <v>142</v>
      </c>
      <c r="L189" s="31"/>
      <c r="M189" s="138" t="s">
        <v>1</v>
      </c>
      <c r="N189" s="139" t="s">
        <v>48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143</v>
      </c>
      <c r="AT189" s="142" t="s">
        <v>138</v>
      </c>
      <c r="AU189" s="142" t="s">
        <v>94</v>
      </c>
      <c r="AY189" s="15" t="s">
        <v>136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5" t="s">
        <v>91</v>
      </c>
      <c r="BK189" s="143">
        <f>ROUND(I189*H189,2)</f>
        <v>0</v>
      </c>
      <c r="BL189" s="15" t="s">
        <v>143</v>
      </c>
      <c r="BM189" s="142" t="s">
        <v>260</v>
      </c>
    </row>
    <row r="190" spans="2:65" s="12" customFormat="1">
      <c r="B190" s="144"/>
      <c r="D190" s="145" t="s">
        <v>145</v>
      </c>
      <c r="E190" s="146" t="s">
        <v>1</v>
      </c>
      <c r="F190" s="147" t="s">
        <v>261</v>
      </c>
      <c r="H190" s="148">
        <v>15.074999999999999</v>
      </c>
      <c r="I190" s="149"/>
      <c r="L190" s="144"/>
      <c r="M190" s="150"/>
      <c r="T190" s="151"/>
      <c r="AT190" s="146" t="s">
        <v>145</v>
      </c>
      <c r="AU190" s="146" t="s">
        <v>94</v>
      </c>
      <c r="AV190" s="12" t="s">
        <v>94</v>
      </c>
      <c r="AW190" s="12" t="s">
        <v>40</v>
      </c>
      <c r="AX190" s="12" t="s">
        <v>83</v>
      </c>
      <c r="AY190" s="146" t="s">
        <v>136</v>
      </c>
    </row>
    <row r="191" spans="2:65" s="12" customFormat="1">
      <c r="B191" s="144"/>
      <c r="D191" s="145" t="s">
        <v>145</v>
      </c>
      <c r="E191" s="146" t="s">
        <v>1</v>
      </c>
      <c r="F191" s="147" t="s">
        <v>262</v>
      </c>
      <c r="H191" s="148">
        <v>10.16</v>
      </c>
      <c r="I191" s="149"/>
      <c r="L191" s="144"/>
      <c r="M191" s="150"/>
      <c r="T191" s="151"/>
      <c r="AT191" s="146" t="s">
        <v>145</v>
      </c>
      <c r="AU191" s="146" t="s">
        <v>94</v>
      </c>
      <c r="AV191" s="12" t="s">
        <v>94</v>
      </c>
      <c r="AW191" s="12" t="s">
        <v>40</v>
      </c>
      <c r="AX191" s="12" t="s">
        <v>83</v>
      </c>
      <c r="AY191" s="146" t="s">
        <v>136</v>
      </c>
    </row>
    <row r="192" spans="2:65" s="12" customFormat="1">
      <c r="B192" s="144"/>
      <c r="D192" s="145" t="s">
        <v>145</v>
      </c>
      <c r="E192" s="146" t="s">
        <v>1</v>
      </c>
      <c r="F192" s="147" t="s">
        <v>263</v>
      </c>
      <c r="H192" s="148">
        <v>58.695</v>
      </c>
      <c r="I192" s="149"/>
      <c r="L192" s="144"/>
      <c r="M192" s="150"/>
      <c r="T192" s="151"/>
      <c r="AT192" s="146" t="s">
        <v>145</v>
      </c>
      <c r="AU192" s="146" t="s">
        <v>94</v>
      </c>
      <c r="AV192" s="12" t="s">
        <v>94</v>
      </c>
      <c r="AW192" s="12" t="s">
        <v>40</v>
      </c>
      <c r="AX192" s="12" t="s">
        <v>83</v>
      </c>
      <c r="AY192" s="146" t="s">
        <v>136</v>
      </c>
    </row>
    <row r="193" spans="2:65" s="13" customFormat="1">
      <c r="B193" s="152"/>
      <c r="D193" s="145" t="s">
        <v>145</v>
      </c>
      <c r="E193" s="153" t="s">
        <v>1</v>
      </c>
      <c r="F193" s="154" t="s">
        <v>148</v>
      </c>
      <c r="H193" s="155">
        <v>83.93</v>
      </c>
      <c r="I193" s="156"/>
      <c r="L193" s="152"/>
      <c r="M193" s="157"/>
      <c r="T193" s="158"/>
      <c r="AT193" s="153" t="s">
        <v>145</v>
      </c>
      <c r="AU193" s="153" t="s">
        <v>94</v>
      </c>
      <c r="AV193" s="13" t="s">
        <v>143</v>
      </c>
      <c r="AW193" s="13" t="s">
        <v>40</v>
      </c>
      <c r="AX193" s="13" t="s">
        <v>91</v>
      </c>
      <c r="AY193" s="153" t="s">
        <v>136</v>
      </c>
    </row>
    <row r="194" spans="2:65" s="1" customFormat="1" ht="16.5" customHeight="1">
      <c r="B194" s="31"/>
      <c r="C194" s="159" t="s">
        <v>264</v>
      </c>
      <c r="D194" s="159" t="s">
        <v>234</v>
      </c>
      <c r="E194" s="160" t="s">
        <v>265</v>
      </c>
      <c r="F194" s="161" t="s">
        <v>266</v>
      </c>
      <c r="G194" s="162" t="s">
        <v>172</v>
      </c>
      <c r="H194" s="163">
        <v>18</v>
      </c>
      <c r="I194" s="164"/>
      <c r="J194" s="165">
        <f>ROUND(I194*H194,2)</f>
        <v>0</v>
      </c>
      <c r="K194" s="161" t="s">
        <v>142</v>
      </c>
      <c r="L194" s="166"/>
      <c r="M194" s="167" t="s">
        <v>1</v>
      </c>
      <c r="N194" s="168" t="s">
        <v>48</v>
      </c>
      <c r="P194" s="140">
        <f>O194*H194</f>
        <v>0</v>
      </c>
      <c r="Q194" s="140">
        <v>9.7000000000000003E-2</v>
      </c>
      <c r="R194" s="140">
        <f>Q194*H194</f>
        <v>1.746</v>
      </c>
      <c r="S194" s="140">
        <v>0</v>
      </c>
      <c r="T194" s="141">
        <f>S194*H194</f>
        <v>0</v>
      </c>
      <c r="AR194" s="142" t="s">
        <v>180</v>
      </c>
      <c r="AT194" s="142" t="s">
        <v>234</v>
      </c>
      <c r="AU194" s="142" t="s">
        <v>94</v>
      </c>
      <c r="AY194" s="15" t="s">
        <v>136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5" t="s">
        <v>91</v>
      </c>
      <c r="BK194" s="143">
        <f>ROUND(I194*H194,2)</f>
        <v>0</v>
      </c>
      <c r="BL194" s="15" t="s">
        <v>143</v>
      </c>
      <c r="BM194" s="142" t="s">
        <v>267</v>
      </c>
    </row>
    <row r="195" spans="2:65" s="12" customFormat="1">
      <c r="B195" s="144"/>
      <c r="D195" s="145" t="s">
        <v>145</v>
      </c>
      <c r="E195" s="146" t="s">
        <v>1</v>
      </c>
      <c r="F195" s="147" t="s">
        <v>268</v>
      </c>
      <c r="H195" s="148">
        <v>18</v>
      </c>
      <c r="I195" s="149"/>
      <c r="L195" s="144"/>
      <c r="M195" s="150"/>
      <c r="T195" s="151"/>
      <c r="AT195" s="146" t="s">
        <v>145</v>
      </c>
      <c r="AU195" s="146" t="s">
        <v>94</v>
      </c>
      <c r="AV195" s="12" t="s">
        <v>94</v>
      </c>
      <c r="AW195" s="12" t="s">
        <v>40</v>
      </c>
      <c r="AX195" s="12" t="s">
        <v>91</v>
      </c>
      <c r="AY195" s="146" t="s">
        <v>136</v>
      </c>
    </row>
    <row r="196" spans="2:65" s="1" customFormat="1" ht="16.5" customHeight="1">
      <c r="B196" s="31"/>
      <c r="C196" s="159" t="s">
        <v>269</v>
      </c>
      <c r="D196" s="159" t="s">
        <v>234</v>
      </c>
      <c r="E196" s="160" t="s">
        <v>270</v>
      </c>
      <c r="F196" s="161" t="s">
        <v>271</v>
      </c>
      <c r="G196" s="162" t="s">
        <v>172</v>
      </c>
      <c r="H196" s="163">
        <v>18</v>
      </c>
      <c r="I196" s="164"/>
      <c r="J196" s="165">
        <f>ROUND(I196*H196,2)</f>
        <v>0</v>
      </c>
      <c r="K196" s="161" t="s">
        <v>142</v>
      </c>
      <c r="L196" s="166"/>
      <c r="M196" s="167" t="s">
        <v>1</v>
      </c>
      <c r="N196" s="168" t="s">
        <v>48</v>
      </c>
      <c r="P196" s="140">
        <f>O196*H196</f>
        <v>0</v>
      </c>
      <c r="Q196" s="140">
        <v>3.7999999999999999E-2</v>
      </c>
      <c r="R196" s="140">
        <f>Q196*H196</f>
        <v>0.68399999999999994</v>
      </c>
      <c r="S196" s="140">
        <v>0</v>
      </c>
      <c r="T196" s="141">
        <f>S196*H196</f>
        <v>0</v>
      </c>
      <c r="AR196" s="142" t="s">
        <v>180</v>
      </c>
      <c r="AT196" s="142" t="s">
        <v>234</v>
      </c>
      <c r="AU196" s="142" t="s">
        <v>94</v>
      </c>
      <c r="AY196" s="15" t="s">
        <v>136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5" t="s">
        <v>91</v>
      </c>
      <c r="BK196" s="143">
        <f>ROUND(I196*H196,2)</f>
        <v>0</v>
      </c>
      <c r="BL196" s="15" t="s">
        <v>143</v>
      </c>
      <c r="BM196" s="142" t="s">
        <v>272</v>
      </c>
    </row>
    <row r="197" spans="2:65" s="12" customFormat="1">
      <c r="B197" s="144"/>
      <c r="D197" s="145" t="s">
        <v>145</v>
      </c>
      <c r="E197" s="146" t="s">
        <v>1</v>
      </c>
      <c r="F197" s="147" t="s">
        <v>268</v>
      </c>
      <c r="H197" s="148">
        <v>18</v>
      </c>
      <c r="I197" s="149"/>
      <c r="L197" s="144"/>
      <c r="M197" s="150"/>
      <c r="T197" s="151"/>
      <c r="AT197" s="146" t="s">
        <v>145</v>
      </c>
      <c r="AU197" s="146" t="s">
        <v>94</v>
      </c>
      <c r="AV197" s="12" t="s">
        <v>94</v>
      </c>
      <c r="AW197" s="12" t="s">
        <v>40</v>
      </c>
      <c r="AX197" s="12" t="s">
        <v>91</v>
      </c>
      <c r="AY197" s="146" t="s">
        <v>136</v>
      </c>
    </row>
    <row r="198" spans="2:65" s="1" customFormat="1" ht="16.5" customHeight="1">
      <c r="B198" s="31"/>
      <c r="C198" s="131" t="s">
        <v>273</v>
      </c>
      <c r="D198" s="131" t="s">
        <v>138</v>
      </c>
      <c r="E198" s="132" t="s">
        <v>274</v>
      </c>
      <c r="F198" s="133" t="s">
        <v>275</v>
      </c>
      <c r="G198" s="134" t="s">
        <v>276</v>
      </c>
      <c r="H198" s="135">
        <v>54</v>
      </c>
      <c r="I198" s="136"/>
      <c r="J198" s="137">
        <f>ROUND(I198*H198,2)</f>
        <v>0</v>
      </c>
      <c r="K198" s="133" t="s">
        <v>142</v>
      </c>
      <c r="L198" s="31"/>
      <c r="M198" s="138" t="s">
        <v>1</v>
      </c>
      <c r="N198" s="139" t="s">
        <v>48</v>
      </c>
      <c r="P198" s="140">
        <f>O198*H198</f>
        <v>0</v>
      </c>
      <c r="Q198" s="140">
        <v>1.65E-3</v>
      </c>
      <c r="R198" s="140">
        <f>Q198*H198</f>
        <v>8.9099999999999999E-2</v>
      </c>
      <c r="S198" s="140">
        <v>0</v>
      </c>
      <c r="T198" s="141">
        <f>S198*H198</f>
        <v>0</v>
      </c>
      <c r="AR198" s="142" t="s">
        <v>143</v>
      </c>
      <c r="AT198" s="142" t="s">
        <v>138</v>
      </c>
      <c r="AU198" s="142" t="s">
        <v>94</v>
      </c>
      <c r="AY198" s="15" t="s">
        <v>136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5" t="s">
        <v>91</v>
      </c>
      <c r="BK198" s="143">
        <f>ROUND(I198*H198,2)</f>
        <v>0</v>
      </c>
      <c r="BL198" s="15" t="s">
        <v>143</v>
      </c>
      <c r="BM198" s="142" t="s">
        <v>277</v>
      </c>
    </row>
    <row r="199" spans="2:65" s="12" customFormat="1">
      <c r="B199" s="144"/>
      <c r="D199" s="145" t="s">
        <v>145</v>
      </c>
      <c r="E199" s="146" t="s">
        <v>1</v>
      </c>
      <c r="F199" s="147" t="s">
        <v>278</v>
      </c>
      <c r="H199" s="148">
        <v>54</v>
      </c>
      <c r="I199" s="149"/>
      <c r="L199" s="144"/>
      <c r="M199" s="150"/>
      <c r="T199" s="151"/>
      <c r="AT199" s="146" t="s">
        <v>145</v>
      </c>
      <c r="AU199" s="146" t="s">
        <v>94</v>
      </c>
      <c r="AV199" s="12" t="s">
        <v>94</v>
      </c>
      <c r="AW199" s="12" t="s">
        <v>40</v>
      </c>
      <c r="AX199" s="12" t="s">
        <v>91</v>
      </c>
      <c r="AY199" s="146" t="s">
        <v>136</v>
      </c>
    </row>
    <row r="200" spans="2:65" s="11" customFormat="1" ht="22.9" customHeight="1">
      <c r="B200" s="119"/>
      <c r="D200" s="120" t="s">
        <v>82</v>
      </c>
      <c r="E200" s="129" t="s">
        <v>163</v>
      </c>
      <c r="F200" s="129" t="s">
        <v>279</v>
      </c>
      <c r="I200" s="122"/>
      <c r="J200" s="130">
        <f>BK200</f>
        <v>0</v>
      </c>
      <c r="L200" s="119"/>
      <c r="M200" s="124"/>
      <c r="P200" s="125">
        <f>SUM(P201:P214)</f>
        <v>0</v>
      </c>
      <c r="R200" s="125">
        <f>SUM(R201:R214)</f>
        <v>0</v>
      </c>
      <c r="T200" s="126">
        <f>SUM(T201:T214)</f>
        <v>0</v>
      </c>
      <c r="AR200" s="120" t="s">
        <v>91</v>
      </c>
      <c r="AT200" s="127" t="s">
        <v>82</v>
      </c>
      <c r="AU200" s="127" t="s">
        <v>91</v>
      </c>
      <c r="AY200" s="120" t="s">
        <v>136</v>
      </c>
      <c r="BK200" s="128">
        <f>SUM(BK201:BK214)</f>
        <v>0</v>
      </c>
    </row>
    <row r="201" spans="2:65" s="1" customFormat="1" ht="16.5" customHeight="1">
      <c r="B201" s="31"/>
      <c r="C201" s="131" t="s">
        <v>280</v>
      </c>
      <c r="D201" s="131" t="s">
        <v>138</v>
      </c>
      <c r="E201" s="132" t="s">
        <v>281</v>
      </c>
      <c r="F201" s="133" t="s">
        <v>282</v>
      </c>
      <c r="G201" s="134" t="s">
        <v>141</v>
      </c>
      <c r="H201" s="135">
        <v>18.2</v>
      </c>
      <c r="I201" s="136"/>
      <c r="J201" s="137">
        <f>ROUND(I201*H201,2)</f>
        <v>0</v>
      </c>
      <c r="K201" s="133" t="s">
        <v>142</v>
      </c>
      <c r="L201" s="31"/>
      <c r="M201" s="138" t="s">
        <v>1</v>
      </c>
      <c r="N201" s="139" t="s">
        <v>48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143</v>
      </c>
      <c r="AT201" s="142" t="s">
        <v>138</v>
      </c>
      <c r="AU201" s="142" t="s">
        <v>94</v>
      </c>
      <c r="AY201" s="15" t="s">
        <v>136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5" t="s">
        <v>91</v>
      </c>
      <c r="BK201" s="143">
        <f>ROUND(I201*H201,2)</f>
        <v>0</v>
      </c>
      <c r="BL201" s="15" t="s">
        <v>143</v>
      </c>
      <c r="BM201" s="142" t="s">
        <v>283</v>
      </c>
    </row>
    <row r="202" spans="2:65" s="12" customFormat="1">
      <c r="B202" s="144"/>
      <c r="D202" s="145" t="s">
        <v>145</v>
      </c>
      <c r="E202" s="146" t="s">
        <v>1</v>
      </c>
      <c r="F202" s="147" t="s">
        <v>284</v>
      </c>
      <c r="H202" s="148">
        <v>18.2</v>
      </c>
      <c r="I202" s="149"/>
      <c r="L202" s="144"/>
      <c r="M202" s="150"/>
      <c r="T202" s="151"/>
      <c r="AT202" s="146" t="s">
        <v>145</v>
      </c>
      <c r="AU202" s="146" t="s">
        <v>94</v>
      </c>
      <c r="AV202" s="12" t="s">
        <v>94</v>
      </c>
      <c r="AW202" s="12" t="s">
        <v>40</v>
      </c>
      <c r="AX202" s="12" t="s">
        <v>91</v>
      </c>
      <c r="AY202" s="146" t="s">
        <v>136</v>
      </c>
    </row>
    <row r="203" spans="2:65" s="1" customFormat="1" ht="16.5" customHeight="1">
      <c r="B203" s="31"/>
      <c r="C203" s="131" t="s">
        <v>285</v>
      </c>
      <c r="D203" s="131" t="s">
        <v>138</v>
      </c>
      <c r="E203" s="132" t="s">
        <v>286</v>
      </c>
      <c r="F203" s="133" t="s">
        <v>287</v>
      </c>
      <c r="G203" s="134" t="s">
        <v>141</v>
      </c>
      <c r="H203" s="135">
        <v>18.2</v>
      </c>
      <c r="I203" s="136"/>
      <c r="J203" s="137">
        <f>ROUND(I203*H203,2)</f>
        <v>0</v>
      </c>
      <c r="K203" s="133" t="s">
        <v>142</v>
      </c>
      <c r="L203" s="31"/>
      <c r="M203" s="138" t="s">
        <v>1</v>
      </c>
      <c r="N203" s="139" t="s">
        <v>48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143</v>
      </c>
      <c r="AT203" s="142" t="s">
        <v>138</v>
      </c>
      <c r="AU203" s="142" t="s">
        <v>94</v>
      </c>
      <c r="AY203" s="15" t="s">
        <v>136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5" t="s">
        <v>91</v>
      </c>
      <c r="BK203" s="143">
        <f>ROUND(I203*H203,2)</f>
        <v>0</v>
      </c>
      <c r="BL203" s="15" t="s">
        <v>143</v>
      </c>
      <c r="BM203" s="142" t="s">
        <v>288</v>
      </c>
    </row>
    <row r="204" spans="2:65" s="12" customFormat="1">
      <c r="B204" s="144"/>
      <c r="D204" s="145" t="s">
        <v>145</v>
      </c>
      <c r="E204" s="146" t="s">
        <v>1</v>
      </c>
      <c r="F204" s="147" t="s">
        <v>284</v>
      </c>
      <c r="H204" s="148">
        <v>18.2</v>
      </c>
      <c r="I204" s="149"/>
      <c r="L204" s="144"/>
      <c r="M204" s="150"/>
      <c r="T204" s="151"/>
      <c r="AT204" s="146" t="s">
        <v>145</v>
      </c>
      <c r="AU204" s="146" t="s">
        <v>94</v>
      </c>
      <c r="AV204" s="12" t="s">
        <v>94</v>
      </c>
      <c r="AW204" s="12" t="s">
        <v>40</v>
      </c>
      <c r="AX204" s="12" t="s">
        <v>91</v>
      </c>
      <c r="AY204" s="146" t="s">
        <v>136</v>
      </c>
    </row>
    <row r="205" spans="2:65" s="1" customFormat="1" ht="16.5" customHeight="1">
      <c r="B205" s="31"/>
      <c r="C205" s="131" t="s">
        <v>289</v>
      </c>
      <c r="D205" s="131" t="s">
        <v>138</v>
      </c>
      <c r="E205" s="132" t="s">
        <v>290</v>
      </c>
      <c r="F205" s="133" t="s">
        <v>291</v>
      </c>
      <c r="G205" s="134" t="s">
        <v>141</v>
      </c>
      <c r="H205" s="135">
        <v>18.2</v>
      </c>
      <c r="I205" s="136"/>
      <c r="J205" s="137">
        <f>ROUND(I205*H205,2)</f>
        <v>0</v>
      </c>
      <c r="K205" s="133" t="s">
        <v>142</v>
      </c>
      <c r="L205" s="31"/>
      <c r="M205" s="138" t="s">
        <v>1</v>
      </c>
      <c r="N205" s="139" t="s">
        <v>48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143</v>
      </c>
      <c r="AT205" s="142" t="s">
        <v>138</v>
      </c>
      <c r="AU205" s="142" t="s">
        <v>94</v>
      </c>
      <c r="AY205" s="15" t="s">
        <v>136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5" t="s">
        <v>91</v>
      </c>
      <c r="BK205" s="143">
        <f>ROUND(I205*H205,2)</f>
        <v>0</v>
      </c>
      <c r="BL205" s="15" t="s">
        <v>143</v>
      </c>
      <c r="BM205" s="142" t="s">
        <v>292</v>
      </c>
    </row>
    <row r="206" spans="2:65" s="12" customFormat="1">
      <c r="B206" s="144"/>
      <c r="D206" s="145" t="s">
        <v>145</v>
      </c>
      <c r="E206" s="146" t="s">
        <v>1</v>
      </c>
      <c r="F206" s="147" t="s">
        <v>284</v>
      </c>
      <c r="H206" s="148">
        <v>18.2</v>
      </c>
      <c r="I206" s="149"/>
      <c r="L206" s="144"/>
      <c r="M206" s="150"/>
      <c r="T206" s="151"/>
      <c r="AT206" s="146" t="s">
        <v>145</v>
      </c>
      <c r="AU206" s="146" t="s">
        <v>94</v>
      </c>
      <c r="AV206" s="12" t="s">
        <v>94</v>
      </c>
      <c r="AW206" s="12" t="s">
        <v>40</v>
      </c>
      <c r="AX206" s="12" t="s">
        <v>91</v>
      </c>
      <c r="AY206" s="146" t="s">
        <v>136</v>
      </c>
    </row>
    <row r="207" spans="2:65" s="1" customFormat="1" ht="16.5" customHeight="1">
      <c r="B207" s="31"/>
      <c r="C207" s="131" t="s">
        <v>293</v>
      </c>
      <c r="D207" s="131" t="s">
        <v>138</v>
      </c>
      <c r="E207" s="132" t="s">
        <v>294</v>
      </c>
      <c r="F207" s="133" t="s">
        <v>295</v>
      </c>
      <c r="G207" s="134" t="s">
        <v>141</v>
      </c>
      <c r="H207" s="135">
        <v>18.2</v>
      </c>
      <c r="I207" s="136"/>
      <c r="J207" s="137">
        <f>ROUND(I207*H207,2)</f>
        <v>0</v>
      </c>
      <c r="K207" s="133" t="s">
        <v>142</v>
      </c>
      <c r="L207" s="31"/>
      <c r="M207" s="138" t="s">
        <v>1</v>
      </c>
      <c r="N207" s="139" t="s">
        <v>48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143</v>
      </c>
      <c r="AT207" s="142" t="s">
        <v>138</v>
      </c>
      <c r="AU207" s="142" t="s">
        <v>94</v>
      </c>
      <c r="AY207" s="15" t="s">
        <v>136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5" t="s">
        <v>91</v>
      </c>
      <c r="BK207" s="143">
        <f>ROUND(I207*H207,2)</f>
        <v>0</v>
      </c>
      <c r="BL207" s="15" t="s">
        <v>143</v>
      </c>
      <c r="BM207" s="142" t="s">
        <v>296</v>
      </c>
    </row>
    <row r="208" spans="2:65" s="12" customFormat="1">
      <c r="B208" s="144"/>
      <c r="D208" s="145" t="s">
        <v>145</v>
      </c>
      <c r="E208" s="146" t="s">
        <v>1</v>
      </c>
      <c r="F208" s="147" t="s">
        <v>284</v>
      </c>
      <c r="H208" s="148">
        <v>18.2</v>
      </c>
      <c r="I208" s="149"/>
      <c r="L208" s="144"/>
      <c r="M208" s="150"/>
      <c r="T208" s="151"/>
      <c r="AT208" s="146" t="s">
        <v>145</v>
      </c>
      <c r="AU208" s="146" t="s">
        <v>94</v>
      </c>
      <c r="AV208" s="12" t="s">
        <v>94</v>
      </c>
      <c r="AW208" s="12" t="s">
        <v>40</v>
      </c>
      <c r="AX208" s="12" t="s">
        <v>91</v>
      </c>
      <c r="AY208" s="146" t="s">
        <v>136</v>
      </c>
    </row>
    <row r="209" spans="2:65" s="1" customFormat="1" ht="21.75" customHeight="1">
      <c r="B209" s="31"/>
      <c r="C209" s="131" t="s">
        <v>297</v>
      </c>
      <c r="D209" s="131" t="s">
        <v>138</v>
      </c>
      <c r="E209" s="132" t="s">
        <v>298</v>
      </c>
      <c r="F209" s="133" t="s">
        <v>299</v>
      </c>
      <c r="G209" s="134" t="s">
        <v>141</v>
      </c>
      <c r="H209" s="135">
        <v>18.2</v>
      </c>
      <c r="I209" s="136"/>
      <c r="J209" s="137">
        <f>ROUND(I209*H209,2)</f>
        <v>0</v>
      </c>
      <c r="K209" s="133" t="s">
        <v>142</v>
      </c>
      <c r="L209" s="31"/>
      <c r="M209" s="138" t="s">
        <v>1</v>
      </c>
      <c r="N209" s="139" t="s">
        <v>48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143</v>
      </c>
      <c r="AT209" s="142" t="s">
        <v>138</v>
      </c>
      <c r="AU209" s="142" t="s">
        <v>94</v>
      </c>
      <c r="AY209" s="15" t="s">
        <v>136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5" t="s">
        <v>91</v>
      </c>
      <c r="BK209" s="143">
        <f>ROUND(I209*H209,2)</f>
        <v>0</v>
      </c>
      <c r="BL209" s="15" t="s">
        <v>143</v>
      </c>
      <c r="BM209" s="142" t="s">
        <v>300</v>
      </c>
    </row>
    <row r="210" spans="2:65" s="12" customFormat="1">
      <c r="B210" s="144"/>
      <c r="D210" s="145" t="s">
        <v>145</v>
      </c>
      <c r="E210" s="146" t="s">
        <v>1</v>
      </c>
      <c r="F210" s="147" t="s">
        <v>284</v>
      </c>
      <c r="H210" s="148">
        <v>18.2</v>
      </c>
      <c r="I210" s="149"/>
      <c r="L210" s="144"/>
      <c r="M210" s="150"/>
      <c r="T210" s="151"/>
      <c r="AT210" s="146" t="s">
        <v>145</v>
      </c>
      <c r="AU210" s="146" t="s">
        <v>94</v>
      </c>
      <c r="AV210" s="12" t="s">
        <v>94</v>
      </c>
      <c r="AW210" s="12" t="s">
        <v>40</v>
      </c>
      <c r="AX210" s="12" t="s">
        <v>91</v>
      </c>
      <c r="AY210" s="146" t="s">
        <v>136</v>
      </c>
    </row>
    <row r="211" spans="2:65" s="1" customFormat="1" ht="16.5" customHeight="1">
      <c r="B211" s="31"/>
      <c r="C211" s="131" t="s">
        <v>301</v>
      </c>
      <c r="D211" s="131" t="s">
        <v>138</v>
      </c>
      <c r="E211" s="132" t="s">
        <v>302</v>
      </c>
      <c r="F211" s="133" t="s">
        <v>303</v>
      </c>
      <c r="G211" s="134" t="s">
        <v>141</v>
      </c>
      <c r="H211" s="135">
        <v>18.2</v>
      </c>
      <c r="I211" s="136"/>
      <c r="J211" s="137">
        <f>ROUND(I211*H211,2)</f>
        <v>0</v>
      </c>
      <c r="K211" s="133" t="s">
        <v>142</v>
      </c>
      <c r="L211" s="31"/>
      <c r="M211" s="138" t="s">
        <v>1</v>
      </c>
      <c r="N211" s="139" t="s">
        <v>48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143</v>
      </c>
      <c r="AT211" s="142" t="s">
        <v>138</v>
      </c>
      <c r="AU211" s="142" t="s">
        <v>94</v>
      </c>
      <c r="AY211" s="15" t="s">
        <v>136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5" t="s">
        <v>91</v>
      </c>
      <c r="BK211" s="143">
        <f>ROUND(I211*H211,2)</f>
        <v>0</v>
      </c>
      <c r="BL211" s="15" t="s">
        <v>143</v>
      </c>
      <c r="BM211" s="142" t="s">
        <v>304</v>
      </c>
    </row>
    <row r="212" spans="2:65" s="12" customFormat="1">
      <c r="B212" s="144"/>
      <c r="D212" s="145" t="s">
        <v>145</v>
      </c>
      <c r="E212" s="146" t="s">
        <v>1</v>
      </c>
      <c r="F212" s="147" t="s">
        <v>284</v>
      </c>
      <c r="H212" s="148">
        <v>18.2</v>
      </c>
      <c r="I212" s="149"/>
      <c r="L212" s="144"/>
      <c r="M212" s="150"/>
      <c r="T212" s="151"/>
      <c r="AT212" s="146" t="s">
        <v>145</v>
      </c>
      <c r="AU212" s="146" t="s">
        <v>94</v>
      </c>
      <c r="AV212" s="12" t="s">
        <v>94</v>
      </c>
      <c r="AW212" s="12" t="s">
        <v>40</v>
      </c>
      <c r="AX212" s="12" t="s">
        <v>91</v>
      </c>
      <c r="AY212" s="146" t="s">
        <v>136</v>
      </c>
    </row>
    <row r="213" spans="2:65" s="1" customFormat="1" ht="16.5" customHeight="1">
      <c r="B213" s="31"/>
      <c r="C213" s="131" t="s">
        <v>305</v>
      </c>
      <c r="D213" s="131" t="s">
        <v>138</v>
      </c>
      <c r="E213" s="132" t="s">
        <v>306</v>
      </c>
      <c r="F213" s="133" t="s">
        <v>307</v>
      </c>
      <c r="G213" s="134" t="s">
        <v>141</v>
      </c>
      <c r="H213" s="135">
        <v>18.2</v>
      </c>
      <c r="I213" s="136"/>
      <c r="J213" s="137">
        <f>ROUND(I213*H213,2)</f>
        <v>0</v>
      </c>
      <c r="K213" s="133" t="s">
        <v>142</v>
      </c>
      <c r="L213" s="31"/>
      <c r="M213" s="138" t="s">
        <v>1</v>
      </c>
      <c r="N213" s="139" t="s">
        <v>48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143</v>
      </c>
      <c r="AT213" s="142" t="s">
        <v>138</v>
      </c>
      <c r="AU213" s="142" t="s">
        <v>94</v>
      </c>
      <c r="AY213" s="15" t="s">
        <v>136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5" t="s">
        <v>91</v>
      </c>
      <c r="BK213" s="143">
        <f>ROUND(I213*H213,2)</f>
        <v>0</v>
      </c>
      <c r="BL213" s="15" t="s">
        <v>143</v>
      </c>
      <c r="BM213" s="142" t="s">
        <v>308</v>
      </c>
    </row>
    <row r="214" spans="2:65" s="12" customFormat="1">
      <c r="B214" s="144"/>
      <c r="D214" s="145" t="s">
        <v>145</v>
      </c>
      <c r="E214" s="146" t="s">
        <v>1</v>
      </c>
      <c r="F214" s="147" t="s">
        <v>284</v>
      </c>
      <c r="H214" s="148">
        <v>18.2</v>
      </c>
      <c r="I214" s="149"/>
      <c r="L214" s="144"/>
      <c r="M214" s="150"/>
      <c r="T214" s="151"/>
      <c r="AT214" s="146" t="s">
        <v>145</v>
      </c>
      <c r="AU214" s="146" t="s">
        <v>94</v>
      </c>
      <c r="AV214" s="12" t="s">
        <v>94</v>
      </c>
      <c r="AW214" s="12" t="s">
        <v>40</v>
      </c>
      <c r="AX214" s="12" t="s">
        <v>91</v>
      </c>
      <c r="AY214" s="146" t="s">
        <v>136</v>
      </c>
    </row>
    <row r="215" spans="2:65" s="11" customFormat="1" ht="22.9" customHeight="1">
      <c r="B215" s="119"/>
      <c r="D215" s="120" t="s">
        <v>82</v>
      </c>
      <c r="E215" s="129" t="s">
        <v>180</v>
      </c>
      <c r="F215" s="129" t="s">
        <v>309</v>
      </c>
      <c r="I215" s="122"/>
      <c r="J215" s="130">
        <f>BK215</f>
        <v>0</v>
      </c>
      <c r="L215" s="119"/>
      <c r="M215" s="124"/>
      <c r="P215" s="125">
        <f>SUM(P216:P273)</f>
        <v>0</v>
      </c>
      <c r="R215" s="125">
        <f>SUM(R216:R273)</f>
        <v>93.480816009999998</v>
      </c>
      <c r="T215" s="126">
        <f>SUM(T216:T273)</f>
        <v>0</v>
      </c>
      <c r="AR215" s="120" t="s">
        <v>91</v>
      </c>
      <c r="AT215" s="127" t="s">
        <v>82</v>
      </c>
      <c r="AU215" s="127" t="s">
        <v>91</v>
      </c>
      <c r="AY215" s="120" t="s">
        <v>136</v>
      </c>
      <c r="BK215" s="128">
        <f>SUM(BK216:BK273)</f>
        <v>0</v>
      </c>
    </row>
    <row r="216" spans="2:65" s="1" customFormat="1" ht="16.5" customHeight="1">
      <c r="B216" s="31"/>
      <c r="C216" s="131" t="s">
        <v>310</v>
      </c>
      <c r="D216" s="131" t="s">
        <v>138</v>
      </c>
      <c r="E216" s="132" t="s">
        <v>311</v>
      </c>
      <c r="F216" s="133" t="s">
        <v>312</v>
      </c>
      <c r="G216" s="134" t="s">
        <v>172</v>
      </c>
      <c r="H216" s="135">
        <v>100.5</v>
      </c>
      <c r="I216" s="136"/>
      <c r="J216" s="137">
        <f>ROUND(I216*H216,2)</f>
        <v>0</v>
      </c>
      <c r="K216" s="133" t="s">
        <v>142</v>
      </c>
      <c r="L216" s="31"/>
      <c r="M216" s="138" t="s">
        <v>1</v>
      </c>
      <c r="N216" s="139" t="s">
        <v>48</v>
      </c>
      <c r="P216" s="140">
        <f>O216*H216</f>
        <v>0</v>
      </c>
      <c r="Q216" s="140">
        <v>1.0000000000000001E-5</v>
      </c>
      <c r="R216" s="140">
        <f>Q216*H216</f>
        <v>1.005E-3</v>
      </c>
      <c r="S216" s="140">
        <v>0</v>
      </c>
      <c r="T216" s="141">
        <f>S216*H216</f>
        <v>0</v>
      </c>
      <c r="AR216" s="142" t="s">
        <v>143</v>
      </c>
      <c r="AT216" s="142" t="s">
        <v>138</v>
      </c>
      <c r="AU216" s="142" t="s">
        <v>94</v>
      </c>
      <c r="AY216" s="15" t="s">
        <v>136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5" t="s">
        <v>91</v>
      </c>
      <c r="BK216" s="143">
        <f>ROUND(I216*H216,2)</f>
        <v>0</v>
      </c>
      <c r="BL216" s="15" t="s">
        <v>143</v>
      </c>
      <c r="BM216" s="142" t="s">
        <v>313</v>
      </c>
    </row>
    <row r="217" spans="2:65" s="12" customFormat="1">
      <c r="B217" s="144"/>
      <c r="D217" s="145" t="s">
        <v>145</v>
      </c>
      <c r="E217" s="146" t="s">
        <v>1</v>
      </c>
      <c r="F217" s="147" t="s">
        <v>314</v>
      </c>
      <c r="H217" s="148">
        <v>100.5</v>
      </c>
      <c r="I217" s="149"/>
      <c r="L217" s="144"/>
      <c r="M217" s="150"/>
      <c r="T217" s="151"/>
      <c r="AT217" s="146" t="s">
        <v>145</v>
      </c>
      <c r="AU217" s="146" t="s">
        <v>94</v>
      </c>
      <c r="AV217" s="12" t="s">
        <v>94</v>
      </c>
      <c r="AW217" s="12" t="s">
        <v>40</v>
      </c>
      <c r="AX217" s="12" t="s">
        <v>91</v>
      </c>
      <c r="AY217" s="146" t="s">
        <v>136</v>
      </c>
    </row>
    <row r="218" spans="2:65" s="1" customFormat="1" ht="16.5" customHeight="1">
      <c r="B218" s="31"/>
      <c r="C218" s="159" t="s">
        <v>315</v>
      </c>
      <c r="D218" s="159" t="s">
        <v>234</v>
      </c>
      <c r="E218" s="160" t="s">
        <v>316</v>
      </c>
      <c r="F218" s="161" t="s">
        <v>317</v>
      </c>
      <c r="G218" s="162" t="s">
        <v>172</v>
      </c>
      <c r="H218" s="163">
        <v>103.515</v>
      </c>
      <c r="I218" s="164"/>
      <c r="J218" s="165">
        <f>ROUND(I218*H218,2)</f>
        <v>0</v>
      </c>
      <c r="K218" s="161" t="s">
        <v>142</v>
      </c>
      <c r="L218" s="166"/>
      <c r="M218" s="167" t="s">
        <v>1</v>
      </c>
      <c r="N218" s="168" t="s">
        <v>48</v>
      </c>
      <c r="P218" s="140">
        <f>O218*H218</f>
        <v>0</v>
      </c>
      <c r="Q218" s="140">
        <v>2.6700000000000001E-3</v>
      </c>
      <c r="R218" s="140">
        <f>Q218*H218</f>
        <v>0.27638505000000002</v>
      </c>
      <c r="S218" s="140">
        <v>0</v>
      </c>
      <c r="T218" s="141">
        <f>S218*H218</f>
        <v>0</v>
      </c>
      <c r="AR218" s="142" t="s">
        <v>180</v>
      </c>
      <c r="AT218" s="142" t="s">
        <v>234</v>
      </c>
      <c r="AU218" s="142" t="s">
        <v>94</v>
      </c>
      <c r="AY218" s="15" t="s">
        <v>136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5" t="s">
        <v>91</v>
      </c>
      <c r="BK218" s="143">
        <f>ROUND(I218*H218,2)</f>
        <v>0</v>
      </c>
      <c r="BL218" s="15" t="s">
        <v>143</v>
      </c>
      <c r="BM218" s="142" t="s">
        <v>318</v>
      </c>
    </row>
    <row r="219" spans="2:65" s="12" customFormat="1">
      <c r="B219" s="144"/>
      <c r="D219" s="145" t="s">
        <v>145</v>
      </c>
      <c r="F219" s="147" t="s">
        <v>319</v>
      </c>
      <c r="H219" s="148">
        <v>103.515</v>
      </c>
      <c r="I219" s="149"/>
      <c r="L219" s="144"/>
      <c r="M219" s="150"/>
      <c r="T219" s="151"/>
      <c r="AT219" s="146" t="s">
        <v>145</v>
      </c>
      <c r="AU219" s="146" t="s">
        <v>94</v>
      </c>
      <c r="AV219" s="12" t="s">
        <v>94</v>
      </c>
      <c r="AW219" s="12" t="s">
        <v>4</v>
      </c>
      <c r="AX219" s="12" t="s">
        <v>91</v>
      </c>
      <c r="AY219" s="146" t="s">
        <v>136</v>
      </c>
    </row>
    <row r="220" spans="2:65" s="1" customFormat="1" ht="16.5" customHeight="1">
      <c r="B220" s="31"/>
      <c r="C220" s="131" t="s">
        <v>320</v>
      </c>
      <c r="D220" s="131" t="s">
        <v>138</v>
      </c>
      <c r="E220" s="132" t="s">
        <v>321</v>
      </c>
      <c r="F220" s="133" t="s">
        <v>322</v>
      </c>
      <c r="G220" s="134" t="s">
        <v>172</v>
      </c>
      <c r="H220" s="135">
        <v>52.1</v>
      </c>
      <c r="I220" s="136"/>
      <c r="J220" s="137">
        <f>ROUND(I220*H220,2)</f>
        <v>0</v>
      </c>
      <c r="K220" s="133" t="s">
        <v>142</v>
      </c>
      <c r="L220" s="31"/>
      <c r="M220" s="138" t="s">
        <v>1</v>
      </c>
      <c r="N220" s="139" t="s">
        <v>48</v>
      </c>
      <c r="P220" s="140">
        <f>O220*H220</f>
        <v>0</v>
      </c>
      <c r="Q220" s="140">
        <v>2.0000000000000002E-5</v>
      </c>
      <c r="R220" s="140">
        <f>Q220*H220</f>
        <v>1.0420000000000002E-3</v>
      </c>
      <c r="S220" s="140">
        <v>0</v>
      </c>
      <c r="T220" s="141">
        <f>S220*H220</f>
        <v>0</v>
      </c>
      <c r="AR220" s="142" t="s">
        <v>143</v>
      </c>
      <c r="AT220" s="142" t="s">
        <v>138</v>
      </c>
      <c r="AU220" s="142" t="s">
        <v>94</v>
      </c>
      <c r="AY220" s="15" t="s">
        <v>136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5" t="s">
        <v>91</v>
      </c>
      <c r="BK220" s="143">
        <f>ROUND(I220*H220,2)</f>
        <v>0</v>
      </c>
      <c r="BL220" s="15" t="s">
        <v>143</v>
      </c>
      <c r="BM220" s="142" t="s">
        <v>323</v>
      </c>
    </row>
    <row r="221" spans="2:65" s="12" customFormat="1">
      <c r="B221" s="144"/>
      <c r="D221" s="145" t="s">
        <v>145</v>
      </c>
      <c r="E221" s="146" t="s">
        <v>1</v>
      </c>
      <c r="F221" s="147" t="s">
        <v>324</v>
      </c>
      <c r="H221" s="148">
        <v>52.1</v>
      </c>
      <c r="I221" s="149"/>
      <c r="L221" s="144"/>
      <c r="M221" s="150"/>
      <c r="T221" s="151"/>
      <c r="AT221" s="146" t="s">
        <v>145</v>
      </c>
      <c r="AU221" s="146" t="s">
        <v>94</v>
      </c>
      <c r="AV221" s="12" t="s">
        <v>94</v>
      </c>
      <c r="AW221" s="12" t="s">
        <v>40</v>
      </c>
      <c r="AX221" s="12" t="s">
        <v>91</v>
      </c>
      <c r="AY221" s="146" t="s">
        <v>136</v>
      </c>
    </row>
    <row r="222" spans="2:65" s="1" customFormat="1" ht="16.5" customHeight="1">
      <c r="B222" s="31"/>
      <c r="C222" s="159" t="s">
        <v>325</v>
      </c>
      <c r="D222" s="159" t="s">
        <v>234</v>
      </c>
      <c r="E222" s="160" t="s">
        <v>326</v>
      </c>
      <c r="F222" s="161" t="s">
        <v>327</v>
      </c>
      <c r="G222" s="162" t="s">
        <v>172</v>
      </c>
      <c r="H222" s="163">
        <v>53.662999999999997</v>
      </c>
      <c r="I222" s="164"/>
      <c r="J222" s="165">
        <f>ROUND(I222*H222,2)</f>
        <v>0</v>
      </c>
      <c r="K222" s="161" t="s">
        <v>142</v>
      </c>
      <c r="L222" s="166"/>
      <c r="M222" s="167" t="s">
        <v>1</v>
      </c>
      <c r="N222" s="168" t="s">
        <v>48</v>
      </c>
      <c r="P222" s="140">
        <f>O222*H222</f>
        <v>0</v>
      </c>
      <c r="Q222" s="140">
        <v>1.6619999999999999E-2</v>
      </c>
      <c r="R222" s="140">
        <f>Q222*H222</f>
        <v>0.89187905999999995</v>
      </c>
      <c r="S222" s="140">
        <v>0</v>
      </c>
      <c r="T222" s="141">
        <f>S222*H222</f>
        <v>0</v>
      </c>
      <c r="AR222" s="142" t="s">
        <v>180</v>
      </c>
      <c r="AT222" s="142" t="s">
        <v>234</v>
      </c>
      <c r="AU222" s="142" t="s">
        <v>94</v>
      </c>
      <c r="AY222" s="15" t="s">
        <v>136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5" t="s">
        <v>91</v>
      </c>
      <c r="BK222" s="143">
        <f>ROUND(I222*H222,2)</f>
        <v>0</v>
      </c>
      <c r="BL222" s="15" t="s">
        <v>143</v>
      </c>
      <c r="BM222" s="142" t="s">
        <v>328</v>
      </c>
    </row>
    <row r="223" spans="2:65" s="12" customFormat="1">
      <c r="B223" s="144"/>
      <c r="D223" s="145" t="s">
        <v>145</v>
      </c>
      <c r="F223" s="147" t="s">
        <v>329</v>
      </c>
      <c r="H223" s="148">
        <v>53.662999999999997</v>
      </c>
      <c r="I223" s="149"/>
      <c r="L223" s="144"/>
      <c r="M223" s="150"/>
      <c r="T223" s="151"/>
      <c r="AT223" s="146" t="s">
        <v>145</v>
      </c>
      <c r="AU223" s="146" t="s">
        <v>94</v>
      </c>
      <c r="AV223" s="12" t="s">
        <v>94</v>
      </c>
      <c r="AW223" s="12" t="s">
        <v>4</v>
      </c>
      <c r="AX223" s="12" t="s">
        <v>91</v>
      </c>
      <c r="AY223" s="146" t="s">
        <v>136</v>
      </c>
    </row>
    <row r="224" spans="2:65" s="1" customFormat="1" ht="16.5" customHeight="1">
      <c r="B224" s="31"/>
      <c r="C224" s="131" t="s">
        <v>330</v>
      </c>
      <c r="D224" s="131" t="s">
        <v>138</v>
      </c>
      <c r="E224" s="132" t="s">
        <v>331</v>
      </c>
      <c r="F224" s="133" t="s">
        <v>332</v>
      </c>
      <c r="G224" s="134" t="s">
        <v>172</v>
      </c>
      <c r="H224" s="135">
        <v>301</v>
      </c>
      <c r="I224" s="136"/>
      <c r="J224" s="137">
        <f>ROUND(I224*H224,2)</f>
        <v>0</v>
      </c>
      <c r="K224" s="133" t="s">
        <v>142</v>
      </c>
      <c r="L224" s="31"/>
      <c r="M224" s="138" t="s">
        <v>1</v>
      </c>
      <c r="N224" s="139" t="s">
        <v>48</v>
      </c>
      <c r="P224" s="140">
        <f>O224*H224</f>
        <v>0</v>
      </c>
      <c r="Q224" s="140">
        <v>3.0000000000000001E-5</v>
      </c>
      <c r="R224" s="140">
        <f>Q224*H224</f>
        <v>9.0299999999999998E-3</v>
      </c>
      <c r="S224" s="140">
        <v>0</v>
      </c>
      <c r="T224" s="141">
        <f>S224*H224</f>
        <v>0</v>
      </c>
      <c r="AR224" s="142" t="s">
        <v>143</v>
      </c>
      <c r="AT224" s="142" t="s">
        <v>138</v>
      </c>
      <c r="AU224" s="142" t="s">
        <v>94</v>
      </c>
      <c r="AY224" s="15" t="s">
        <v>136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5" t="s">
        <v>91</v>
      </c>
      <c r="BK224" s="143">
        <f>ROUND(I224*H224,2)</f>
        <v>0</v>
      </c>
      <c r="BL224" s="15" t="s">
        <v>143</v>
      </c>
      <c r="BM224" s="142" t="s">
        <v>333</v>
      </c>
    </row>
    <row r="225" spans="2:65" s="12" customFormat="1">
      <c r="B225" s="144"/>
      <c r="D225" s="145" t="s">
        <v>145</v>
      </c>
      <c r="E225" s="146" t="s">
        <v>1</v>
      </c>
      <c r="F225" s="147" t="s">
        <v>334</v>
      </c>
      <c r="H225" s="148">
        <v>301</v>
      </c>
      <c r="I225" s="149"/>
      <c r="L225" s="144"/>
      <c r="M225" s="150"/>
      <c r="T225" s="151"/>
      <c r="AT225" s="146" t="s">
        <v>145</v>
      </c>
      <c r="AU225" s="146" t="s">
        <v>94</v>
      </c>
      <c r="AV225" s="12" t="s">
        <v>94</v>
      </c>
      <c r="AW225" s="12" t="s">
        <v>40</v>
      </c>
      <c r="AX225" s="12" t="s">
        <v>91</v>
      </c>
      <c r="AY225" s="146" t="s">
        <v>136</v>
      </c>
    </row>
    <row r="226" spans="2:65" s="1" customFormat="1" ht="16.5" customHeight="1">
      <c r="B226" s="31"/>
      <c r="C226" s="159" t="s">
        <v>335</v>
      </c>
      <c r="D226" s="159" t="s">
        <v>234</v>
      </c>
      <c r="E226" s="160" t="s">
        <v>336</v>
      </c>
      <c r="F226" s="161" t="s">
        <v>337</v>
      </c>
      <c r="G226" s="162" t="s">
        <v>172</v>
      </c>
      <c r="H226" s="163">
        <v>310.02999999999997</v>
      </c>
      <c r="I226" s="164"/>
      <c r="J226" s="165">
        <f>ROUND(I226*H226,2)</f>
        <v>0</v>
      </c>
      <c r="K226" s="161" t="s">
        <v>142</v>
      </c>
      <c r="L226" s="166"/>
      <c r="M226" s="167" t="s">
        <v>1</v>
      </c>
      <c r="N226" s="168" t="s">
        <v>48</v>
      </c>
      <c r="P226" s="140">
        <f>O226*H226</f>
        <v>0</v>
      </c>
      <c r="Q226" s="140">
        <v>2.683E-2</v>
      </c>
      <c r="R226" s="140">
        <f>Q226*H226</f>
        <v>8.3181048999999998</v>
      </c>
      <c r="S226" s="140">
        <v>0</v>
      </c>
      <c r="T226" s="141">
        <f>S226*H226</f>
        <v>0</v>
      </c>
      <c r="AR226" s="142" t="s">
        <v>180</v>
      </c>
      <c r="AT226" s="142" t="s">
        <v>234</v>
      </c>
      <c r="AU226" s="142" t="s">
        <v>94</v>
      </c>
      <c r="AY226" s="15" t="s">
        <v>136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5" t="s">
        <v>91</v>
      </c>
      <c r="BK226" s="143">
        <f>ROUND(I226*H226,2)</f>
        <v>0</v>
      </c>
      <c r="BL226" s="15" t="s">
        <v>143</v>
      </c>
      <c r="BM226" s="142" t="s">
        <v>338</v>
      </c>
    </row>
    <row r="227" spans="2:65" s="12" customFormat="1">
      <c r="B227" s="144"/>
      <c r="D227" s="145" t="s">
        <v>145</v>
      </c>
      <c r="F227" s="147" t="s">
        <v>339</v>
      </c>
      <c r="H227" s="148">
        <v>310.02999999999997</v>
      </c>
      <c r="I227" s="149"/>
      <c r="L227" s="144"/>
      <c r="M227" s="150"/>
      <c r="T227" s="151"/>
      <c r="AT227" s="146" t="s">
        <v>145</v>
      </c>
      <c r="AU227" s="146" t="s">
        <v>94</v>
      </c>
      <c r="AV227" s="12" t="s">
        <v>94</v>
      </c>
      <c r="AW227" s="12" t="s">
        <v>4</v>
      </c>
      <c r="AX227" s="12" t="s">
        <v>91</v>
      </c>
      <c r="AY227" s="146" t="s">
        <v>136</v>
      </c>
    </row>
    <row r="228" spans="2:65" s="1" customFormat="1" ht="16.5" customHeight="1">
      <c r="B228" s="31"/>
      <c r="C228" s="131" t="s">
        <v>340</v>
      </c>
      <c r="D228" s="131" t="s">
        <v>138</v>
      </c>
      <c r="E228" s="132" t="s">
        <v>341</v>
      </c>
      <c r="F228" s="133" t="s">
        <v>342</v>
      </c>
      <c r="G228" s="134" t="s">
        <v>276</v>
      </c>
      <c r="H228" s="135">
        <v>34</v>
      </c>
      <c r="I228" s="136"/>
      <c r="J228" s="137">
        <f>ROUND(I228*H228,2)</f>
        <v>0</v>
      </c>
      <c r="K228" s="133" t="s">
        <v>142</v>
      </c>
      <c r="L228" s="31"/>
      <c r="M228" s="138" t="s">
        <v>1</v>
      </c>
      <c r="N228" s="139" t="s">
        <v>48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143</v>
      </c>
      <c r="AT228" s="142" t="s">
        <v>138</v>
      </c>
      <c r="AU228" s="142" t="s">
        <v>94</v>
      </c>
      <c r="AY228" s="15" t="s">
        <v>136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5" t="s">
        <v>91</v>
      </c>
      <c r="BK228" s="143">
        <f>ROUND(I228*H228,2)</f>
        <v>0</v>
      </c>
      <c r="BL228" s="15" t="s">
        <v>143</v>
      </c>
      <c r="BM228" s="142" t="s">
        <v>343</v>
      </c>
    </row>
    <row r="229" spans="2:65" s="12" customFormat="1">
      <c r="B229" s="144"/>
      <c r="D229" s="145" t="s">
        <v>145</v>
      </c>
      <c r="E229" s="146" t="s">
        <v>1</v>
      </c>
      <c r="F229" s="147" t="s">
        <v>344</v>
      </c>
      <c r="H229" s="148">
        <v>34</v>
      </c>
      <c r="I229" s="149"/>
      <c r="L229" s="144"/>
      <c r="M229" s="150"/>
      <c r="T229" s="151"/>
      <c r="AT229" s="146" t="s">
        <v>145</v>
      </c>
      <c r="AU229" s="146" t="s">
        <v>94</v>
      </c>
      <c r="AV229" s="12" t="s">
        <v>94</v>
      </c>
      <c r="AW229" s="12" t="s">
        <v>40</v>
      </c>
      <c r="AX229" s="12" t="s">
        <v>91</v>
      </c>
      <c r="AY229" s="146" t="s">
        <v>136</v>
      </c>
    </row>
    <row r="230" spans="2:65" s="1" customFormat="1" ht="16.5" customHeight="1">
      <c r="B230" s="31"/>
      <c r="C230" s="159" t="s">
        <v>345</v>
      </c>
      <c r="D230" s="159" t="s">
        <v>234</v>
      </c>
      <c r="E230" s="160" t="s">
        <v>346</v>
      </c>
      <c r="F230" s="161" t="s">
        <v>347</v>
      </c>
      <c r="G230" s="162" t="s">
        <v>276</v>
      </c>
      <c r="H230" s="163">
        <v>17</v>
      </c>
      <c r="I230" s="164"/>
      <c r="J230" s="165">
        <f>ROUND(I230*H230,2)</f>
        <v>0</v>
      </c>
      <c r="K230" s="161" t="s">
        <v>142</v>
      </c>
      <c r="L230" s="166"/>
      <c r="M230" s="167" t="s">
        <v>1</v>
      </c>
      <c r="N230" s="168" t="s">
        <v>48</v>
      </c>
      <c r="P230" s="140">
        <f>O230*H230</f>
        <v>0</v>
      </c>
      <c r="Q230" s="140">
        <v>3.2000000000000003E-4</v>
      </c>
      <c r="R230" s="140">
        <f>Q230*H230</f>
        <v>5.4400000000000004E-3</v>
      </c>
      <c r="S230" s="140">
        <v>0</v>
      </c>
      <c r="T230" s="141">
        <f>S230*H230</f>
        <v>0</v>
      </c>
      <c r="AR230" s="142" t="s">
        <v>180</v>
      </c>
      <c r="AT230" s="142" t="s">
        <v>234</v>
      </c>
      <c r="AU230" s="142" t="s">
        <v>94</v>
      </c>
      <c r="AY230" s="15" t="s">
        <v>136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5" t="s">
        <v>91</v>
      </c>
      <c r="BK230" s="143">
        <f>ROUND(I230*H230,2)</f>
        <v>0</v>
      </c>
      <c r="BL230" s="15" t="s">
        <v>143</v>
      </c>
      <c r="BM230" s="142" t="s">
        <v>348</v>
      </c>
    </row>
    <row r="231" spans="2:65" s="12" customFormat="1">
      <c r="B231" s="144"/>
      <c r="D231" s="145" t="s">
        <v>145</v>
      </c>
      <c r="E231" s="146" t="s">
        <v>1</v>
      </c>
      <c r="F231" s="147" t="s">
        <v>229</v>
      </c>
      <c r="H231" s="148">
        <v>17</v>
      </c>
      <c r="I231" s="149"/>
      <c r="L231" s="144"/>
      <c r="M231" s="150"/>
      <c r="T231" s="151"/>
      <c r="AT231" s="146" t="s">
        <v>145</v>
      </c>
      <c r="AU231" s="146" t="s">
        <v>94</v>
      </c>
      <c r="AV231" s="12" t="s">
        <v>94</v>
      </c>
      <c r="AW231" s="12" t="s">
        <v>40</v>
      </c>
      <c r="AX231" s="12" t="s">
        <v>91</v>
      </c>
      <c r="AY231" s="146" t="s">
        <v>136</v>
      </c>
    </row>
    <row r="232" spans="2:65" s="1" customFormat="1" ht="16.5" customHeight="1">
      <c r="B232" s="31"/>
      <c r="C232" s="159" t="s">
        <v>349</v>
      </c>
      <c r="D232" s="159" t="s">
        <v>234</v>
      </c>
      <c r="E232" s="160" t="s">
        <v>350</v>
      </c>
      <c r="F232" s="161" t="s">
        <v>351</v>
      </c>
      <c r="G232" s="162" t="s">
        <v>276</v>
      </c>
      <c r="H232" s="163">
        <v>17</v>
      </c>
      <c r="I232" s="164"/>
      <c r="J232" s="165">
        <f>ROUND(I232*H232,2)</f>
        <v>0</v>
      </c>
      <c r="K232" s="161" t="s">
        <v>142</v>
      </c>
      <c r="L232" s="166"/>
      <c r="M232" s="167" t="s">
        <v>1</v>
      </c>
      <c r="N232" s="168" t="s">
        <v>48</v>
      </c>
      <c r="P232" s="140">
        <f>O232*H232</f>
        <v>0</v>
      </c>
      <c r="Q232" s="140">
        <v>6.4999999999999997E-4</v>
      </c>
      <c r="R232" s="140">
        <f>Q232*H232</f>
        <v>1.1049999999999999E-2</v>
      </c>
      <c r="S232" s="140">
        <v>0</v>
      </c>
      <c r="T232" s="141">
        <f>S232*H232</f>
        <v>0</v>
      </c>
      <c r="AR232" s="142" t="s">
        <v>180</v>
      </c>
      <c r="AT232" s="142" t="s">
        <v>234</v>
      </c>
      <c r="AU232" s="142" t="s">
        <v>94</v>
      </c>
      <c r="AY232" s="15" t="s">
        <v>136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5" t="s">
        <v>91</v>
      </c>
      <c r="BK232" s="143">
        <f>ROUND(I232*H232,2)</f>
        <v>0</v>
      </c>
      <c r="BL232" s="15" t="s">
        <v>143</v>
      </c>
      <c r="BM232" s="142" t="s">
        <v>352</v>
      </c>
    </row>
    <row r="233" spans="2:65" s="12" customFormat="1">
      <c r="B233" s="144"/>
      <c r="D233" s="145" t="s">
        <v>145</v>
      </c>
      <c r="E233" s="146" t="s">
        <v>1</v>
      </c>
      <c r="F233" s="147" t="s">
        <v>229</v>
      </c>
      <c r="H233" s="148">
        <v>17</v>
      </c>
      <c r="I233" s="149"/>
      <c r="L233" s="144"/>
      <c r="M233" s="150"/>
      <c r="T233" s="151"/>
      <c r="AT233" s="146" t="s">
        <v>145</v>
      </c>
      <c r="AU233" s="146" t="s">
        <v>94</v>
      </c>
      <c r="AV233" s="12" t="s">
        <v>94</v>
      </c>
      <c r="AW233" s="12" t="s">
        <v>40</v>
      </c>
      <c r="AX233" s="12" t="s">
        <v>91</v>
      </c>
      <c r="AY233" s="146" t="s">
        <v>136</v>
      </c>
    </row>
    <row r="234" spans="2:65" s="1" customFormat="1" ht="21.75" customHeight="1">
      <c r="B234" s="31"/>
      <c r="C234" s="131" t="s">
        <v>353</v>
      </c>
      <c r="D234" s="131" t="s">
        <v>138</v>
      </c>
      <c r="E234" s="132" t="s">
        <v>354</v>
      </c>
      <c r="F234" s="133" t="s">
        <v>355</v>
      </c>
      <c r="G234" s="134" t="s">
        <v>276</v>
      </c>
      <c r="H234" s="135">
        <v>3</v>
      </c>
      <c r="I234" s="136"/>
      <c r="J234" s="137">
        <f>ROUND(I234*H234,2)</f>
        <v>0</v>
      </c>
      <c r="K234" s="133" t="s">
        <v>142</v>
      </c>
      <c r="L234" s="31"/>
      <c r="M234" s="138" t="s">
        <v>1</v>
      </c>
      <c r="N234" s="139" t="s">
        <v>48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143</v>
      </c>
      <c r="AT234" s="142" t="s">
        <v>138</v>
      </c>
      <c r="AU234" s="142" t="s">
        <v>94</v>
      </c>
      <c r="AY234" s="15" t="s">
        <v>136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5" t="s">
        <v>91</v>
      </c>
      <c r="BK234" s="143">
        <f>ROUND(I234*H234,2)</f>
        <v>0</v>
      </c>
      <c r="BL234" s="15" t="s">
        <v>143</v>
      </c>
      <c r="BM234" s="142" t="s">
        <v>356</v>
      </c>
    </row>
    <row r="235" spans="2:65" s="12" customFormat="1">
      <c r="B235" s="144"/>
      <c r="D235" s="145" t="s">
        <v>145</v>
      </c>
      <c r="E235" s="146" t="s">
        <v>1</v>
      </c>
      <c r="F235" s="147" t="s">
        <v>357</v>
      </c>
      <c r="H235" s="148">
        <v>3</v>
      </c>
      <c r="I235" s="149"/>
      <c r="L235" s="144"/>
      <c r="M235" s="150"/>
      <c r="T235" s="151"/>
      <c r="AT235" s="146" t="s">
        <v>145</v>
      </c>
      <c r="AU235" s="146" t="s">
        <v>94</v>
      </c>
      <c r="AV235" s="12" t="s">
        <v>94</v>
      </c>
      <c r="AW235" s="12" t="s">
        <v>40</v>
      </c>
      <c r="AX235" s="12" t="s">
        <v>91</v>
      </c>
      <c r="AY235" s="146" t="s">
        <v>136</v>
      </c>
    </row>
    <row r="236" spans="2:65" s="1" customFormat="1" ht="16.5" customHeight="1">
      <c r="B236" s="31"/>
      <c r="C236" s="159" t="s">
        <v>358</v>
      </c>
      <c r="D236" s="159" t="s">
        <v>234</v>
      </c>
      <c r="E236" s="160" t="s">
        <v>359</v>
      </c>
      <c r="F236" s="161" t="s">
        <v>360</v>
      </c>
      <c r="G236" s="162" t="s">
        <v>276</v>
      </c>
      <c r="H236" s="163">
        <v>3</v>
      </c>
      <c r="I236" s="164"/>
      <c r="J236" s="165">
        <f>ROUND(I236*H236,2)</f>
        <v>0</v>
      </c>
      <c r="K236" s="161" t="s">
        <v>142</v>
      </c>
      <c r="L236" s="166"/>
      <c r="M236" s="167" t="s">
        <v>1</v>
      </c>
      <c r="N236" s="168" t="s">
        <v>48</v>
      </c>
      <c r="P236" s="140">
        <f>O236*H236</f>
        <v>0</v>
      </c>
      <c r="Q236" s="140">
        <v>7.1999999999999998E-3</v>
      </c>
      <c r="R236" s="140">
        <f>Q236*H236</f>
        <v>2.1600000000000001E-2</v>
      </c>
      <c r="S236" s="140">
        <v>0</v>
      </c>
      <c r="T236" s="141">
        <f>S236*H236</f>
        <v>0</v>
      </c>
      <c r="AR236" s="142" t="s">
        <v>180</v>
      </c>
      <c r="AT236" s="142" t="s">
        <v>234</v>
      </c>
      <c r="AU236" s="142" t="s">
        <v>94</v>
      </c>
      <c r="AY236" s="15" t="s">
        <v>136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5" t="s">
        <v>91</v>
      </c>
      <c r="BK236" s="143">
        <f>ROUND(I236*H236,2)</f>
        <v>0</v>
      </c>
      <c r="BL236" s="15" t="s">
        <v>143</v>
      </c>
      <c r="BM236" s="142" t="s">
        <v>361</v>
      </c>
    </row>
    <row r="237" spans="2:65" s="12" customFormat="1">
      <c r="B237" s="144"/>
      <c r="D237" s="145" t="s">
        <v>145</v>
      </c>
      <c r="E237" s="146" t="s">
        <v>1</v>
      </c>
      <c r="F237" s="147" t="s">
        <v>153</v>
      </c>
      <c r="H237" s="148">
        <v>3</v>
      </c>
      <c r="I237" s="149"/>
      <c r="L237" s="144"/>
      <c r="M237" s="150"/>
      <c r="T237" s="151"/>
      <c r="AT237" s="146" t="s">
        <v>145</v>
      </c>
      <c r="AU237" s="146" t="s">
        <v>94</v>
      </c>
      <c r="AV237" s="12" t="s">
        <v>94</v>
      </c>
      <c r="AW237" s="12" t="s">
        <v>40</v>
      </c>
      <c r="AX237" s="12" t="s">
        <v>91</v>
      </c>
      <c r="AY237" s="146" t="s">
        <v>136</v>
      </c>
    </row>
    <row r="238" spans="2:65" s="1" customFormat="1" ht="16.5" customHeight="1">
      <c r="B238" s="31"/>
      <c r="C238" s="131" t="s">
        <v>362</v>
      </c>
      <c r="D238" s="131" t="s">
        <v>138</v>
      </c>
      <c r="E238" s="132" t="s">
        <v>363</v>
      </c>
      <c r="F238" s="133" t="s">
        <v>364</v>
      </c>
      <c r="G238" s="134" t="s">
        <v>276</v>
      </c>
      <c r="H238" s="135">
        <v>14</v>
      </c>
      <c r="I238" s="136"/>
      <c r="J238" s="137">
        <f>ROUND(I238*H238,2)</f>
        <v>0</v>
      </c>
      <c r="K238" s="133" t="s">
        <v>142</v>
      </c>
      <c r="L238" s="31"/>
      <c r="M238" s="138" t="s">
        <v>1</v>
      </c>
      <c r="N238" s="139" t="s">
        <v>48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143</v>
      </c>
      <c r="AT238" s="142" t="s">
        <v>138</v>
      </c>
      <c r="AU238" s="142" t="s">
        <v>94</v>
      </c>
      <c r="AY238" s="15" t="s">
        <v>136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5" t="s">
        <v>91</v>
      </c>
      <c r="BK238" s="143">
        <f>ROUND(I238*H238,2)</f>
        <v>0</v>
      </c>
      <c r="BL238" s="15" t="s">
        <v>143</v>
      </c>
      <c r="BM238" s="142" t="s">
        <v>365</v>
      </c>
    </row>
    <row r="239" spans="2:65" s="12" customFormat="1">
      <c r="B239" s="144"/>
      <c r="D239" s="145" t="s">
        <v>145</v>
      </c>
      <c r="E239" s="146" t="s">
        <v>1</v>
      </c>
      <c r="F239" s="147" t="s">
        <v>366</v>
      </c>
      <c r="H239" s="148">
        <v>14</v>
      </c>
      <c r="I239" s="149"/>
      <c r="L239" s="144"/>
      <c r="M239" s="150"/>
      <c r="T239" s="151"/>
      <c r="AT239" s="146" t="s">
        <v>145</v>
      </c>
      <c r="AU239" s="146" t="s">
        <v>94</v>
      </c>
      <c r="AV239" s="12" t="s">
        <v>94</v>
      </c>
      <c r="AW239" s="12" t="s">
        <v>40</v>
      </c>
      <c r="AX239" s="12" t="s">
        <v>91</v>
      </c>
      <c r="AY239" s="146" t="s">
        <v>136</v>
      </c>
    </row>
    <row r="240" spans="2:65" s="1" customFormat="1" ht="16.5" customHeight="1">
      <c r="B240" s="31"/>
      <c r="C240" s="159" t="s">
        <v>367</v>
      </c>
      <c r="D240" s="159" t="s">
        <v>234</v>
      </c>
      <c r="E240" s="160" t="s">
        <v>368</v>
      </c>
      <c r="F240" s="161" t="s">
        <v>369</v>
      </c>
      <c r="G240" s="162" t="s">
        <v>276</v>
      </c>
      <c r="H240" s="163">
        <v>14</v>
      </c>
      <c r="I240" s="164"/>
      <c r="J240" s="165">
        <f>ROUND(I240*H240,2)</f>
        <v>0</v>
      </c>
      <c r="K240" s="161" t="s">
        <v>142</v>
      </c>
      <c r="L240" s="166"/>
      <c r="M240" s="167" t="s">
        <v>1</v>
      </c>
      <c r="N240" s="168" t="s">
        <v>48</v>
      </c>
      <c r="P240" s="140">
        <f>O240*H240</f>
        <v>0</v>
      </c>
      <c r="Q240" s="140">
        <v>8.8000000000000005E-3</v>
      </c>
      <c r="R240" s="140">
        <f>Q240*H240</f>
        <v>0.1232</v>
      </c>
      <c r="S240" s="140">
        <v>0</v>
      </c>
      <c r="T240" s="141">
        <f>S240*H240</f>
        <v>0</v>
      </c>
      <c r="AR240" s="142" t="s">
        <v>180</v>
      </c>
      <c r="AT240" s="142" t="s">
        <v>234</v>
      </c>
      <c r="AU240" s="142" t="s">
        <v>94</v>
      </c>
      <c r="AY240" s="15" t="s">
        <v>136</v>
      </c>
      <c r="BE240" s="143">
        <f>IF(N240="základní",J240,0)</f>
        <v>0</v>
      </c>
      <c r="BF240" s="143">
        <f>IF(N240="snížená",J240,0)</f>
        <v>0</v>
      </c>
      <c r="BG240" s="143">
        <f>IF(N240="zákl. přenesená",J240,0)</f>
        <v>0</v>
      </c>
      <c r="BH240" s="143">
        <f>IF(N240="sníž. přenesená",J240,0)</f>
        <v>0</v>
      </c>
      <c r="BI240" s="143">
        <f>IF(N240="nulová",J240,0)</f>
        <v>0</v>
      </c>
      <c r="BJ240" s="15" t="s">
        <v>91</v>
      </c>
      <c r="BK240" s="143">
        <f>ROUND(I240*H240,2)</f>
        <v>0</v>
      </c>
      <c r="BL240" s="15" t="s">
        <v>143</v>
      </c>
      <c r="BM240" s="142" t="s">
        <v>370</v>
      </c>
    </row>
    <row r="241" spans="2:65" s="12" customFormat="1">
      <c r="B241" s="144"/>
      <c r="D241" s="145" t="s">
        <v>145</v>
      </c>
      <c r="E241" s="146" t="s">
        <v>1</v>
      </c>
      <c r="F241" s="147" t="s">
        <v>214</v>
      </c>
      <c r="H241" s="148">
        <v>14</v>
      </c>
      <c r="I241" s="149"/>
      <c r="L241" s="144"/>
      <c r="M241" s="150"/>
      <c r="T241" s="151"/>
      <c r="AT241" s="146" t="s">
        <v>145</v>
      </c>
      <c r="AU241" s="146" t="s">
        <v>94</v>
      </c>
      <c r="AV241" s="12" t="s">
        <v>94</v>
      </c>
      <c r="AW241" s="12" t="s">
        <v>40</v>
      </c>
      <c r="AX241" s="12" t="s">
        <v>91</v>
      </c>
      <c r="AY241" s="146" t="s">
        <v>136</v>
      </c>
    </row>
    <row r="242" spans="2:65" s="1" customFormat="1" ht="21.75" customHeight="1">
      <c r="B242" s="31"/>
      <c r="C242" s="131" t="s">
        <v>371</v>
      </c>
      <c r="D242" s="131" t="s">
        <v>138</v>
      </c>
      <c r="E242" s="132" t="s">
        <v>372</v>
      </c>
      <c r="F242" s="133" t="s">
        <v>373</v>
      </c>
      <c r="G242" s="134" t="s">
        <v>276</v>
      </c>
      <c r="H242" s="135">
        <v>2</v>
      </c>
      <c r="I242" s="136"/>
      <c r="J242" s="137">
        <f>ROUND(I242*H242,2)</f>
        <v>0</v>
      </c>
      <c r="K242" s="133" t="s">
        <v>142</v>
      </c>
      <c r="L242" s="31"/>
      <c r="M242" s="138" t="s">
        <v>1</v>
      </c>
      <c r="N242" s="139" t="s">
        <v>48</v>
      </c>
      <c r="P242" s="140">
        <f>O242*H242</f>
        <v>0</v>
      </c>
      <c r="Q242" s="140">
        <v>2.1158700000000001</v>
      </c>
      <c r="R242" s="140">
        <f>Q242*H242</f>
        <v>4.2317400000000003</v>
      </c>
      <c r="S242" s="140">
        <v>0</v>
      </c>
      <c r="T242" s="141">
        <f>S242*H242</f>
        <v>0</v>
      </c>
      <c r="AR242" s="142" t="s">
        <v>143</v>
      </c>
      <c r="AT242" s="142" t="s">
        <v>138</v>
      </c>
      <c r="AU242" s="142" t="s">
        <v>94</v>
      </c>
      <c r="AY242" s="15" t="s">
        <v>136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5" t="s">
        <v>91</v>
      </c>
      <c r="BK242" s="143">
        <f>ROUND(I242*H242,2)</f>
        <v>0</v>
      </c>
      <c r="BL242" s="15" t="s">
        <v>143</v>
      </c>
      <c r="BM242" s="142" t="s">
        <v>374</v>
      </c>
    </row>
    <row r="243" spans="2:65" s="12" customFormat="1">
      <c r="B243" s="144"/>
      <c r="D243" s="145" t="s">
        <v>145</v>
      </c>
      <c r="E243" s="146" t="s">
        <v>1</v>
      </c>
      <c r="F243" s="147" t="s">
        <v>94</v>
      </c>
      <c r="H243" s="148">
        <v>2</v>
      </c>
      <c r="I243" s="149"/>
      <c r="L243" s="144"/>
      <c r="M243" s="150"/>
      <c r="T243" s="151"/>
      <c r="AT243" s="146" t="s">
        <v>145</v>
      </c>
      <c r="AU243" s="146" t="s">
        <v>94</v>
      </c>
      <c r="AV243" s="12" t="s">
        <v>94</v>
      </c>
      <c r="AW243" s="12" t="s">
        <v>40</v>
      </c>
      <c r="AX243" s="12" t="s">
        <v>91</v>
      </c>
      <c r="AY243" s="146" t="s">
        <v>136</v>
      </c>
    </row>
    <row r="244" spans="2:65" s="1" customFormat="1" ht="21.75" customHeight="1">
      <c r="B244" s="31"/>
      <c r="C244" s="131" t="s">
        <v>375</v>
      </c>
      <c r="D244" s="131" t="s">
        <v>138</v>
      </c>
      <c r="E244" s="132" t="s">
        <v>376</v>
      </c>
      <c r="F244" s="133" t="s">
        <v>377</v>
      </c>
      <c r="G244" s="134" t="s">
        <v>276</v>
      </c>
      <c r="H244" s="135">
        <v>11</v>
      </c>
      <c r="I244" s="136"/>
      <c r="J244" s="137">
        <f>ROUND(I244*H244,2)</f>
        <v>0</v>
      </c>
      <c r="K244" s="133" t="s">
        <v>142</v>
      </c>
      <c r="L244" s="31"/>
      <c r="M244" s="138" t="s">
        <v>1</v>
      </c>
      <c r="N244" s="139" t="s">
        <v>48</v>
      </c>
      <c r="P244" s="140">
        <f>O244*H244</f>
        <v>0</v>
      </c>
      <c r="Q244" s="140">
        <v>2.2558199999999999</v>
      </c>
      <c r="R244" s="140">
        <f>Q244*H244</f>
        <v>24.814019999999999</v>
      </c>
      <c r="S244" s="140">
        <v>0</v>
      </c>
      <c r="T244" s="141">
        <f>S244*H244</f>
        <v>0</v>
      </c>
      <c r="AR244" s="142" t="s">
        <v>143</v>
      </c>
      <c r="AT244" s="142" t="s">
        <v>138</v>
      </c>
      <c r="AU244" s="142" t="s">
        <v>94</v>
      </c>
      <c r="AY244" s="15" t="s">
        <v>136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5" t="s">
        <v>91</v>
      </c>
      <c r="BK244" s="143">
        <f>ROUND(I244*H244,2)</f>
        <v>0</v>
      </c>
      <c r="BL244" s="15" t="s">
        <v>143</v>
      </c>
      <c r="BM244" s="142" t="s">
        <v>378</v>
      </c>
    </row>
    <row r="245" spans="2:65" s="12" customFormat="1">
      <c r="B245" s="144"/>
      <c r="D245" s="145" t="s">
        <v>145</v>
      </c>
      <c r="E245" s="146" t="s">
        <v>1</v>
      </c>
      <c r="F245" s="147" t="s">
        <v>202</v>
      </c>
      <c r="H245" s="148">
        <v>11</v>
      </c>
      <c r="I245" s="149"/>
      <c r="L245" s="144"/>
      <c r="M245" s="150"/>
      <c r="T245" s="151"/>
      <c r="AT245" s="146" t="s">
        <v>145</v>
      </c>
      <c r="AU245" s="146" t="s">
        <v>94</v>
      </c>
      <c r="AV245" s="12" t="s">
        <v>94</v>
      </c>
      <c r="AW245" s="12" t="s">
        <v>40</v>
      </c>
      <c r="AX245" s="12" t="s">
        <v>91</v>
      </c>
      <c r="AY245" s="146" t="s">
        <v>136</v>
      </c>
    </row>
    <row r="246" spans="2:65" s="1" customFormat="1" ht="16.5" customHeight="1">
      <c r="B246" s="31"/>
      <c r="C246" s="159" t="s">
        <v>379</v>
      </c>
      <c r="D246" s="159" t="s">
        <v>234</v>
      </c>
      <c r="E246" s="160" t="s">
        <v>380</v>
      </c>
      <c r="F246" s="161" t="s">
        <v>381</v>
      </c>
      <c r="G246" s="162" t="s">
        <v>276</v>
      </c>
      <c r="H246" s="163">
        <v>13</v>
      </c>
      <c r="I246" s="164"/>
      <c r="J246" s="165">
        <f>ROUND(I246*H246,2)</f>
        <v>0</v>
      </c>
      <c r="K246" s="161" t="s">
        <v>142</v>
      </c>
      <c r="L246" s="166"/>
      <c r="M246" s="167" t="s">
        <v>1</v>
      </c>
      <c r="N246" s="168" t="s">
        <v>48</v>
      </c>
      <c r="P246" s="140">
        <f>O246*H246</f>
        <v>0</v>
      </c>
      <c r="Q246" s="140">
        <v>1.87</v>
      </c>
      <c r="R246" s="140">
        <f>Q246*H246</f>
        <v>24.310000000000002</v>
      </c>
      <c r="S246" s="140">
        <v>0</v>
      </c>
      <c r="T246" s="141">
        <f>S246*H246</f>
        <v>0</v>
      </c>
      <c r="AR246" s="142" t="s">
        <v>180</v>
      </c>
      <c r="AT246" s="142" t="s">
        <v>234</v>
      </c>
      <c r="AU246" s="142" t="s">
        <v>94</v>
      </c>
      <c r="AY246" s="15" t="s">
        <v>136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5" t="s">
        <v>91</v>
      </c>
      <c r="BK246" s="143">
        <f>ROUND(I246*H246,2)</f>
        <v>0</v>
      </c>
      <c r="BL246" s="15" t="s">
        <v>143</v>
      </c>
      <c r="BM246" s="142" t="s">
        <v>382</v>
      </c>
    </row>
    <row r="247" spans="2:65" s="12" customFormat="1">
      <c r="B247" s="144"/>
      <c r="D247" s="145" t="s">
        <v>145</v>
      </c>
      <c r="E247" s="146" t="s">
        <v>1</v>
      </c>
      <c r="F247" s="147" t="s">
        <v>210</v>
      </c>
      <c r="H247" s="148">
        <v>13</v>
      </c>
      <c r="I247" s="149"/>
      <c r="L247" s="144"/>
      <c r="M247" s="150"/>
      <c r="T247" s="151"/>
      <c r="AT247" s="146" t="s">
        <v>145</v>
      </c>
      <c r="AU247" s="146" t="s">
        <v>94</v>
      </c>
      <c r="AV247" s="12" t="s">
        <v>94</v>
      </c>
      <c r="AW247" s="12" t="s">
        <v>40</v>
      </c>
      <c r="AX247" s="12" t="s">
        <v>91</v>
      </c>
      <c r="AY247" s="146" t="s">
        <v>136</v>
      </c>
    </row>
    <row r="248" spans="2:65" s="1" customFormat="1" ht="16.5" customHeight="1">
      <c r="B248" s="31"/>
      <c r="C248" s="159" t="s">
        <v>383</v>
      </c>
      <c r="D248" s="159" t="s">
        <v>234</v>
      </c>
      <c r="E248" s="160" t="s">
        <v>384</v>
      </c>
      <c r="F248" s="161" t="s">
        <v>385</v>
      </c>
      <c r="G248" s="162" t="s">
        <v>276</v>
      </c>
      <c r="H248" s="163">
        <v>17</v>
      </c>
      <c r="I248" s="164"/>
      <c r="J248" s="165">
        <f>ROUND(I248*H248,2)</f>
        <v>0</v>
      </c>
      <c r="K248" s="161" t="s">
        <v>142</v>
      </c>
      <c r="L248" s="166"/>
      <c r="M248" s="167" t="s">
        <v>1</v>
      </c>
      <c r="N248" s="168" t="s">
        <v>48</v>
      </c>
      <c r="P248" s="140">
        <f>O248*H248</f>
        <v>0</v>
      </c>
      <c r="Q248" s="140">
        <v>0.86</v>
      </c>
      <c r="R248" s="140">
        <f>Q248*H248</f>
        <v>14.62</v>
      </c>
      <c r="S248" s="140">
        <v>0</v>
      </c>
      <c r="T248" s="141">
        <f>S248*H248</f>
        <v>0</v>
      </c>
      <c r="AR248" s="142" t="s">
        <v>180</v>
      </c>
      <c r="AT248" s="142" t="s">
        <v>234</v>
      </c>
      <c r="AU248" s="142" t="s">
        <v>94</v>
      </c>
      <c r="AY248" s="15" t="s">
        <v>136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5" t="s">
        <v>91</v>
      </c>
      <c r="BK248" s="143">
        <f>ROUND(I248*H248,2)</f>
        <v>0</v>
      </c>
      <c r="BL248" s="15" t="s">
        <v>143</v>
      </c>
      <c r="BM248" s="142" t="s">
        <v>386</v>
      </c>
    </row>
    <row r="249" spans="2:65" s="12" customFormat="1">
      <c r="B249" s="144"/>
      <c r="D249" s="145" t="s">
        <v>145</v>
      </c>
      <c r="E249" s="146" t="s">
        <v>1</v>
      </c>
      <c r="F249" s="147" t="s">
        <v>229</v>
      </c>
      <c r="H249" s="148">
        <v>17</v>
      </c>
      <c r="I249" s="149"/>
      <c r="L249" s="144"/>
      <c r="M249" s="150"/>
      <c r="T249" s="151"/>
      <c r="AT249" s="146" t="s">
        <v>145</v>
      </c>
      <c r="AU249" s="146" t="s">
        <v>94</v>
      </c>
      <c r="AV249" s="12" t="s">
        <v>94</v>
      </c>
      <c r="AW249" s="12" t="s">
        <v>40</v>
      </c>
      <c r="AX249" s="12" t="s">
        <v>91</v>
      </c>
      <c r="AY249" s="146" t="s">
        <v>136</v>
      </c>
    </row>
    <row r="250" spans="2:65" s="1" customFormat="1" ht="16.5" customHeight="1">
      <c r="B250" s="31"/>
      <c r="C250" s="159" t="s">
        <v>387</v>
      </c>
      <c r="D250" s="159" t="s">
        <v>234</v>
      </c>
      <c r="E250" s="160" t="s">
        <v>388</v>
      </c>
      <c r="F250" s="161" t="s">
        <v>389</v>
      </c>
      <c r="G250" s="162" t="s">
        <v>276</v>
      </c>
      <c r="H250" s="163">
        <v>5</v>
      </c>
      <c r="I250" s="164"/>
      <c r="J250" s="165">
        <f>ROUND(I250*H250,2)</f>
        <v>0</v>
      </c>
      <c r="K250" s="161" t="s">
        <v>142</v>
      </c>
      <c r="L250" s="166"/>
      <c r="M250" s="167" t="s">
        <v>1</v>
      </c>
      <c r="N250" s="168" t="s">
        <v>48</v>
      </c>
      <c r="P250" s="140">
        <f>O250*H250</f>
        <v>0</v>
      </c>
      <c r="Q250" s="140">
        <v>0.43</v>
      </c>
      <c r="R250" s="140">
        <f>Q250*H250</f>
        <v>2.15</v>
      </c>
      <c r="S250" s="140">
        <v>0</v>
      </c>
      <c r="T250" s="141">
        <f>S250*H250</f>
        <v>0</v>
      </c>
      <c r="AR250" s="142" t="s">
        <v>180</v>
      </c>
      <c r="AT250" s="142" t="s">
        <v>234</v>
      </c>
      <c r="AU250" s="142" t="s">
        <v>94</v>
      </c>
      <c r="AY250" s="15" t="s">
        <v>136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5" t="s">
        <v>91</v>
      </c>
      <c r="BK250" s="143">
        <f>ROUND(I250*H250,2)</f>
        <v>0</v>
      </c>
      <c r="BL250" s="15" t="s">
        <v>143</v>
      </c>
      <c r="BM250" s="142" t="s">
        <v>390</v>
      </c>
    </row>
    <row r="251" spans="2:65" s="12" customFormat="1">
      <c r="B251" s="144"/>
      <c r="D251" s="145" t="s">
        <v>145</v>
      </c>
      <c r="E251" s="146" t="s">
        <v>1</v>
      </c>
      <c r="F251" s="147" t="s">
        <v>163</v>
      </c>
      <c r="H251" s="148">
        <v>5</v>
      </c>
      <c r="I251" s="149"/>
      <c r="L251" s="144"/>
      <c r="M251" s="150"/>
      <c r="T251" s="151"/>
      <c r="AT251" s="146" t="s">
        <v>145</v>
      </c>
      <c r="AU251" s="146" t="s">
        <v>94</v>
      </c>
      <c r="AV251" s="12" t="s">
        <v>94</v>
      </c>
      <c r="AW251" s="12" t="s">
        <v>40</v>
      </c>
      <c r="AX251" s="12" t="s">
        <v>91</v>
      </c>
      <c r="AY251" s="146" t="s">
        <v>136</v>
      </c>
    </row>
    <row r="252" spans="2:65" s="1" customFormat="1" ht="16.5" customHeight="1">
      <c r="B252" s="31"/>
      <c r="C252" s="159" t="s">
        <v>391</v>
      </c>
      <c r="D252" s="159" t="s">
        <v>234</v>
      </c>
      <c r="E252" s="160" t="s">
        <v>392</v>
      </c>
      <c r="F252" s="161" t="s">
        <v>393</v>
      </c>
      <c r="G252" s="162" t="s">
        <v>276</v>
      </c>
      <c r="H252" s="163">
        <v>7</v>
      </c>
      <c r="I252" s="164"/>
      <c r="J252" s="165">
        <f>ROUND(I252*H252,2)</f>
        <v>0</v>
      </c>
      <c r="K252" s="161" t="s">
        <v>142</v>
      </c>
      <c r="L252" s="166"/>
      <c r="M252" s="167" t="s">
        <v>1</v>
      </c>
      <c r="N252" s="168" t="s">
        <v>48</v>
      </c>
      <c r="P252" s="140">
        <f>O252*H252</f>
        <v>0</v>
      </c>
      <c r="Q252" s="140">
        <v>0.215</v>
      </c>
      <c r="R252" s="140">
        <f>Q252*H252</f>
        <v>1.5049999999999999</v>
      </c>
      <c r="S252" s="140">
        <v>0</v>
      </c>
      <c r="T252" s="141">
        <f>S252*H252</f>
        <v>0</v>
      </c>
      <c r="AR252" s="142" t="s">
        <v>180</v>
      </c>
      <c r="AT252" s="142" t="s">
        <v>234</v>
      </c>
      <c r="AU252" s="142" t="s">
        <v>94</v>
      </c>
      <c r="AY252" s="15" t="s">
        <v>136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5" t="s">
        <v>91</v>
      </c>
      <c r="BK252" s="143">
        <f>ROUND(I252*H252,2)</f>
        <v>0</v>
      </c>
      <c r="BL252" s="15" t="s">
        <v>143</v>
      </c>
      <c r="BM252" s="142" t="s">
        <v>394</v>
      </c>
    </row>
    <row r="253" spans="2:65" s="12" customFormat="1">
      <c r="B253" s="144"/>
      <c r="D253" s="145" t="s">
        <v>145</v>
      </c>
      <c r="E253" s="146" t="s">
        <v>1</v>
      </c>
      <c r="F253" s="147" t="s">
        <v>175</v>
      </c>
      <c r="H253" s="148">
        <v>7</v>
      </c>
      <c r="I253" s="149"/>
      <c r="L253" s="144"/>
      <c r="M253" s="150"/>
      <c r="T253" s="151"/>
      <c r="AT253" s="146" t="s">
        <v>145</v>
      </c>
      <c r="AU253" s="146" t="s">
        <v>94</v>
      </c>
      <c r="AV253" s="12" t="s">
        <v>94</v>
      </c>
      <c r="AW253" s="12" t="s">
        <v>40</v>
      </c>
      <c r="AX253" s="12" t="s">
        <v>91</v>
      </c>
      <c r="AY253" s="146" t="s">
        <v>136</v>
      </c>
    </row>
    <row r="254" spans="2:65" s="1" customFormat="1" ht="16.5" customHeight="1">
      <c r="B254" s="31"/>
      <c r="C254" s="159" t="s">
        <v>395</v>
      </c>
      <c r="D254" s="159" t="s">
        <v>234</v>
      </c>
      <c r="E254" s="160" t="s">
        <v>396</v>
      </c>
      <c r="F254" s="161" t="s">
        <v>397</v>
      </c>
      <c r="G254" s="162" t="s">
        <v>276</v>
      </c>
      <c r="H254" s="163">
        <v>9</v>
      </c>
      <c r="I254" s="164"/>
      <c r="J254" s="165">
        <f>ROUND(I254*H254,2)</f>
        <v>0</v>
      </c>
      <c r="K254" s="161" t="s">
        <v>142</v>
      </c>
      <c r="L254" s="166"/>
      <c r="M254" s="167" t="s">
        <v>1</v>
      </c>
      <c r="N254" s="168" t="s">
        <v>48</v>
      </c>
      <c r="P254" s="140">
        <f>O254*H254</f>
        <v>0</v>
      </c>
      <c r="Q254" s="140">
        <v>0.58499999999999996</v>
      </c>
      <c r="R254" s="140">
        <f>Q254*H254</f>
        <v>5.2649999999999997</v>
      </c>
      <c r="S254" s="140">
        <v>0</v>
      </c>
      <c r="T254" s="141">
        <f>S254*H254</f>
        <v>0</v>
      </c>
      <c r="AR254" s="142" t="s">
        <v>180</v>
      </c>
      <c r="AT254" s="142" t="s">
        <v>234</v>
      </c>
      <c r="AU254" s="142" t="s">
        <v>94</v>
      </c>
      <c r="AY254" s="15" t="s">
        <v>136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5" t="s">
        <v>91</v>
      </c>
      <c r="BK254" s="143">
        <f>ROUND(I254*H254,2)</f>
        <v>0</v>
      </c>
      <c r="BL254" s="15" t="s">
        <v>143</v>
      </c>
      <c r="BM254" s="142" t="s">
        <v>398</v>
      </c>
    </row>
    <row r="255" spans="2:65" s="12" customFormat="1">
      <c r="B255" s="144"/>
      <c r="D255" s="145" t="s">
        <v>145</v>
      </c>
      <c r="E255" s="146" t="s">
        <v>1</v>
      </c>
      <c r="F255" s="147" t="s">
        <v>186</v>
      </c>
      <c r="H255" s="148">
        <v>9</v>
      </c>
      <c r="I255" s="149"/>
      <c r="L255" s="144"/>
      <c r="M255" s="150"/>
      <c r="T255" s="151"/>
      <c r="AT255" s="146" t="s">
        <v>145</v>
      </c>
      <c r="AU255" s="146" t="s">
        <v>94</v>
      </c>
      <c r="AV255" s="12" t="s">
        <v>94</v>
      </c>
      <c r="AW255" s="12" t="s">
        <v>40</v>
      </c>
      <c r="AX255" s="12" t="s">
        <v>91</v>
      </c>
      <c r="AY255" s="146" t="s">
        <v>136</v>
      </c>
    </row>
    <row r="256" spans="2:65" s="1" customFormat="1" ht="16.5" customHeight="1">
      <c r="B256" s="31"/>
      <c r="C256" s="159" t="s">
        <v>399</v>
      </c>
      <c r="D256" s="159" t="s">
        <v>234</v>
      </c>
      <c r="E256" s="160" t="s">
        <v>400</v>
      </c>
      <c r="F256" s="161" t="s">
        <v>401</v>
      </c>
      <c r="G256" s="162" t="s">
        <v>276</v>
      </c>
      <c r="H256" s="163">
        <v>4</v>
      </c>
      <c r="I256" s="164"/>
      <c r="J256" s="165">
        <f>ROUND(I256*H256,2)</f>
        <v>0</v>
      </c>
      <c r="K256" s="161" t="s">
        <v>142</v>
      </c>
      <c r="L256" s="166"/>
      <c r="M256" s="167" t="s">
        <v>1</v>
      </c>
      <c r="N256" s="168" t="s">
        <v>48</v>
      </c>
      <c r="P256" s="140">
        <f>O256*H256</f>
        <v>0</v>
      </c>
      <c r="Q256" s="140">
        <v>0.52100000000000002</v>
      </c>
      <c r="R256" s="140">
        <f>Q256*H256</f>
        <v>2.0840000000000001</v>
      </c>
      <c r="S256" s="140">
        <v>0</v>
      </c>
      <c r="T256" s="141">
        <f>S256*H256</f>
        <v>0</v>
      </c>
      <c r="AR256" s="142" t="s">
        <v>180</v>
      </c>
      <c r="AT256" s="142" t="s">
        <v>234</v>
      </c>
      <c r="AU256" s="142" t="s">
        <v>94</v>
      </c>
      <c r="AY256" s="15" t="s">
        <v>136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5" t="s">
        <v>91</v>
      </c>
      <c r="BK256" s="143">
        <f>ROUND(I256*H256,2)</f>
        <v>0</v>
      </c>
      <c r="BL256" s="15" t="s">
        <v>143</v>
      </c>
      <c r="BM256" s="142" t="s">
        <v>402</v>
      </c>
    </row>
    <row r="257" spans="2:65" s="12" customFormat="1">
      <c r="B257" s="144"/>
      <c r="D257" s="145" t="s">
        <v>145</v>
      </c>
      <c r="E257" s="146" t="s">
        <v>1</v>
      </c>
      <c r="F257" s="147" t="s">
        <v>143</v>
      </c>
      <c r="H257" s="148">
        <v>4</v>
      </c>
      <c r="I257" s="149"/>
      <c r="L257" s="144"/>
      <c r="M257" s="150"/>
      <c r="T257" s="151"/>
      <c r="AT257" s="146" t="s">
        <v>145</v>
      </c>
      <c r="AU257" s="146" t="s">
        <v>94</v>
      </c>
      <c r="AV257" s="12" t="s">
        <v>94</v>
      </c>
      <c r="AW257" s="12" t="s">
        <v>40</v>
      </c>
      <c r="AX257" s="12" t="s">
        <v>91</v>
      </c>
      <c r="AY257" s="146" t="s">
        <v>136</v>
      </c>
    </row>
    <row r="258" spans="2:65" s="1" customFormat="1" ht="16.5" customHeight="1">
      <c r="B258" s="31"/>
      <c r="C258" s="159" t="s">
        <v>403</v>
      </c>
      <c r="D258" s="159" t="s">
        <v>234</v>
      </c>
      <c r="E258" s="160" t="s">
        <v>404</v>
      </c>
      <c r="F258" s="161" t="s">
        <v>405</v>
      </c>
      <c r="G258" s="162" t="s">
        <v>276</v>
      </c>
      <c r="H258" s="163">
        <v>2</v>
      </c>
      <c r="I258" s="164"/>
      <c r="J258" s="165">
        <f>ROUND(I258*H258,2)</f>
        <v>0</v>
      </c>
      <c r="K258" s="161" t="s">
        <v>142</v>
      </c>
      <c r="L258" s="166"/>
      <c r="M258" s="167" t="s">
        <v>1</v>
      </c>
      <c r="N258" s="168" t="s">
        <v>48</v>
      </c>
      <c r="P258" s="140">
        <f>O258*H258</f>
        <v>0</v>
      </c>
      <c r="Q258" s="140">
        <v>2.8000000000000001E-2</v>
      </c>
      <c r="R258" s="140">
        <f>Q258*H258</f>
        <v>5.6000000000000001E-2</v>
      </c>
      <c r="S258" s="140">
        <v>0</v>
      </c>
      <c r="T258" s="141">
        <f>S258*H258</f>
        <v>0</v>
      </c>
      <c r="AR258" s="142" t="s">
        <v>180</v>
      </c>
      <c r="AT258" s="142" t="s">
        <v>234</v>
      </c>
      <c r="AU258" s="142" t="s">
        <v>94</v>
      </c>
      <c r="AY258" s="15" t="s">
        <v>136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5" t="s">
        <v>91</v>
      </c>
      <c r="BK258" s="143">
        <f>ROUND(I258*H258,2)</f>
        <v>0</v>
      </c>
      <c r="BL258" s="15" t="s">
        <v>143</v>
      </c>
      <c r="BM258" s="142" t="s">
        <v>406</v>
      </c>
    </row>
    <row r="259" spans="2:65" s="12" customFormat="1">
      <c r="B259" s="144"/>
      <c r="D259" s="145" t="s">
        <v>145</v>
      </c>
      <c r="E259" s="146" t="s">
        <v>1</v>
      </c>
      <c r="F259" s="147" t="s">
        <v>94</v>
      </c>
      <c r="H259" s="148">
        <v>2</v>
      </c>
      <c r="I259" s="149"/>
      <c r="L259" s="144"/>
      <c r="M259" s="150"/>
      <c r="T259" s="151"/>
      <c r="AT259" s="146" t="s">
        <v>145</v>
      </c>
      <c r="AU259" s="146" t="s">
        <v>94</v>
      </c>
      <c r="AV259" s="12" t="s">
        <v>94</v>
      </c>
      <c r="AW259" s="12" t="s">
        <v>40</v>
      </c>
      <c r="AX259" s="12" t="s">
        <v>91</v>
      </c>
      <c r="AY259" s="146" t="s">
        <v>136</v>
      </c>
    </row>
    <row r="260" spans="2:65" s="1" customFormat="1" ht="16.5" customHeight="1">
      <c r="B260" s="31"/>
      <c r="C260" s="159" t="s">
        <v>407</v>
      </c>
      <c r="D260" s="159" t="s">
        <v>234</v>
      </c>
      <c r="E260" s="160" t="s">
        <v>408</v>
      </c>
      <c r="F260" s="161" t="s">
        <v>409</v>
      </c>
      <c r="G260" s="162" t="s">
        <v>276</v>
      </c>
      <c r="H260" s="163">
        <v>3</v>
      </c>
      <c r="I260" s="164"/>
      <c r="J260" s="165">
        <f>ROUND(I260*H260,2)</f>
        <v>0</v>
      </c>
      <c r="K260" s="161" t="s">
        <v>142</v>
      </c>
      <c r="L260" s="166"/>
      <c r="M260" s="167" t="s">
        <v>1</v>
      </c>
      <c r="N260" s="168" t="s">
        <v>48</v>
      </c>
      <c r="P260" s="140">
        <f>O260*H260</f>
        <v>0</v>
      </c>
      <c r="Q260" s="140">
        <v>0.04</v>
      </c>
      <c r="R260" s="140">
        <f>Q260*H260</f>
        <v>0.12</v>
      </c>
      <c r="S260" s="140">
        <v>0</v>
      </c>
      <c r="T260" s="141">
        <f>S260*H260</f>
        <v>0</v>
      </c>
      <c r="AR260" s="142" t="s">
        <v>180</v>
      </c>
      <c r="AT260" s="142" t="s">
        <v>234</v>
      </c>
      <c r="AU260" s="142" t="s">
        <v>94</v>
      </c>
      <c r="AY260" s="15" t="s">
        <v>136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5" t="s">
        <v>91</v>
      </c>
      <c r="BK260" s="143">
        <f>ROUND(I260*H260,2)</f>
        <v>0</v>
      </c>
      <c r="BL260" s="15" t="s">
        <v>143</v>
      </c>
      <c r="BM260" s="142" t="s">
        <v>410</v>
      </c>
    </row>
    <row r="261" spans="2:65" s="12" customFormat="1">
      <c r="B261" s="144"/>
      <c r="D261" s="145" t="s">
        <v>145</v>
      </c>
      <c r="E261" s="146" t="s">
        <v>1</v>
      </c>
      <c r="F261" s="147" t="s">
        <v>153</v>
      </c>
      <c r="H261" s="148">
        <v>3</v>
      </c>
      <c r="I261" s="149"/>
      <c r="L261" s="144"/>
      <c r="M261" s="150"/>
      <c r="T261" s="151"/>
      <c r="AT261" s="146" t="s">
        <v>145</v>
      </c>
      <c r="AU261" s="146" t="s">
        <v>94</v>
      </c>
      <c r="AV261" s="12" t="s">
        <v>94</v>
      </c>
      <c r="AW261" s="12" t="s">
        <v>40</v>
      </c>
      <c r="AX261" s="12" t="s">
        <v>91</v>
      </c>
      <c r="AY261" s="146" t="s">
        <v>136</v>
      </c>
    </row>
    <row r="262" spans="2:65" s="1" customFormat="1" ht="16.5" customHeight="1">
      <c r="B262" s="31"/>
      <c r="C262" s="159" t="s">
        <v>411</v>
      </c>
      <c r="D262" s="159" t="s">
        <v>234</v>
      </c>
      <c r="E262" s="160" t="s">
        <v>412</v>
      </c>
      <c r="F262" s="161" t="s">
        <v>413</v>
      </c>
      <c r="G262" s="162" t="s">
        <v>276</v>
      </c>
      <c r="H262" s="163">
        <v>6</v>
      </c>
      <c r="I262" s="164"/>
      <c r="J262" s="165">
        <f>ROUND(I262*H262,2)</f>
        <v>0</v>
      </c>
      <c r="K262" s="161" t="s">
        <v>142</v>
      </c>
      <c r="L262" s="166"/>
      <c r="M262" s="167" t="s">
        <v>1</v>
      </c>
      <c r="N262" s="168" t="s">
        <v>48</v>
      </c>
      <c r="P262" s="140">
        <f>O262*H262</f>
        <v>0</v>
      </c>
      <c r="Q262" s="140">
        <v>5.0999999999999997E-2</v>
      </c>
      <c r="R262" s="140">
        <f>Q262*H262</f>
        <v>0.30599999999999999</v>
      </c>
      <c r="S262" s="140">
        <v>0</v>
      </c>
      <c r="T262" s="141">
        <f>S262*H262</f>
        <v>0</v>
      </c>
      <c r="AR262" s="142" t="s">
        <v>180</v>
      </c>
      <c r="AT262" s="142" t="s">
        <v>234</v>
      </c>
      <c r="AU262" s="142" t="s">
        <v>94</v>
      </c>
      <c r="AY262" s="15" t="s">
        <v>136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5" t="s">
        <v>91</v>
      </c>
      <c r="BK262" s="143">
        <f>ROUND(I262*H262,2)</f>
        <v>0</v>
      </c>
      <c r="BL262" s="15" t="s">
        <v>143</v>
      </c>
      <c r="BM262" s="142" t="s">
        <v>414</v>
      </c>
    </row>
    <row r="263" spans="2:65" s="12" customFormat="1">
      <c r="B263" s="144"/>
      <c r="D263" s="145" t="s">
        <v>145</v>
      </c>
      <c r="E263" s="146" t="s">
        <v>1</v>
      </c>
      <c r="F263" s="147" t="s">
        <v>169</v>
      </c>
      <c r="H263" s="148">
        <v>6</v>
      </c>
      <c r="I263" s="149"/>
      <c r="L263" s="144"/>
      <c r="M263" s="150"/>
      <c r="T263" s="151"/>
      <c r="AT263" s="146" t="s">
        <v>145</v>
      </c>
      <c r="AU263" s="146" t="s">
        <v>94</v>
      </c>
      <c r="AV263" s="12" t="s">
        <v>94</v>
      </c>
      <c r="AW263" s="12" t="s">
        <v>40</v>
      </c>
      <c r="AX263" s="12" t="s">
        <v>91</v>
      </c>
      <c r="AY263" s="146" t="s">
        <v>136</v>
      </c>
    </row>
    <row r="264" spans="2:65" s="1" customFormat="1" ht="16.5" customHeight="1">
      <c r="B264" s="31"/>
      <c r="C264" s="159" t="s">
        <v>415</v>
      </c>
      <c r="D264" s="159" t="s">
        <v>234</v>
      </c>
      <c r="E264" s="160" t="s">
        <v>416</v>
      </c>
      <c r="F264" s="161" t="s">
        <v>417</v>
      </c>
      <c r="G264" s="162" t="s">
        <v>276</v>
      </c>
      <c r="H264" s="163">
        <v>7</v>
      </c>
      <c r="I264" s="164"/>
      <c r="J264" s="165">
        <f>ROUND(I264*H264,2)</f>
        <v>0</v>
      </c>
      <c r="K264" s="161" t="s">
        <v>142</v>
      </c>
      <c r="L264" s="166"/>
      <c r="M264" s="167" t="s">
        <v>1</v>
      </c>
      <c r="N264" s="168" t="s">
        <v>48</v>
      </c>
      <c r="P264" s="140">
        <f>O264*H264</f>
        <v>0</v>
      </c>
      <c r="Q264" s="140">
        <v>6.8000000000000005E-2</v>
      </c>
      <c r="R264" s="140">
        <f>Q264*H264</f>
        <v>0.47600000000000003</v>
      </c>
      <c r="S264" s="140">
        <v>0</v>
      </c>
      <c r="T264" s="141">
        <f>S264*H264</f>
        <v>0</v>
      </c>
      <c r="AR264" s="142" t="s">
        <v>180</v>
      </c>
      <c r="AT264" s="142" t="s">
        <v>234</v>
      </c>
      <c r="AU264" s="142" t="s">
        <v>94</v>
      </c>
      <c r="AY264" s="15" t="s">
        <v>136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5" t="s">
        <v>91</v>
      </c>
      <c r="BK264" s="143">
        <f>ROUND(I264*H264,2)</f>
        <v>0</v>
      </c>
      <c r="BL264" s="15" t="s">
        <v>143</v>
      </c>
      <c r="BM264" s="142" t="s">
        <v>418</v>
      </c>
    </row>
    <row r="265" spans="2:65" s="12" customFormat="1">
      <c r="B265" s="144"/>
      <c r="D265" s="145" t="s">
        <v>145</v>
      </c>
      <c r="E265" s="146" t="s">
        <v>1</v>
      </c>
      <c r="F265" s="147" t="s">
        <v>175</v>
      </c>
      <c r="H265" s="148">
        <v>7</v>
      </c>
      <c r="I265" s="149"/>
      <c r="L265" s="144"/>
      <c r="M265" s="150"/>
      <c r="T265" s="151"/>
      <c r="AT265" s="146" t="s">
        <v>145</v>
      </c>
      <c r="AU265" s="146" t="s">
        <v>94</v>
      </c>
      <c r="AV265" s="12" t="s">
        <v>94</v>
      </c>
      <c r="AW265" s="12" t="s">
        <v>40</v>
      </c>
      <c r="AX265" s="12" t="s">
        <v>91</v>
      </c>
      <c r="AY265" s="146" t="s">
        <v>136</v>
      </c>
    </row>
    <row r="266" spans="2:65" s="1" customFormat="1" ht="16.5" customHeight="1">
      <c r="B266" s="31"/>
      <c r="C266" s="159" t="s">
        <v>419</v>
      </c>
      <c r="D266" s="159" t="s">
        <v>234</v>
      </c>
      <c r="E266" s="160" t="s">
        <v>420</v>
      </c>
      <c r="F266" s="161" t="s">
        <v>421</v>
      </c>
      <c r="G266" s="162" t="s">
        <v>276</v>
      </c>
      <c r="H266" s="163">
        <v>3</v>
      </c>
      <c r="I266" s="164"/>
      <c r="J266" s="165">
        <f>ROUND(I266*H266,2)</f>
        <v>0</v>
      </c>
      <c r="K266" s="161" t="s">
        <v>142</v>
      </c>
      <c r="L266" s="166"/>
      <c r="M266" s="167" t="s">
        <v>1</v>
      </c>
      <c r="N266" s="168" t="s">
        <v>48</v>
      </c>
      <c r="P266" s="140">
        <f>O266*H266</f>
        <v>0</v>
      </c>
      <c r="Q266" s="140">
        <v>8.1000000000000003E-2</v>
      </c>
      <c r="R266" s="140">
        <f>Q266*H266</f>
        <v>0.24299999999999999</v>
      </c>
      <c r="S266" s="140">
        <v>0</v>
      </c>
      <c r="T266" s="141">
        <f>S266*H266</f>
        <v>0</v>
      </c>
      <c r="AR266" s="142" t="s">
        <v>180</v>
      </c>
      <c r="AT266" s="142" t="s">
        <v>234</v>
      </c>
      <c r="AU266" s="142" t="s">
        <v>94</v>
      </c>
      <c r="AY266" s="15" t="s">
        <v>136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5" t="s">
        <v>91</v>
      </c>
      <c r="BK266" s="143">
        <f>ROUND(I266*H266,2)</f>
        <v>0</v>
      </c>
      <c r="BL266" s="15" t="s">
        <v>143</v>
      </c>
      <c r="BM266" s="142" t="s">
        <v>422</v>
      </c>
    </row>
    <row r="267" spans="2:65" s="12" customFormat="1">
      <c r="B267" s="144"/>
      <c r="D267" s="145" t="s">
        <v>145</v>
      </c>
      <c r="E267" s="146" t="s">
        <v>1</v>
      </c>
      <c r="F267" s="147" t="s">
        <v>153</v>
      </c>
      <c r="H267" s="148">
        <v>3</v>
      </c>
      <c r="I267" s="149"/>
      <c r="L267" s="144"/>
      <c r="M267" s="150"/>
      <c r="T267" s="151"/>
      <c r="AT267" s="146" t="s">
        <v>145</v>
      </c>
      <c r="AU267" s="146" t="s">
        <v>94</v>
      </c>
      <c r="AV267" s="12" t="s">
        <v>94</v>
      </c>
      <c r="AW267" s="12" t="s">
        <v>40</v>
      </c>
      <c r="AX267" s="12" t="s">
        <v>91</v>
      </c>
      <c r="AY267" s="146" t="s">
        <v>136</v>
      </c>
    </row>
    <row r="268" spans="2:65" s="1" customFormat="1" ht="16.5" customHeight="1">
      <c r="B268" s="31"/>
      <c r="C268" s="159" t="s">
        <v>423</v>
      </c>
      <c r="D268" s="159" t="s">
        <v>234</v>
      </c>
      <c r="E268" s="160" t="s">
        <v>424</v>
      </c>
      <c r="F268" s="161" t="s">
        <v>425</v>
      </c>
      <c r="G268" s="162" t="s">
        <v>276</v>
      </c>
      <c r="H268" s="163">
        <v>42</v>
      </c>
      <c r="I268" s="164"/>
      <c r="J268" s="165">
        <f>ROUND(I268*H268,2)</f>
        <v>0</v>
      </c>
      <c r="K268" s="161" t="s">
        <v>142</v>
      </c>
      <c r="L268" s="166"/>
      <c r="M268" s="167" t="s">
        <v>1</v>
      </c>
      <c r="N268" s="168" t="s">
        <v>48</v>
      </c>
      <c r="P268" s="140">
        <f>O268*H268</f>
        <v>0</v>
      </c>
      <c r="Q268" s="140">
        <v>2E-3</v>
      </c>
      <c r="R268" s="140">
        <f>Q268*H268</f>
        <v>8.4000000000000005E-2</v>
      </c>
      <c r="S268" s="140">
        <v>0</v>
      </c>
      <c r="T268" s="141">
        <f>S268*H268</f>
        <v>0</v>
      </c>
      <c r="AR268" s="142" t="s">
        <v>180</v>
      </c>
      <c r="AT268" s="142" t="s">
        <v>234</v>
      </c>
      <c r="AU268" s="142" t="s">
        <v>94</v>
      </c>
      <c r="AY268" s="15" t="s">
        <v>136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5" t="s">
        <v>91</v>
      </c>
      <c r="BK268" s="143">
        <f>ROUND(I268*H268,2)</f>
        <v>0</v>
      </c>
      <c r="BL268" s="15" t="s">
        <v>143</v>
      </c>
      <c r="BM268" s="142" t="s">
        <v>426</v>
      </c>
    </row>
    <row r="269" spans="2:65" s="12" customFormat="1">
      <c r="B269" s="144"/>
      <c r="D269" s="145" t="s">
        <v>145</v>
      </c>
      <c r="E269" s="146" t="s">
        <v>1</v>
      </c>
      <c r="F269" s="147" t="s">
        <v>353</v>
      </c>
      <c r="H269" s="148">
        <v>42</v>
      </c>
      <c r="I269" s="149"/>
      <c r="L269" s="144"/>
      <c r="M269" s="150"/>
      <c r="T269" s="151"/>
      <c r="AT269" s="146" t="s">
        <v>145</v>
      </c>
      <c r="AU269" s="146" t="s">
        <v>94</v>
      </c>
      <c r="AV269" s="12" t="s">
        <v>94</v>
      </c>
      <c r="AW269" s="12" t="s">
        <v>40</v>
      </c>
      <c r="AX269" s="12" t="s">
        <v>91</v>
      </c>
      <c r="AY269" s="146" t="s">
        <v>136</v>
      </c>
    </row>
    <row r="270" spans="2:65" s="1" customFormat="1" ht="16.5" customHeight="1">
      <c r="B270" s="31"/>
      <c r="C270" s="131" t="s">
        <v>427</v>
      </c>
      <c r="D270" s="131" t="s">
        <v>138</v>
      </c>
      <c r="E270" s="132" t="s">
        <v>428</v>
      </c>
      <c r="F270" s="133" t="s">
        <v>429</v>
      </c>
      <c r="G270" s="134" t="s">
        <v>276</v>
      </c>
      <c r="H270" s="135">
        <v>13</v>
      </c>
      <c r="I270" s="136"/>
      <c r="J270" s="137">
        <f>ROUND(I270*H270,2)</f>
        <v>0</v>
      </c>
      <c r="K270" s="133" t="s">
        <v>142</v>
      </c>
      <c r="L270" s="31"/>
      <c r="M270" s="138" t="s">
        <v>1</v>
      </c>
      <c r="N270" s="139" t="s">
        <v>48</v>
      </c>
      <c r="P270" s="140">
        <f>O270*H270</f>
        <v>0</v>
      </c>
      <c r="Q270" s="140">
        <v>0.21734000000000001</v>
      </c>
      <c r="R270" s="140">
        <f>Q270*H270</f>
        <v>2.8254200000000003</v>
      </c>
      <c r="S270" s="140">
        <v>0</v>
      </c>
      <c r="T270" s="141">
        <f>S270*H270</f>
        <v>0</v>
      </c>
      <c r="AR270" s="142" t="s">
        <v>143</v>
      </c>
      <c r="AT270" s="142" t="s">
        <v>138</v>
      </c>
      <c r="AU270" s="142" t="s">
        <v>94</v>
      </c>
      <c r="AY270" s="15" t="s">
        <v>136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5" t="s">
        <v>91</v>
      </c>
      <c r="BK270" s="143">
        <f>ROUND(I270*H270,2)</f>
        <v>0</v>
      </c>
      <c r="BL270" s="15" t="s">
        <v>143</v>
      </c>
      <c r="BM270" s="142" t="s">
        <v>430</v>
      </c>
    </row>
    <row r="271" spans="2:65" s="12" customFormat="1">
      <c r="B271" s="144"/>
      <c r="D271" s="145" t="s">
        <v>145</v>
      </c>
      <c r="E271" s="146" t="s">
        <v>1</v>
      </c>
      <c r="F271" s="147" t="s">
        <v>210</v>
      </c>
      <c r="H271" s="148">
        <v>13</v>
      </c>
      <c r="I271" s="149"/>
      <c r="L271" s="144"/>
      <c r="M271" s="150"/>
      <c r="T271" s="151"/>
      <c r="AT271" s="146" t="s">
        <v>145</v>
      </c>
      <c r="AU271" s="146" t="s">
        <v>94</v>
      </c>
      <c r="AV271" s="12" t="s">
        <v>94</v>
      </c>
      <c r="AW271" s="12" t="s">
        <v>40</v>
      </c>
      <c r="AX271" s="12" t="s">
        <v>91</v>
      </c>
      <c r="AY271" s="146" t="s">
        <v>136</v>
      </c>
    </row>
    <row r="272" spans="2:65" s="1" customFormat="1" ht="16.5" customHeight="1">
      <c r="B272" s="31"/>
      <c r="C272" s="159" t="s">
        <v>431</v>
      </c>
      <c r="D272" s="159" t="s">
        <v>234</v>
      </c>
      <c r="E272" s="160" t="s">
        <v>432</v>
      </c>
      <c r="F272" s="161" t="s">
        <v>433</v>
      </c>
      <c r="G272" s="162" t="s">
        <v>276</v>
      </c>
      <c r="H272" s="163">
        <v>13</v>
      </c>
      <c r="I272" s="164"/>
      <c r="J272" s="165">
        <f>ROUND(I272*H272,2)</f>
        <v>0</v>
      </c>
      <c r="K272" s="161" t="s">
        <v>142</v>
      </c>
      <c r="L272" s="166"/>
      <c r="M272" s="167" t="s">
        <v>1</v>
      </c>
      <c r="N272" s="168" t="s">
        <v>48</v>
      </c>
      <c r="P272" s="140">
        <f>O272*H272</f>
        <v>0</v>
      </c>
      <c r="Q272" s="140">
        <v>5.6300000000000003E-2</v>
      </c>
      <c r="R272" s="140">
        <f>Q272*H272</f>
        <v>0.7319</v>
      </c>
      <c r="S272" s="140">
        <v>0</v>
      </c>
      <c r="T272" s="141">
        <f>S272*H272</f>
        <v>0</v>
      </c>
      <c r="AR272" s="142" t="s">
        <v>180</v>
      </c>
      <c r="AT272" s="142" t="s">
        <v>234</v>
      </c>
      <c r="AU272" s="142" t="s">
        <v>94</v>
      </c>
      <c r="AY272" s="15" t="s">
        <v>136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5" t="s">
        <v>91</v>
      </c>
      <c r="BK272" s="143">
        <f>ROUND(I272*H272,2)</f>
        <v>0</v>
      </c>
      <c r="BL272" s="15" t="s">
        <v>143</v>
      </c>
      <c r="BM272" s="142" t="s">
        <v>434</v>
      </c>
    </row>
    <row r="273" spans="2:65" s="12" customFormat="1">
      <c r="B273" s="144"/>
      <c r="D273" s="145" t="s">
        <v>145</v>
      </c>
      <c r="E273" s="146" t="s">
        <v>1</v>
      </c>
      <c r="F273" s="147" t="s">
        <v>210</v>
      </c>
      <c r="H273" s="148">
        <v>13</v>
      </c>
      <c r="I273" s="149"/>
      <c r="L273" s="144"/>
      <c r="M273" s="150"/>
      <c r="T273" s="151"/>
      <c r="AT273" s="146" t="s">
        <v>145</v>
      </c>
      <c r="AU273" s="146" t="s">
        <v>94</v>
      </c>
      <c r="AV273" s="12" t="s">
        <v>94</v>
      </c>
      <c r="AW273" s="12" t="s">
        <v>40</v>
      </c>
      <c r="AX273" s="12" t="s">
        <v>91</v>
      </c>
      <c r="AY273" s="146" t="s">
        <v>136</v>
      </c>
    </row>
    <row r="274" spans="2:65" s="11" customFormat="1" ht="22.9" customHeight="1">
      <c r="B274" s="119"/>
      <c r="D274" s="120" t="s">
        <v>82</v>
      </c>
      <c r="E274" s="129" t="s">
        <v>186</v>
      </c>
      <c r="F274" s="129" t="s">
        <v>435</v>
      </c>
      <c r="I274" s="122"/>
      <c r="J274" s="130">
        <f>BK274</f>
        <v>0</v>
      </c>
      <c r="L274" s="119"/>
      <c r="M274" s="124"/>
      <c r="P274" s="125">
        <f>P275+SUM(P276:P279)</f>
        <v>0</v>
      </c>
      <c r="R274" s="125">
        <f>R275+SUM(R276:R279)</f>
        <v>1.7873E-2</v>
      </c>
      <c r="T274" s="126">
        <f>T275+SUM(T276:T279)</f>
        <v>0</v>
      </c>
      <c r="AR274" s="120" t="s">
        <v>91</v>
      </c>
      <c r="AT274" s="127" t="s">
        <v>82</v>
      </c>
      <c r="AU274" s="127" t="s">
        <v>91</v>
      </c>
      <c r="AY274" s="120" t="s">
        <v>136</v>
      </c>
      <c r="BK274" s="128">
        <f>BK275+SUM(BK276:BK279)</f>
        <v>0</v>
      </c>
    </row>
    <row r="275" spans="2:65" s="1" customFormat="1" ht="21.75" customHeight="1">
      <c r="B275" s="31"/>
      <c r="C275" s="131" t="s">
        <v>436</v>
      </c>
      <c r="D275" s="131" t="s">
        <v>138</v>
      </c>
      <c r="E275" s="132" t="s">
        <v>437</v>
      </c>
      <c r="F275" s="133" t="s">
        <v>438</v>
      </c>
      <c r="G275" s="134" t="s">
        <v>172</v>
      </c>
      <c r="H275" s="135">
        <v>29.3</v>
      </c>
      <c r="I275" s="136"/>
      <c r="J275" s="137">
        <f>ROUND(I275*H275,2)</f>
        <v>0</v>
      </c>
      <c r="K275" s="133" t="s">
        <v>142</v>
      </c>
      <c r="L275" s="31"/>
      <c r="M275" s="138" t="s">
        <v>1</v>
      </c>
      <c r="N275" s="139" t="s">
        <v>48</v>
      </c>
      <c r="P275" s="140">
        <f>O275*H275</f>
        <v>0</v>
      </c>
      <c r="Q275" s="140">
        <v>6.0999999999999997E-4</v>
      </c>
      <c r="R275" s="140">
        <f>Q275*H275</f>
        <v>1.7873E-2</v>
      </c>
      <c r="S275" s="140">
        <v>0</v>
      </c>
      <c r="T275" s="141">
        <f>S275*H275</f>
        <v>0</v>
      </c>
      <c r="AR275" s="142" t="s">
        <v>143</v>
      </c>
      <c r="AT275" s="142" t="s">
        <v>138</v>
      </c>
      <c r="AU275" s="142" t="s">
        <v>94</v>
      </c>
      <c r="AY275" s="15" t="s">
        <v>136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5" t="s">
        <v>91</v>
      </c>
      <c r="BK275" s="143">
        <f>ROUND(I275*H275,2)</f>
        <v>0</v>
      </c>
      <c r="BL275" s="15" t="s">
        <v>143</v>
      </c>
      <c r="BM275" s="142" t="s">
        <v>439</v>
      </c>
    </row>
    <row r="276" spans="2:65" s="12" customFormat="1">
      <c r="B276" s="144"/>
      <c r="D276" s="145" t="s">
        <v>145</v>
      </c>
      <c r="E276" s="146" t="s">
        <v>1</v>
      </c>
      <c r="F276" s="147" t="s">
        <v>440</v>
      </c>
      <c r="H276" s="148">
        <v>29.3</v>
      </c>
      <c r="I276" s="149"/>
      <c r="L276" s="144"/>
      <c r="M276" s="150"/>
      <c r="T276" s="151"/>
      <c r="AT276" s="146" t="s">
        <v>145</v>
      </c>
      <c r="AU276" s="146" t="s">
        <v>94</v>
      </c>
      <c r="AV276" s="12" t="s">
        <v>94</v>
      </c>
      <c r="AW276" s="12" t="s">
        <v>40</v>
      </c>
      <c r="AX276" s="12" t="s">
        <v>91</v>
      </c>
      <c r="AY276" s="146" t="s">
        <v>136</v>
      </c>
    </row>
    <row r="277" spans="2:65" s="1" customFormat="1" ht="16.5" customHeight="1">
      <c r="B277" s="31"/>
      <c r="C277" s="131" t="s">
        <v>441</v>
      </c>
      <c r="D277" s="131" t="s">
        <v>138</v>
      </c>
      <c r="E277" s="132" t="s">
        <v>442</v>
      </c>
      <c r="F277" s="133" t="s">
        <v>443</v>
      </c>
      <c r="G277" s="134" t="s">
        <v>172</v>
      </c>
      <c r="H277" s="135">
        <v>29.3</v>
      </c>
      <c r="I277" s="136"/>
      <c r="J277" s="137">
        <f>ROUND(I277*H277,2)</f>
        <v>0</v>
      </c>
      <c r="K277" s="133" t="s">
        <v>142</v>
      </c>
      <c r="L277" s="31"/>
      <c r="M277" s="138" t="s">
        <v>1</v>
      </c>
      <c r="N277" s="139" t="s">
        <v>48</v>
      </c>
      <c r="P277" s="140">
        <f>O277*H277</f>
        <v>0</v>
      </c>
      <c r="Q277" s="140">
        <v>0</v>
      </c>
      <c r="R277" s="140">
        <f>Q277*H277</f>
        <v>0</v>
      </c>
      <c r="S277" s="140">
        <v>0</v>
      </c>
      <c r="T277" s="141">
        <f>S277*H277</f>
        <v>0</v>
      </c>
      <c r="AR277" s="142" t="s">
        <v>143</v>
      </c>
      <c r="AT277" s="142" t="s">
        <v>138</v>
      </c>
      <c r="AU277" s="142" t="s">
        <v>94</v>
      </c>
      <c r="AY277" s="15" t="s">
        <v>136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5" t="s">
        <v>91</v>
      </c>
      <c r="BK277" s="143">
        <f>ROUND(I277*H277,2)</f>
        <v>0</v>
      </c>
      <c r="BL277" s="15" t="s">
        <v>143</v>
      </c>
      <c r="BM277" s="142" t="s">
        <v>444</v>
      </c>
    </row>
    <row r="278" spans="2:65" s="12" customFormat="1">
      <c r="B278" s="144"/>
      <c r="D278" s="145" t="s">
        <v>145</v>
      </c>
      <c r="E278" s="146" t="s">
        <v>1</v>
      </c>
      <c r="F278" s="147" t="s">
        <v>440</v>
      </c>
      <c r="H278" s="148">
        <v>29.3</v>
      </c>
      <c r="I278" s="149"/>
      <c r="L278" s="144"/>
      <c r="M278" s="150"/>
      <c r="T278" s="151"/>
      <c r="AT278" s="146" t="s">
        <v>145</v>
      </c>
      <c r="AU278" s="146" t="s">
        <v>94</v>
      </c>
      <c r="AV278" s="12" t="s">
        <v>94</v>
      </c>
      <c r="AW278" s="12" t="s">
        <v>40</v>
      </c>
      <c r="AX278" s="12" t="s">
        <v>91</v>
      </c>
      <c r="AY278" s="146" t="s">
        <v>136</v>
      </c>
    </row>
    <row r="279" spans="2:65" s="11" customFormat="1" ht="20.85" customHeight="1">
      <c r="B279" s="119"/>
      <c r="D279" s="120" t="s">
        <v>82</v>
      </c>
      <c r="E279" s="129" t="s">
        <v>445</v>
      </c>
      <c r="F279" s="129" t="s">
        <v>446</v>
      </c>
      <c r="I279" s="122"/>
      <c r="J279" s="130">
        <f>BK279</f>
        <v>0</v>
      </c>
      <c r="L279" s="119"/>
      <c r="M279" s="124"/>
      <c r="P279" s="125">
        <f>SUM(P280:P287)</f>
        <v>0</v>
      </c>
      <c r="R279" s="125">
        <f>SUM(R280:R287)</f>
        <v>0</v>
      </c>
      <c r="T279" s="126">
        <f>SUM(T280:T287)</f>
        <v>0</v>
      </c>
      <c r="AR279" s="120" t="s">
        <v>91</v>
      </c>
      <c r="AT279" s="127" t="s">
        <v>82</v>
      </c>
      <c r="AU279" s="127" t="s">
        <v>94</v>
      </c>
      <c r="AY279" s="120" t="s">
        <v>136</v>
      </c>
      <c r="BK279" s="128">
        <f>SUM(BK280:BK287)</f>
        <v>0</v>
      </c>
    </row>
    <row r="280" spans="2:65" s="1" customFormat="1" ht="16.5" customHeight="1">
      <c r="B280" s="31"/>
      <c r="C280" s="131" t="s">
        <v>447</v>
      </c>
      <c r="D280" s="131" t="s">
        <v>138</v>
      </c>
      <c r="E280" s="132" t="s">
        <v>448</v>
      </c>
      <c r="F280" s="133" t="s">
        <v>449</v>
      </c>
      <c r="G280" s="134" t="s">
        <v>222</v>
      </c>
      <c r="H280" s="135">
        <v>269.30799999999999</v>
      </c>
      <c r="I280" s="136"/>
      <c r="J280" s="137">
        <f>ROUND(I280*H280,2)</f>
        <v>0</v>
      </c>
      <c r="K280" s="133" t="s">
        <v>142</v>
      </c>
      <c r="L280" s="31"/>
      <c r="M280" s="138" t="s">
        <v>1</v>
      </c>
      <c r="N280" s="139" t="s">
        <v>48</v>
      </c>
      <c r="P280" s="140">
        <f>O280*H280</f>
        <v>0</v>
      </c>
      <c r="Q280" s="140">
        <v>0</v>
      </c>
      <c r="R280" s="140">
        <f>Q280*H280</f>
        <v>0</v>
      </c>
      <c r="S280" s="140">
        <v>0</v>
      </c>
      <c r="T280" s="141">
        <f>S280*H280</f>
        <v>0</v>
      </c>
      <c r="AR280" s="142" t="s">
        <v>143</v>
      </c>
      <c r="AT280" s="142" t="s">
        <v>138</v>
      </c>
      <c r="AU280" s="142" t="s">
        <v>153</v>
      </c>
      <c r="AY280" s="15" t="s">
        <v>136</v>
      </c>
      <c r="BE280" s="143">
        <f>IF(N280="základní",J280,0)</f>
        <v>0</v>
      </c>
      <c r="BF280" s="143">
        <f>IF(N280="snížená",J280,0)</f>
        <v>0</v>
      </c>
      <c r="BG280" s="143">
        <f>IF(N280="zákl. přenesená",J280,0)</f>
        <v>0</v>
      </c>
      <c r="BH280" s="143">
        <f>IF(N280="sníž. přenesená",J280,0)</f>
        <v>0</v>
      </c>
      <c r="BI280" s="143">
        <f>IF(N280="nulová",J280,0)</f>
        <v>0</v>
      </c>
      <c r="BJ280" s="15" t="s">
        <v>91</v>
      </c>
      <c r="BK280" s="143">
        <f>ROUND(I280*H280,2)</f>
        <v>0</v>
      </c>
      <c r="BL280" s="15" t="s">
        <v>143</v>
      </c>
      <c r="BM280" s="142" t="s">
        <v>450</v>
      </c>
    </row>
    <row r="281" spans="2:65" s="12" customFormat="1">
      <c r="B281" s="144"/>
      <c r="D281" s="145" t="s">
        <v>145</v>
      </c>
      <c r="E281" s="146" t="s">
        <v>1</v>
      </c>
      <c r="F281" s="147" t="s">
        <v>451</v>
      </c>
      <c r="H281" s="148">
        <v>18.928000000000001</v>
      </c>
      <c r="I281" s="149"/>
      <c r="L281" s="144"/>
      <c r="M281" s="150"/>
      <c r="T281" s="151"/>
      <c r="AT281" s="146" t="s">
        <v>145</v>
      </c>
      <c r="AU281" s="146" t="s">
        <v>153</v>
      </c>
      <c r="AV281" s="12" t="s">
        <v>94</v>
      </c>
      <c r="AW281" s="12" t="s">
        <v>40</v>
      </c>
      <c r="AX281" s="12" t="s">
        <v>83</v>
      </c>
      <c r="AY281" s="146" t="s">
        <v>136</v>
      </c>
    </row>
    <row r="282" spans="2:65" s="12" customFormat="1">
      <c r="B282" s="144"/>
      <c r="D282" s="145" t="s">
        <v>145</v>
      </c>
      <c r="E282" s="146" t="s">
        <v>1</v>
      </c>
      <c r="F282" s="147" t="s">
        <v>452</v>
      </c>
      <c r="H282" s="148">
        <v>250.38</v>
      </c>
      <c r="I282" s="149"/>
      <c r="L282" s="144"/>
      <c r="M282" s="150"/>
      <c r="T282" s="151"/>
      <c r="AT282" s="146" t="s">
        <v>145</v>
      </c>
      <c r="AU282" s="146" t="s">
        <v>153</v>
      </c>
      <c r="AV282" s="12" t="s">
        <v>94</v>
      </c>
      <c r="AW282" s="12" t="s">
        <v>40</v>
      </c>
      <c r="AX282" s="12" t="s">
        <v>83</v>
      </c>
      <c r="AY282" s="146" t="s">
        <v>136</v>
      </c>
    </row>
    <row r="283" spans="2:65" s="13" customFormat="1">
      <c r="B283" s="152"/>
      <c r="D283" s="145" t="s">
        <v>145</v>
      </c>
      <c r="E283" s="153" t="s">
        <v>1</v>
      </c>
      <c r="F283" s="154" t="s">
        <v>148</v>
      </c>
      <c r="H283" s="155">
        <v>269.30799999999999</v>
      </c>
      <c r="I283" s="156"/>
      <c r="L283" s="152"/>
      <c r="M283" s="157"/>
      <c r="T283" s="158"/>
      <c r="AT283" s="153" t="s">
        <v>145</v>
      </c>
      <c r="AU283" s="153" t="s">
        <v>153</v>
      </c>
      <c r="AV283" s="13" t="s">
        <v>143</v>
      </c>
      <c r="AW283" s="13" t="s">
        <v>40</v>
      </c>
      <c r="AX283" s="13" t="s">
        <v>91</v>
      </c>
      <c r="AY283" s="153" t="s">
        <v>136</v>
      </c>
    </row>
    <row r="284" spans="2:65" s="1" customFormat="1" ht="16.5" customHeight="1">
      <c r="B284" s="31"/>
      <c r="C284" s="131" t="s">
        <v>453</v>
      </c>
      <c r="D284" s="131" t="s">
        <v>138</v>
      </c>
      <c r="E284" s="132" t="s">
        <v>454</v>
      </c>
      <c r="F284" s="133" t="s">
        <v>455</v>
      </c>
      <c r="G284" s="134" t="s">
        <v>222</v>
      </c>
      <c r="H284" s="135">
        <v>269.30799999999999</v>
      </c>
      <c r="I284" s="136"/>
      <c r="J284" s="137">
        <f>ROUND(I284*H284,2)</f>
        <v>0</v>
      </c>
      <c r="K284" s="133" t="s">
        <v>142</v>
      </c>
      <c r="L284" s="31"/>
      <c r="M284" s="138" t="s">
        <v>1</v>
      </c>
      <c r="N284" s="139" t="s">
        <v>48</v>
      </c>
      <c r="P284" s="140">
        <f>O284*H284</f>
        <v>0</v>
      </c>
      <c r="Q284" s="140">
        <v>0</v>
      </c>
      <c r="R284" s="140">
        <f>Q284*H284</f>
        <v>0</v>
      </c>
      <c r="S284" s="140">
        <v>0</v>
      </c>
      <c r="T284" s="141">
        <f>S284*H284</f>
        <v>0</v>
      </c>
      <c r="AR284" s="142" t="s">
        <v>143</v>
      </c>
      <c r="AT284" s="142" t="s">
        <v>138</v>
      </c>
      <c r="AU284" s="142" t="s">
        <v>153</v>
      </c>
      <c r="AY284" s="15" t="s">
        <v>136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5" t="s">
        <v>91</v>
      </c>
      <c r="BK284" s="143">
        <f>ROUND(I284*H284,2)</f>
        <v>0</v>
      </c>
      <c r="BL284" s="15" t="s">
        <v>143</v>
      </c>
      <c r="BM284" s="142" t="s">
        <v>456</v>
      </c>
    </row>
    <row r="285" spans="2:65" s="12" customFormat="1">
      <c r="B285" s="144"/>
      <c r="D285" s="145" t="s">
        <v>145</v>
      </c>
      <c r="E285" s="146" t="s">
        <v>1</v>
      </c>
      <c r="F285" s="147" t="s">
        <v>457</v>
      </c>
      <c r="H285" s="148">
        <v>269.30799999999999</v>
      </c>
      <c r="I285" s="149"/>
      <c r="L285" s="144"/>
      <c r="M285" s="150"/>
      <c r="T285" s="151"/>
      <c r="AT285" s="146" t="s">
        <v>145</v>
      </c>
      <c r="AU285" s="146" t="s">
        <v>153</v>
      </c>
      <c r="AV285" s="12" t="s">
        <v>94</v>
      </c>
      <c r="AW285" s="12" t="s">
        <v>40</v>
      </c>
      <c r="AX285" s="12" t="s">
        <v>91</v>
      </c>
      <c r="AY285" s="146" t="s">
        <v>136</v>
      </c>
    </row>
    <row r="286" spans="2:65" s="1" customFormat="1" ht="16.5" customHeight="1">
      <c r="B286" s="31"/>
      <c r="C286" s="131" t="s">
        <v>458</v>
      </c>
      <c r="D286" s="131" t="s">
        <v>138</v>
      </c>
      <c r="E286" s="132" t="s">
        <v>459</v>
      </c>
      <c r="F286" s="133" t="s">
        <v>460</v>
      </c>
      <c r="G286" s="134" t="s">
        <v>222</v>
      </c>
      <c r="H286" s="135">
        <v>2423.7719999999999</v>
      </c>
      <c r="I286" s="136"/>
      <c r="J286" s="137">
        <f>ROUND(I286*H286,2)</f>
        <v>0</v>
      </c>
      <c r="K286" s="133" t="s">
        <v>142</v>
      </c>
      <c r="L286" s="31"/>
      <c r="M286" s="138" t="s">
        <v>1</v>
      </c>
      <c r="N286" s="139" t="s">
        <v>48</v>
      </c>
      <c r="P286" s="140">
        <f>O286*H286</f>
        <v>0</v>
      </c>
      <c r="Q286" s="140">
        <v>0</v>
      </c>
      <c r="R286" s="140">
        <f>Q286*H286</f>
        <v>0</v>
      </c>
      <c r="S286" s="140">
        <v>0</v>
      </c>
      <c r="T286" s="141">
        <f>S286*H286</f>
        <v>0</v>
      </c>
      <c r="AR286" s="142" t="s">
        <v>143</v>
      </c>
      <c r="AT286" s="142" t="s">
        <v>138</v>
      </c>
      <c r="AU286" s="142" t="s">
        <v>153</v>
      </c>
      <c r="AY286" s="15" t="s">
        <v>136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5" t="s">
        <v>91</v>
      </c>
      <c r="BK286" s="143">
        <f>ROUND(I286*H286,2)</f>
        <v>0</v>
      </c>
      <c r="BL286" s="15" t="s">
        <v>143</v>
      </c>
      <c r="BM286" s="142" t="s">
        <v>461</v>
      </c>
    </row>
    <row r="287" spans="2:65" s="12" customFormat="1">
      <c r="B287" s="144"/>
      <c r="D287" s="145" t="s">
        <v>145</v>
      </c>
      <c r="E287" s="146" t="s">
        <v>1</v>
      </c>
      <c r="F287" s="147" t="s">
        <v>462</v>
      </c>
      <c r="H287" s="148">
        <v>2423.7719999999999</v>
      </c>
      <c r="I287" s="149"/>
      <c r="L287" s="144"/>
      <c r="M287" s="150"/>
      <c r="T287" s="151"/>
      <c r="AT287" s="146" t="s">
        <v>145</v>
      </c>
      <c r="AU287" s="146" t="s">
        <v>153</v>
      </c>
      <c r="AV287" s="12" t="s">
        <v>94</v>
      </c>
      <c r="AW287" s="12" t="s">
        <v>40</v>
      </c>
      <c r="AX287" s="12" t="s">
        <v>91</v>
      </c>
      <c r="AY287" s="146" t="s">
        <v>136</v>
      </c>
    </row>
    <row r="288" spans="2:65" s="11" customFormat="1" ht="22.9" customHeight="1">
      <c r="B288" s="119"/>
      <c r="D288" s="120" t="s">
        <v>82</v>
      </c>
      <c r="E288" s="129" t="s">
        <v>463</v>
      </c>
      <c r="F288" s="129" t="s">
        <v>464</v>
      </c>
      <c r="I288" s="122"/>
      <c r="J288" s="130">
        <f>BK288</f>
        <v>0</v>
      </c>
      <c r="L288" s="119"/>
      <c r="M288" s="124"/>
      <c r="P288" s="125">
        <f>SUM(P289:P292)</f>
        <v>0</v>
      </c>
      <c r="R288" s="125">
        <f>SUM(R289:R292)</f>
        <v>0</v>
      </c>
      <c r="T288" s="126">
        <f>SUM(T289:T292)</f>
        <v>0</v>
      </c>
      <c r="AR288" s="120" t="s">
        <v>91</v>
      </c>
      <c r="AT288" s="127" t="s">
        <v>82</v>
      </c>
      <c r="AU288" s="127" t="s">
        <v>91</v>
      </c>
      <c r="AY288" s="120" t="s">
        <v>136</v>
      </c>
      <c r="BK288" s="128">
        <f>SUM(BK289:BK292)</f>
        <v>0</v>
      </c>
    </row>
    <row r="289" spans="2:65" s="1" customFormat="1" ht="24.2" customHeight="1">
      <c r="B289" s="31"/>
      <c r="C289" s="131" t="s">
        <v>465</v>
      </c>
      <c r="D289" s="131" t="s">
        <v>138</v>
      </c>
      <c r="E289" s="132" t="s">
        <v>466</v>
      </c>
      <c r="F289" s="133" t="s">
        <v>467</v>
      </c>
      <c r="G289" s="134" t="s">
        <v>222</v>
      </c>
      <c r="H289" s="135">
        <v>250.38</v>
      </c>
      <c r="I289" s="136"/>
      <c r="J289" s="137">
        <f>ROUND(I289*H289,2)</f>
        <v>0</v>
      </c>
      <c r="K289" s="133" t="s">
        <v>142</v>
      </c>
      <c r="L289" s="31"/>
      <c r="M289" s="138" t="s">
        <v>1</v>
      </c>
      <c r="N289" s="139" t="s">
        <v>48</v>
      </c>
      <c r="P289" s="140">
        <f>O289*H289</f>
        <v>0</v>
      </c>
      <c r="Q289" s="140">
        <v>0</v>
      </c>
      <c r="R289" s="140">
        <f>Q289*H289</f>
        <v>0</v>
      </c>
      <c r="S289" s="140">
        <v>0</v>
      </c>
      <c r="T289" s="141">
        <f>S289*H289</f>
        <v>0</v>
      </c>
      <c r="AR289" s="142" t="s">
        <v>143</v>
      </c>
      <c r="AT289" s="142" t="s">
        <v>138</v>
      </c>
      <c r="AU289" s="142" t="s">
        <v>94</v>
      </c>
      <c r="AY289" s="15" t="s">
        <v>136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5" t="s">
        <v>91</v>
      </c>
      <c r="BK289" s="143">
        <f>ROUND(I289*H289,2)</f>
        <v>0</v>
      </c>
      <c r="BL289" s="15" t="s">
        <v>143</v>
      </c>
      <c r="BM289" s="142" t="s">
        <v>468</v>
      </c>
    </row>
    <row r="290" spans="2:65" s="12" customFormat="1">
      <c r="B290" s="144"/>
      <c r="D290" s="145" t="s">
        <v>145</v>
      </c>
      <c r="E290" s="146" t="s">
        <v>1</v>
      </c>
      <c r="F290" s="147" t="s">
        <v>452</v>
      </c>
      <c r="H290" s="148">
        <v>250.38</v>
      </c>
      <c r="I290" s="149"/>
      <c r="L290" s="144"/>
      <c r="M290" s="150"/>
      <c r="T290" s="151"/>
      <c r="AT290" s="146" t="s">
        <v>145</v>
      </c>
      <c r="AU290" s="146" t="s">
        <v>94</v>
      </c>
      <c r="AV290" s="12" t="s">
        <v>94</v>
      </c>
      <c r="AW290" s="12" t="s">
        <v>40</v>
      </c>
      <c r="AX290" s="12" t="s">
        <v>91</v>
      </c>
      <c r="AY290" s="146" t="s">
        <v>136</v>
      </c>
    </row>
    <row r="291" spans="2:65" s="1" customFormat="1" ht="24.2" customHeight="1">
      <c r="B291" s="31"/>
      <c r="C291" s="131" t="s">
        <v>469</v>
      </c>
      <c r="D291" s="131" t="s">
        <v>138</v>
      </c>
      <c r="E291" s="132" t="s">
        <v>470</v>
      </c>
      <c r="F291" s="133" t="s">
        <v>471</v>
      </c>
      <c r="G291" s="134" t="s">
        <v>222</v>
      </c>
      <c r="H291" s="135">
        <v>18.928000000000001</v>
      </c>
      <c r="I291" s="136"/>
      <c r="J291" s="137">
        <f>ROUND(I291*H291,2)</f>
        <v>0</v>
      </c>
      <c r="K291" s="133" t="s">
        <v>142</v>
      </c>
      <c r="L291" s="31"/>
      <c r="M291" s="138" t="s">
        <v>1</v>
      </c>
      <c r="N291" s="139" t="s">
        <v>48</v>
      </c>
      <c r="P291" s="140">
        <f>O291*H291</f>
        <v>0</v>
      </c>
      <c r="Q291" s="140">
        <v>0</v>
      </c>
      <c r="R291" s="140">
        <f>Q291*H291</f>
        <v>0</v>
      </c>
      <c r="S291" s="140">
        <v>0</v>
      </c>
      <c r="T291" s="141">
        <f>S291*H291</f>
        <v>0</v>
      </c>
      <c r="AR291" s="142" t="s">
        <v>143</v>
      </c>
      <c r="AT291" s="142" t="s">
        <v>138</v>
      </c>
      <c r="AU291" s="142" t="s">
        <v>94</v>
      </c>
      <c r="AY291" s="15" t="s">
        <v>136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5" t="s">
        <v>91</v>
      </c>
      <c r="BK291" s="143">
        <f>ROUND(I291*H291,2)</f>
        <v>0</v>
      </c>
      <c r="BL291" s="15" t="s">
        <v>143</v>
      </c>
      <c r="BM291" s="142" t="s">
        <v>472</v>
      </c>
    </row>
    <row r="292" spans="2:65" s="12" customFormat="1">
      <c r="B292" s="144"/>
      <c r="D292" s="145" t="s">
        <v>145</v>
      </c>
      <c r="E292" s="146" t="s">
        <v>1</v>
      </c>
      <c r="F292" s="147" t="s">
        <v>451</v>
      </c>
      <c r="H292" s="148">
        <v>18.928000000000001</v>
      </c>
      <c r="I292" s="149"/>
      <c r="L292" s="144"/>
      <c r="M292" s="150"/>
      <c r="T292" s="151"/>
      <c r="AT292" s="146" t="s">
        <v>145</v>
      </c>
      <c r="AU292" s="146" t="s">
        <v>94</v>
      </c>
      <c r="AV292" s="12" t="s">
        <v>94</v>
      </c>
      <c r="AW292" s="12" t="s">
        <v>40</v>
      </c>
      <c r="AX292" s="12" t="s">
        <v>91</v>
      </c>
      <c r="AY292" s="146" t="s">
        <v>136</v>
      </c>
    </row>
    <row r="293" spans="2:65" s="11" customFormat="1" ht="22.9" customHeight="1">
      <c r="B293" s="119"/>
      <c r="D293" s="120" t="s">
        <v>82</v>
      </c>
      <c r="E293" s="129" t="s">
        <v>473</v>
      </c>
      <c r="F293" s="129" t="s">
        <v>446</v>
      </c>
      <c r="I293" s="122"/>
      <c r="J293" s="130">
        <f>BK293</f>
        <v>0</v>
      </c>
      <c r="L293" s="119"/>
      <c r="M293" s="124"/>
      <c r="P293" s="125">
        <f>P294</f>
        <v>0</v>
      </c>
      <c r="R293" s="125">
        <f>R294</f>
        <v>0</v>
      </c>
      <c r="T293" s="126">
        <f>T294</f>
        <v>0</v>
      </c>
      <c r="AR293" s="120" t="s">
        <v>91</v>
      </c>
      <c r="AT293" s="127" t="s">
        <v>82</v>
      </c>
      <c r="AU293" s="127" t="s">
        <v>91</v>
      </c>
      <c r="AY293" s="120" t="s">
        <v>136</v>
      </c>
      <c r="BK293" s="128">
        <f>BK294</f>
        <v>0</v>
      </c>
    </row>
    <row r="294" spans="2:65" s="1" customFormat="1" ht="16.5" customHeight="1">
      <c r="B294" s="31"/>
      <c r="C294" s="131" t="s">
        <v>474</v>
      </c>
      <c r="D294" s="131" t="s">
        <v>138</v>
      </c>
      <c r="E294" s="132" t="s">
        <v>475</v>
      </c>
      <c r="F294" s="133" t="s">
        <v>476</v>
      </c>
      <c r="G294" s="134" t="s">
        <v>222</v>
      </c>
      <c r="H294" s="135">
        <v>2807.01</v>
      </c>
      <c r="I294" s="136"/>
      <c r="J294" s="137">
        <f>ROUND(I294*H294,2)</f>
        <v>0</v>
      </c>
      <c r="K294" s="133" t="s">
        <v>142</v>
      </c>
      <c r="L294" s="31"/>
      <c r="M294" s="169" t="s">
        <v>1</v>
      </c>
      <c r="N294" s="170" t="s">
        <v>48</v>
      </c>
      <c r="O294" s="171"/>
      <c r="P294" s="172">
        <f>O294*H294</f>
        <v>0</v>
      </c>
      <c r="Q294" s="172">
        <v>0</v>
      </c>
      <c r="R294" s="172">
        <f>Q294*H294</f>
        <v>0</v>
      </c>
      <c r="S294" s="172">
        <v>0</v>
      </c>
      <c r="T294" s="173">
        <f>S294*H294</f>
        <v>0</v>
      </c>
      <c r="AR294" s="142" t="s">
        <v>143</v>
      </c>
      <c r="AT294" s="142" t="s">
        <v>138</v>
      </c>
      <c r="AU294" s="142" t="s">
        <v>94</v>
      </c>
      <c r="AY294" s="15" t="s">
        <v>136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5" t="s">
        <v>91</v>
      </c>
      <c r="BK294" s="143">
        <f>ROUND(I294*H294,2)</f>
        <v>0</v>
      </c>
      <c r="BL294" s="15" t="s">
        <v>143</v>
      </c>
      <c r="BM294" s="142" t="s">
        <v>477</v>
      </c>
    </row>
    <row r="295" spans="2:65" s="1" customFormat="1" ht="6.95" customHeight="1">
      <c r="B295" s="42"/>
      <c r="C295" s="43"/>
      <c r="D295" s="43"/>
      <c r="E295" s="43"/>
      <c r="F295" s="43"/>
      <c r="G295" s="43"/>
      <c r="H295" s="43"/>
      <c r="I295" s="43"/>
      <c r="J295" s="43"/>
      <c r="K295" s="43"/>
      <c r="L295" s="31"/>
    </row>
  </sheetData>
  <sheetProtection password="CCA7" sheet="1" objects="1" scenarios="1" formatColumns="0" formatRows="0" autoFilter="0"/>
  <autoFilter ref="C124:K294" xr:uid="{00000000-0009-0000-0000-000001000000}"/>
  <mergeCells count="9">
    <mergeCell ref="E86:H86"/>
    <mergeCell ref="E115:H115"/>
    <mergeCell ref="E117:H117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30"/>
  <sheetViews>
    <sheetView showGridLines="0" workbookViewId="0">
      <selection activeCell="V249" sqref="V24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97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94</v>
      </c>
    </row>
    <row r="4" spans="2:46" ht="24.95" customHeight="1">
      <c r="B4" s="18"/>
      <c r="D4" s="19" t="s">
        <v>102</v>
      </c>
      <c r="L4" s="18"/>
      <c r="M4" s="85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57" t="str">
        <f>'Rekapitulace stavby'!K6</f>
        <v>PODIVÍN – ul. Hřbitovní, dopravní a technická infrastruktura, SO 301 – KANALIZACE, SO 302 - VODOVOD</v>
      </c>
      <c r="F7" s="258"/>
      <c r="G7" s="258"/>
      <c r="H7" s="258"/>
      <c r="L7" s="18"/>
    </row>
    <row r="8" spans="2:46" s="1" customFormat="1" ht="12" customHeight="1">
      <c r="B8" s="31"/>
      <c r="D8" s="25" t="s">
        <v>103</v>
      </c>
      <c r="L8" s="31"/>
    </row>
    <row r="9" spans="2:46" s="1" customFormat="1" ht="16.5" customHeight="1">
      <c r="B9" s="31"/>
      <c r="E9" s="243" t="s">
        <v>478</v>
      </c>
      <c r="F9" s="256"/>
      <c r="G9" s="256"/>
      <c r="H9" s="25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5" t="s">
        <v>18</v>
      </c>
      <c r="F11" s="23" t="s">
        <v>98</v>
      </c>
      <c r="I11" s="25" t="s">
        <v>20</v>
      </c>
      <c r="J11" s="23" t="s">
        <v>479</v>
      </c>
      <c r="L11" s="31"/>
    </row>
    <row r="12" spans="2:46" s="1" customFormat="1" ht="12" customHeight="1">
      <c r="B12" s="31"/>
      <c r="D12" s="25" t="s">
        <v>22</v>
      </c>
      <c r="F12" s="23" t="s">
        <v>23</v>
      </c>
      <c r="I12" s="25" t="s">
        <v>24</v>
      </c>
      <c r="J12" s="50" t="str">
        <f>'Rekapitulace stavby'!AN8</f>
        <v>10. 11. 2025</v>
      </c>
      <c r="L12" s="31"/>
    </row>
    <row r="13" spans="2:46" s="1" customFormat="1" ht="21.75" customHeight="1">
      <c r="B13" s="31"/>
      <c r="D13" s="22" t="s">
        <v>26</v>
      </c>
      <c r="F13" s="27" t="s">
        <v>27</v>
      </c>
      <c r="I13" s="22" t="s">
        <v>28</v>
      </c>
      <c r="J13" s="27" t="s">
        <v>29</v>
      </c>
      <c r="L13" s="31"/>
    </row>
    <row r="14" spans="2:46" s="1" customFormat="1" ht="12" customHeight="1">
      <c r="B14" s="31"/>
      <c r="D14" s="25" t="s">
        <v>30</v>
      </c>
      <c r="I14" s="25" t="s">
        <v>31</v>
      </c>
      <c r="J14" s="23" t="s">
        <v>32</v>
      </c>
      <c r="L14" s="31"/>
    </row>
    <row r="15" spans="2:46" s="1" customFormat="1" ht="18" customHeight="1">
      <c r="B15" s="31"/>
      <c r="E15" s="23" t="s">
        <v>33</v>
      </c>
      <c r="I15" s="25" t="s">
        <v>34</v>
      </c>
      <c r="J15" s="23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5" t="s">
        <v>35</v>
      </c>
      <c r="I17" s="25" t="s">
        <v>31</v>
      </c>
      <c r="J17" s="26" t="str">
        <f>'Rekapitulace stavby'!AN13</f>
        <v>Vyplň údaj</v>
      </c>
      <c r="L17" s="31"/>
    </row>
    <row r="18" spans="2:12" s="1" customFormat="1" ht="18" customHeight="1">
      <c r="B18" s="31"/>
      <c r="E18" s="259" t="str">
        <f>'Rekapitulace stavby'!E14</f>
        <v>Vyplň údaj</v>
      </c>
      <c r="F18" s="225"/>
      <c r="G18" s="225"/>
      <c r="H18" s="225"/>
      <c r="I18" s="25" t="s">
        <v>34</v>
      </c>
      <c r="J18" s="26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5" t="s">
        <v>37</v>
      </c>
      <c r="I20" s="25" t="s">
        <v>31</v>
      </c>
      <c r="J20" s="23" t="s">
        <v>38</v>
      </c>
      <c r="L20" s="31"/>
    </row>
    <row r="21" spans="2:12" s="1" customFormat="1" ht="18" customHeight="1">
      <c r="B21" s="31"/>
      <c r="E21" s="23" t="s">
        <v>39</v>
      </c>
      <c r="I21" s="25" t="s">
        <v>34</v>
      </c>
      <c r="J21" s="23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5" t="s">
        <v>41</v>
      </c>
      <c r="I23" s="25" t="s">
        <v>31</v>
      </c>
      <c r="J23" s="23" t="s">
        <v>38</v>
      </c>
      <c r="L23" s="31"/>
    </row>
    <row r="24" spans="2:12" s="1" customFormat="1" ht="18" customHeight="1">
      <c r="B24" s="31"/>
      <c r="E24" s="23" t="s">
        <v>39</v>
      </c>
      <c r="I24" s="25" t="s">
        <v>34</v>
      </c>
      <c r="J24" s="23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5" t="s">
        <v>42</v>
      </c>
      <c r="L26" s="31"/>
    </row>
    <row r="27" spans="2:12" s="7" customFormat="1" ht="16.5" customHeight="1">
      <c r="B27" s="86"/>
      <c r="E27" s="229" t="s">
        <v>1</v>
      </c>
      <c r="F27" s="229"/>
      <c r="G27" s="229"/>
      <c r="H27" s="229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35" customHeight="1">
      <c r="B30" s="31"/>
      <c r="D30" s="87" t="s">
        <v>43</v>
      </c>
      <c r="J30" s="63">
        <f>ROUND(J127,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45</v>
      </c>
      <c r="I32" s="88" t="s">
        <v>44</v>
      </c>
      <c r="J32" s="88" t="s">
        <v>46</v>
      </c>
      <c r="L32" s="31"/>
    </row>
    <row r="33" spans="2:12" s="1" customFormat="1" ht="14.45" customHeight="1">
      <c r="B33" s="31"/>
      <c r="D33" s="89" t="s">
        <v>47</v>
      </c>
      <c r="E33" s="25" t="s">
        <v>48</v>
      </c>
      <c r="F33" s="90">
        <f>ROUND((SUM(BE127:BE329)),  2)</f>
        <v>0</v>
      </c>
      <c r="I33" s="91">
        <v>0.21</v>
      </c>
      <c r="J33" s="90">
        <f>ROUND(((SUM(BE127:BE329))*I33),  2)</f>
        <v>0</v>
      </c>
      <c r="L33" s="31"/>
    </row>
    <row r="34" spans="2:12" s="1" customFormat="1" ht="14.45" customHeight="1">
      <c r="B34" s="31"/>
      <c r="E34" s="25" t="s">
        <v>49</v>
      </c>
      <c r="F34" s="90">
        <f>ROUND((SUM(BF127:BF329)),  2)</f>
        <v>0</v>
      </c>
      <c r="I34" s="91">
        <v>0.12</v>
      </c>
      <c r="J34" s="90">
        <f>ROUND(((SUM(BF127:BF329))*I34),  2)</f>
        <v>0</v>
      </c>
      <c r="L34" s="31"/>
    </row>
    <row r="35" spans="2:12" s="1" customFormat="1" ht="14.45" hidden="1" customHeight="1">
      <c r="B35" s="31"/>
      <c r="E35" s="25" t="s">
        <v>50</v>
      </c>
      <c r="F35" s="90">
        <f>ROUND((SUM(BG127:BG329)),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5" t="s">
        <v>51</v>
      </c>
      <c r="F36" s="90">
        <f>ROUND((SUM(BH127:BH329)),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5" t="s">
        <v>52</v>
      </c>
      <c r="F37" s="90">
        <f>ROUND((SUM(BI127:BI329)),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53</v>
      </c>
      <c r="E39" s="54"/>
      <c r="F39" s="54"/>
      <c r="G39" s="94" t="s">
        <v>54</v>
      </c>
      <c r="H39" s="95" t="s">
        <v>55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s="1" customFormat="1" ht="14.45" customHeight="1">
      <c r="B49" s="31"/>
      <c r="D49" s="39" t="s">
        <v>56</v>
      </c>
      <c r="E49" s="40"/>
      <c r="F49" s="40"/>
      <c r="G49" s="39" t="s">
        <v>57</v>
      </c>
      <c r="H49" s="40"/>
      <c r="I49" s="40"/>
      <c r="J49" s="40"/>
      <c r="K49" s="40"/>
      <c r="L49" s="31"/>
    </row>
    <row r="50" spans="2:12">
      <c r="B50" s="18"/>
      <c r="L50" s="18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 s="1" customFormat="1" ht="12.75">
      <c r="B60" s="31"/>
      <c r="D60" s="41" t="s">
        <v>58</v>
      </c>
      <c r="E60" s="33"/>
      <c r="F60" s="98" t="s">
        <v>59</v>
      </c>
      <c r="G60" s="41" t="s">
        <v>58</v>
      </c>
      <c r="H60" s="33"/>
      <c r="I60" s="33"/>
      <c r="J60" s="99" t="s">
        <v>59</v>
      </c>
      <c r="K60" s="33"/>
      <c r="L60" s="31"/>
    </row>
    <row r="61" spans="2:12">
      <c r="B61" s="18"/>
      <c r="L61" s="18"/>
    </row>
    <row r="62" spans="2:12">
      <c r="B62" s="18"/>
      <c r="L62" s="18"/>
    </row>
    <row r="63" spans="2:12">
      <c r="B63" s="18"/>
      <c r="L63" s="18"/>
    </row>
    <row r="64" spans="2:12" s="1" customFormat="1" ht="12.75">
      <c r="B64" s="31"/>
      <c r="D64" s="39" t="s">
        <v>60</v>
      </c>
      <c r="E64" s="40"/>
      <c r="F64" s="40"/>
      <c r="G64" s="39" t="s">
        <v>61</v>
      </c>
      <c r="H64" s="40"/>
      <c r="I64" s="40"/>
      <c r="J64" s="40"/>
      <c r="K64" s="40"/>
      <c r="L64" s="31"/>
    </row>
    <row r="65" spans="2:12">
      <c r="B65" s="18"/>
      <c r="L65" s="18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 s="1" customFormat="1" ht="12.75">
      <c r="B75" s="31"/>
      <c r="D75" s="41" t="s">
        <v>58</v>
      </c>
      <c r="E75" s="33"/>
      <c r="F75" s="98" t="s">
        <v>59</v>
      </c>
      <c r="G75" s="41" t="s">
        <v>58</v>
      </c>
      <c r="H75" s="33"/>
      <c r="I75" s="33"/>
      <c r="J75" s="99" t="s">
        <v>59</v>
      </c>
      <c r="K75" s="33"/>
      <c r="L75" s="31"/>
    </row>
    <row r="76" spans="2:12" s="1" customFormat="1" ht="14.45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1"/>
    </row>
    <row r="80" spans="2:12" s="1" customFormat="1" ht="6.95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1"/>
    </row>
    <row r="81" spans="2:47" s="1" customFormat="1" ht="24.95" customHeight="1">
      <c r="B81" s="31"/>
      <c r="C81" s="19" t="s">
        <v>106</v>
      </c>
      <c r="L81" s="31"/>
    </row>
    <row r="82" spans="2:47" s="1" customFormat="1" ht="6.95" customHeight="1">
      <c r="B82" s="31"/>
      <c r="L82" s="31"/>
    </row>
    <row r="83" spans="2:47" s="1" customFormat="1" ht="12" customHeight="1">
      <c r="B83" s="31"/>
      <c r="C83" s="25" t="s">
        <v>16</v>
      </c>
      <c r="L83" s="31"/>
    </row>
    <row r="84" spans="2:47" s="1" customFormat="1" ht="26.25" customHeight="1">
      <c r="B84" s="31"/>
      <c r="E84" s="257" t="str">
        <f>E7</f>
        <v>PODIVÍN – ul. Hřbitovní, dopravní a technická infrastruktura, SO 301 – KANALIZACE, SO 302 - VODOVOD</v>
      </c>
      <c r="F84" s="258"/>
      <c r="G84" s="258"/>
      <c r="H84" s="258"/>
      <c r="L84" s="31"/>
    </row>
    <row r="85" spans="2:47" s="1" customFormat="1" ht="12" customHeight="1">
      <c r="B85" s="31"/>
      <c r="C85" s="25" t="s">
        <v>103</v>
      </c>
      <c r="L85" s="31"/>
    </row>
    <row r="86" spans="2:47" s="1" customFormat="1" ht="16.5" customHeight="1">
      <c r="B86" s="31"/>
      <c r="E86" s="243" t="str">
        <f>E9</f>
        <v>SO 302 - VODOVOD</v>
      </c>
      <c r="F86" s="256"/>
      <c r="G86" s="256"/>
      <c r="H86" s="256"/>
      <c r="L86" s="31"/>
    </row>
    <row r="87" spans="2:47" s="1" customFormat="1" ht="6.95" customHeight="1">
      <c r="B87" s="31"/>
      <c r="L87" s="31"/>
    </row>
    <row r="88" spans="2:47" s="1" customFormat="1" ht="12" customHeight="1">
      <c r="B88" s="31"/>
      <c r="C88" s="25" t="s">
        <v>22</v>
      </c>
      <c r="F88" s="23" t="str">
        <f>F12</f>
        <v>Podivín</v>
      </c>
      <c r="I88" s="25" t="s">
        <v>24</v>
      </c>
      <c r="J88" s="50" t="str">
        <f>IF(J12="","",J12)</f>
        <v>10. 11. 2025</v>
      </c>
      <c r="L88" s="31"/>
    </row>
    <row r="89" spans="2:47" s="1" customFormat="1" ht="6.95" customHeight="1">
      <c r="B89" s="31"/>
      <c r="L89" s="31"/>
    </row>
    <row r="90" spans="2:47" s="1" customFormat="1" ht="40.15" customHeight="1">
      <c r="B90" s="31"/>
      <c r="C90" s="25" t="s">
        <v>30</v>
      </c>
      <c r="F90" s="23" t="str">
        <f>E15</f>
        <v>Město Podivín</v>
      </c>
      <c r="I90" s="25" t="s">
        <v>37</v>
      </c>
      <c r="J90" s="29" t="str">
        <f>E21</f>
        <v>Projekce inženýrských sítí s.r.o.</v>
      </c>
      <c r="L90" s="31"/>
    </row>
    <row r="91" spans="2:47" s="1" customFormat="1" ht="40.15" customHeight="1">
      <c r="B91" s="31"/>
      <c r="C91" s="25" t="s">
        <v>35</v>
      </c>
      <c r="F91" s="23" t="str">
        <f>IF(E18="","",E18)</f>
        <v>Vyplň údaj</v>
      </c>
      <c r="I91" s="25" t="s">
        <v>41</v>
      </c>
      <c r="J91" s="29" t="str">
        <f>E24</f>
        <v>Projekce inženýrských sítí s.r.o.</v>
      </c>
      <c r="L91" s="31"/>
    </row>
    <row r="92" spans="2:47" s="1" customFormat="1" ht="10.35" customHeight="1">
      <c r="B92" s="31"/>
      <c r="L92" s="31"/>
    </row>
    <row r="93" spans="2:47" s="1" customFormat="1" ht="29.25" customHeight="1">
      <c r="B93" s="31"/>
      <c r="C93" s="100" t="s">
        <v>107</v>
      </c>
      <c r="D93" s="92"/>
      <c r="E93" s="92"/>
      <c r="F93" s="92"/>
      <c r="G93" s="92"/>
      <c r="H93" s="92"/>
      <c r="I93" s="92"/>
      <c r="J93" s="101" t="s">
        <v>108</v>
      </c>
      <c r="K93" s="92"/>
      <c r="L93" s="31"/>
    </row>
    <row r="94" spans="2:47" s="1" customFormat="1" ht="10.35" customHeight="1">
      <c r="B94" s="31"/>
      <c r="L94" s="31"/>
    </row>
    <row r="95" spans="2:47" s="1" customFormat="1" ht="22.9" customHeight="1">
      <c r="B95" s="31"/>
      <c r="C95" s="102" t="s">
        <v>109</v>
      </c>
      <c r="J95" s="63">
        <f>J127</f>
        <v>0</v>
      </c>
      <c r="L95" s="31"/>
      <c r="AU95" s="15" t="s">
        <v>110</v>
      </c>
    </row>
    <row r="96" spans="2:47" s="8" customFormat="1" ht="24.95" customHeight="1">
      <c r="B96" s="103"/>
      <c r="D96" s="104" t="s">
        <v>111</v>
      </c>
      <c r="E96" s="105"/>
      <c r="F96" s="105"/>
      <c r="G96" s="105"/>
      <c r="H96" s="105"/>
      <c r="I96" s="105"/>
      <c r="J96" s="106">
        <f>J128</f>
        <v>0</v>
      </c>
      <c r="L96" s="103"/>
    </row>
    <row r="97" spans="2:12" s="9" customFormat="1" ht="19.899999999999999" customHeight="1">
      <c r="B97" s="107"/>
      <c r="D97" s="108" t="s">
        <v>112</v>
      </c>
      <c r="E97" s="109"/>
      <c r="F97" s="109"/>
      <c r="G97" s="109"/>
      <c r="H97" s="109"/>
      <c r="I97" s="109"/>
      <c r="J97" s="110">
        <f>J129</f>
        <v>0</v>
      </c>
      <c r="L97" s="107"/>
    </row>
    <row r="98" spans="2:12" s="9" customFormat="1" ht="19.899999999999999" customHeight="1">
      <c r="B98" s="107"/>
      <c r="D98" s="108" t="s">
        <v>114</v>
      </c>
      <c r="E98" s="109"/>
      <c r="F98" s="109"/>
      <c r="G98" s="109"/>
      <c r="H98" s="109"/>
      <c r="I98" s="109"/>
      <c r="J98" s="110">
        <f>J173</f>
        <v>0</v>
      </c>
      <c r="L98" s="107"/>
    </row>
    <row r="99" spans="2:12" s="9" customFormat="1" ht="19.899999999999999" customHeight="1">
      <c r="B99" s="107"/>
      <c r="D99" s="108" t="s">
        <v>115</v>
      </c>
      <c r="E99" s="109"/>
      <c r="F99" s="109"/>
      <c r="G99" s="109"/>
      <c r="H99" s="109"/>
      <c r="I99" s="109"/>
      <c r="J99" s="110">
        <f>J191</f>
        <v>0</v>
      </c>
      <c r="L99" s="107"/>
    </row>
    <row r="100" spans="2:12" s="9" customFormat="1" ht="19.899999999999999" customHeight="1">
      <c r="B100" s="107"/>
      <c r="D100" s="108" t="s">
        <v>116</v>
      </c>
      <c r="E100" s="109"/>
      <c r="F100" s="109"/>
      <c r="G100" s="109"/>
      <c r="H100" s="109"/>
      <c r="I100" s="109"/>
      <c r="J100" s="110">
        <f>J196</f>
        <v>0</v>
      </c>
      <c r="L100" s="107"/>
    </row>
    <row r="101" spans="2:12" s="9" customFormat="1" ht="19.899999999999999" customHeight="1">
      <c r="B101" s="107"/>
      <c r="D101" s="108" t="s">
        <v>117</v>
      </c>
      <c r="E101" s="109"/>
      <c r="F101" s="109"/>
      <c r="G101" s="109"/>
      <c r="H101" s="109"/>
      <c r="I101" s="109"/>
      <c r="J101" s="110">
        <f>J300</f>
        <v>0</v>
      </c>
      <c r="L101" s="107"/>
    </row>
    <row r="102" spans="2:12" s="9" customFormat="1" ht="14.85" customHeight="1">
      <c r="B102" s="107"/>
      <c r="D102" s="108" t="s">
        <v>118</v>
      </c>
      <c r="E102" s="109"/>
      <c r="F102" s="109"/>
      <c r="G102" s="109"/>
      <c r="H102" s="109"/>
      <c r="I102" s="109"/>
      <c r="J102" s="110">
        <f>J305</f>
        <v>0</v>
      </c>
      <c r="L102" s="107"/>
    </row>
    <row r="103" spans="2:12" s="9" customFormat="1" ht="19.899999999999999" customHeight="1">
      <c r="B103" s="107"/>
      <c r="D103" s="108" t="s">
        <v>119</v>
      </c>
      <c r="E103" s="109"/>
      <c r="F103" s="109"/>
      <c r="G103" s="109"/>
      <c r="H103" s="109"/>
      <c r="I103" s="109"/>
      <c r="J103" s="110">
        <f>J314</f>
        <v>0</v>
      </c>
      <c r="L103" s="107"/>
    </row>
    <row r="104" spans="2:12" s="9" customFormat="1" ht="19.899999999999999" customHeight="1">
      <c r="B104" s="107"/>
      <c r="D104" s="108" t="s">
        <v>120</v>
      </c>
      <c r="E104" s="109"/>
      <c r="F104" s="109"/>
      <c r="G104" s="109"/>
      <c r="H104" s="109"/>
      <c r="I104" s="109"/>
      <c r="J104" s="110">
        <f>J319</f>
        <v>0</v>
      </c>
      <c r="L104" s="107"/>
    </row>
    <row r="105" spans="2:12" s="8" customFormat="1" ht="24.95" customHeight="1">
      <c r="B105" s="103"/>
      <c r="D105" s="104" t="s">
        <v>480</v>
      </c>
      <c r="E105" s="105"/>
      <c r="F105" s="105"/>
      <c r="G105" s="105"/>
      <c r="H105" s="105"/>
      <c r="I105" s="105"/>
      <c r="J105" s="106">
        <f>J321</f>
        <v>0</v>
      </c>
      <c r="L105" s="103"/>
    </row>
    <row r="106" spans="2:12" s="9" customFormat="1" ht="19.899999999999999" customHeight="1">
      <c r="B106" s="107"/>
      <c r="D106" s="108" t="s">
        <v>481</v>
      </c>
      <c r="E106" s="109"/>
      <c r="F106" s="109"/>
      <c r="G106" s="109"/>
      <c r="H106" s="109"/>
      <c r="I106" s="109"/>
      <c r="J106" s="110">
        <f>J322</f>
        <v>0</v>
      </c>
      <c r="L106" s="107"/>
    </row>
    <row r="107" spans="2:12" s="8" customFormat="1" ht="24.95" customHeight="1">
      <c r="B107" s="103"/>
      <c r="D107" s="104" t="s">
        <v>482</v>
      </c>
      <c r="E107" s="105"/>
      <c r="F107" s="105"/>
      <c r="G107" s="105"/>
      <c r="H107" s="105"/>
      <c r="I107" s="105"/>
      <c r="J107" s="106">
        <f>J327</f>
        <v>0</v>
      </c>
      <c r="L107" s="103"/>
    </row>
    <row r="108" spans="2:12" s="1" customFormat="1" ht="21.75" customHeight="1">
      <c r="B108" s="31"/>
      <c r="L108" s="31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31"/>
    </row>
    <row r="113" spans="2:63" s="1" customFormat="1" ht="6.95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1"/>
    </row>
    <row r="114" spans="2:63" s="1" customFormat="1" ht="24.95" customHeight="1">
      <c r="B114" s="31"/>
      <c r="C114" s="19" t="s">
        <v>121</v>
      </c>
      <c r="L114" s="31"/>
    </row>
    <row r="115" spans="2:63" s="1" customFormat="1" ht="6.95" customHeight="1">
      <c r="B115" s="31"/>
      <c r="L115" s="31"/>
    </row>
    <row r="116" spans="2:63" s="1" customFormat="1" ht="12" customHeight="1">
      <c r="B116" s="31"/>
      <c r="C116" s="25" t="s">
        <v>16</v>
      </c>
      <c r="L116" s="31"/>
    </row>
    <row r="117" spans="2:63" s="1" customFormat="1" ht="26.25" customHeight="1">
      <c r="B117" s="31"/>
      <c r="E117" s="257" t="str">
        <f>E7</f>
        <v>PODIVÍN – ul. Hřbitovní, dopravní a technická infrastruktura, SO 301 – KANALIZACE, SO 302 - VODOVOD</v>
      </c>
      <c r="F117" s="258"/>
      <c r="G117" s="258"/>
      <c r="H117" s="258"/>
      <c r="L117" s="31"/>
    </row>
    <row r="118" spans="2:63" s="1" customFormat="1" ht="12" customHeight="1">
      <c r="B118" s="31"/>
      <c r="C118" s="25" t="s">
        <v>103</v>
      </c>
      <c r="L118" s="31"/>
    </row>
    <row r="119" spans="2:63" s="1" customFormat="1" ht="16.5" customHeight="1">
      <c r="B119" s="31"/>
      <c r="E119" s="243" t="str">
        <f>E9</f>
        <v>SO 302 - VODOVOD</v>
      </c>
      <c r="F119" s="256"/>
      <c r="G119" s="256"/>
      <c r="H119" s="256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5" t="s">
        <v>22</v>
      </c>
      <c r="F121" s="23" t="str">
        <f>F12</f>
        <v>Podivín</v>
      </c>
      <c r="I121" s="25" t="s">
        <v>24</v>
      </c>
      <c r="J121" s="50" t="str">
        <f>IF(J12="","",J12)</f>
        <v>10. 11. 2025</v>
      </c>
      <c r="L121" s="31"/>
    </row>
    <row r="122" spans="2:63" s="1" customFormat="1" ht="6.95" customHeight="1">
      <c r="B122" s="31"/>
      <c r="L122" s="31"/>
    </row>
    <row r="123" spans="2:63" s="1" customFormat="1" ht="40.15" customHeight="1">
      <c r="B123" s="31"/>
      <c r="C123" s="25" t="s">
        <v>30</v>
      </c>
      <c r="F123" s="23" t="str">
        <f>E15</f>
        <v>Město Podivín</v>
      </c>
      <c r="I123" s="25" t="s">
        <v>37</v>
      </c>
      <c r="J123" s="29" t="str">
        <f>E21</f>
        <v>Projekce inženýrských sítí s.r.o.</v>
      </c>
      <c r="L123" s="31"/>
    </row>
    <row r="124" spans="2:63" s="1" customFormat="1" ht="40.15" customHeight="1">
      <c r="B124" s="31"/>
      <c r="C124" s="25" t="s">
        <v>35</v>
      </c>
      <c r="F124" s="23" t="str">
        <f>IF(E18="","",E18)</f>
        <v>Vyplň údaj</v>
      </c>
      <c r="I124" s="25" t="s">
        <v>41</v>
      </c>
      <c r="J124" s="29" t="str">
        <f>E24</f>
        <v>Projekce inženýrských sítí s.r.o.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1"/>
      <c r="C126" s="112" t="s">
        <v>122</v>
      </c>
      <c r="D126" s="113" t="s">
        <v>68</v>
      </c>
      <c r="E126" s="113" t="s">
        <v>64</v>
      </c>
      <c r="F126" s="113" t="s">
        <v>65</v>
      </c>
      <c r="G126" s="113" t="s">
        <v>123</v>
      </c>
      <c r="H126" s="113" t="s">
        <v>124</v>
      </c>
      <c r="I126" s="113" t="s">
        <v>125</v>
      </c>
      <c r="J126" s="113" t="s">
        <v>108</v>
      </c>
      <c r="K126" s="114" t="s">
        <v>126</v>
      </c>
      <c r="L126" s="111"/>
      <c r="M126" s="56" t="s">
        <v>1</v>
      </c>
      <c r="N126" s="57" t="s">
        <v>47</v>
      </c>
      <c r="O126" s="57" t="s">
        <v>127</v>
      </c>
      <c r="P126" s="57" t="s">
        <v>128</v>
      </c>
      <c r="Q126" s="57" t="s">
        <v>129</v>
      </c>
      <c r="R126" s="57" t="s">
        <v>130</v>
      </c>
      <c r="S126" s="57" t="s">
        <v>131</v>
      </c>
      <c r="T126" s="58" t="s">
        <v>132</v>
      </c>
    </row>
    <row r="127" spans="2:63" s="1" customFormat="1" ht="22.9" customHeight="1">
      <c r="B127" s="31"/>
      <c r="C127" s="61" t="s">
        <v>133</v>
      </c>
      <c r="J127" s="115">
        <f>BK127</f>
        <v>0</v>
      </c>
      <c r="L127" s="31"/>
      <c r="M127" s="59"/>
      <c r="N127" s="51"/>
      <c r="O127" s="51"/>
      <c r="P127" s="116">
        <f>P128+P321+P327</f>
        <v>0</v>
      </c>
      <c r="Q127" s="51"/>
      <c r="R127" s="116">
        <f>R128+R321+R327</f>
        <v>790.33436840000002</v>
      </c>
      <c r="S127" s="51"/>
      <c r="T127" s="117">
        <f>T128+T321+T327</f>
        <v>118.84724</v>
      </c>
      <c r="AT127" s="15" t="s">
        <v>82</v>
      </c>
      <c r="AU127" s="15" t="s">
        <v>110</v>
      </c>
      <c r="BK127" s="118">
        <f>BK128+BK321+BK327</f>
        <v>0</v>
      </c>
    </row>
    <row r="128" spans="2:63" s="11" customFormat="1" ht="25.9" customHeight="1">
      <c r="B128" s="119"/>
      <c r="D128" s="120" t="s">
        <v>82</v>
      </c>
      <c r="E128" s="121" t="s">
        <v>134</v>
      </c>
      <c r="F128" s="121" t="s">
        <v>135</v>
      </c>
      <c r="I128" s="122"/>
      <c r="J128" s="123">
        <f>BK128</f>
        <v>0</v>
      </c>
      <c r="L128" s="119"/>
      <c r="M128" s="124"/>
      <c r="P128" s="125">
        <f>P129+P173+P191+P196+P300+P314+P319</f>
        <v>0</v>
      </c>
      <c r="R128" s="125">
        <f>R129+R173+R191+R196+R300+R314+R319</f>
        <v>790.33436840000002</v>
      </c>
      <c r="T128" s="126">
        <f>T129+T173+T191+T196+T300+T314+T319</f>
        <v>118.84724</v>
      </c>
      <c r="AR128" s="120" t="s">
        <v>91</v>
      </c>
      <c r="AT128" s="127" t="s">
        <v>82</v>
      </c>
      <c r="AU128" s="127" t="s">
        <v>83</v>
      </c>
      <c r="AY128" s="120" t="s">
        <v>136</v>
      </c>
      <c r="BK128" s="128">
        <f>BK129+BK173+BK191+BK196+BK300+BK314+BK319</f>
        <v>0</v>
      </c>
    </row>
    <row r="129" spans="2:65" s="11" customFormat="1" ht="22.9" customHeight="1">
      <c r="B129" s="119"/>
      <c r="D129" s="120" t="s">
        <v>82</v>
      </c>
      <c r="E129" s="129" t="s">
        <v>91</v>
      </c>
      <c r="F129" s="129" t="s">
        <v>137</v>
      </c>
      <c r="I129" s="122"/>
      <c r="J129" s="130">
        <f>BK129</f>
        <v>0</v>
      </c>
      <c r="L129" s="119"/>
      <c r="M129" s="124"/>
      <c r="P129" s="125">
        <f>SUM(P130:P172)</f>
        <v>0</v>
      </c>
      <c r="R129" s="125">
        <f>SUM(R130:R172)</f>
        <v>783.04460060000008</v>
      </c>
      <c r="T129" s="126">
        <f>SUM(T130:T172)</f>
        <v>110.22</v>
      </c>
      <c r="AR129" s="120" t="s">
        <v>91</v>
      </c>
      <c r="AT129" s="127" t="s">
        <v>82</v>
      </c>
      <c r="AU129" s="127" t="s">
        <v>91</v>
      </c>
      <c r="AY129" s="120" t="s">
        <v>136</v>
      </c>
      <c r="BK129" s="128">
        <f>SUM(BK130:BK172)</f>
        <v>0</v>
      </c>
    </row>
    <row r="130" spans="2:65" s="1" customFormat="1" ht="16.5" customHeight="1">
      <c r="B130" s="31"/>
      <c r="C130" s="131" t="s">
        <v>91</v>
      </c>
      <c r="D130" s="131" t="s">
        <v>138</v>
      </c>
      <c r="E130" s="132" t="s">
        <v>483</v>
      </c>
      <c r="F130" s="133" t="s">
        <v>484</v>
      </c>
      <c r="G130" s="134" t="s">
        <v>141</v>
      </c>
      <c r="H130" s="135">
        <v>91</v>
      </c>
      <c r="I130" s="136"/>
      <c r="J130" s="137">
        <f>ROUND(I130*H130,2)</f>
        <v>0</v>
      </c>
      <c r="K130" s="133" t="s">
        <v>142</v>
      </c>
      <c r="L130" s="31"/>
      <c r="M130" s="138" t="s">
        <v>1</v>
      </c>
      <c r="N130" s="139" t="s">
        <v>48</v>
      </c>
      <c r="P130" s="140">
        <f>O130*H130</f>
        <v>0</v>
      </c>
      <c r="Q130" s="140">
        <v>0</v>
      </c>
      <c r="R130" s="140">
        <f>Q130*H130</f>
        <v>0</v>
      </c>
      <c r="S130" s="140">
        <v>0.22</v>
      </c>
      <c r="T130" s="141">
        <f>S130*H130</f>
        <v>20.02</v>
      </c>
      <c r="AR130" s="142" t="s">
        <v>143</v>
      </c>
      <c r="AT130" s="142" t="s">
        <v>138</v>
      </c>
      <c r="AU130" s="142" t="s">
        <v>94</v>
      </c>
      <c r="AY130" s="15" t="s">
        <v>136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5" t="s">
        <v>91</v>
      </c>
      <c r="BK130" s="143">
        <f>ROUND(I130*H130,2)</f>
        <v>0</v>
      </c>
      <c r="BL130" s="15" t="s">
        <v>143</v>
      </c>
      <c r="BM130" s="142" t="s">
        <v>485</v>
      </c>
    </row>
    <row r="131" spans="2:65" s="12" customFormat="1">
      <c r="B131" s="144"/>
      <c r="D131" s="145" t="s">
        <v>145</v>
      </c>
      <c r="E131" s="146" t="s">
        <v>1</v>
      </c>
      <c r="F131" s="147" t="s">
        <v>486</v>
      </c>
      <c r="H131" s="148">
        <v>91</v>
      </c>
      <c r="I131" s="149"/>
      <c r="L131" s="144"/>
      <c r="M131" s="150"/>
      <c r="T131" s="151"/>
      <c r="AT131" s="146" t="s">
        <v>145</v>
      </c>
      <c r="AU131" s="146" t="s">
        <v>94</v>
      </c>
      <c r="AV131" s="12" t="s">
        <v>94</v>
      </c>
      <c r="AW131" s="12" t="s">
        <v>40</v>
      </c>
      <c r="AX131" s="12" t="s">
        <v>91</v>
      </c>
      <c r="AY131" s="146" t="s">
        <v>136</v>
      </c>
    </row>
    <row r="132" spans="2:65" s="1" customFormat="1" ht="16.5" customHeight="1">
      <c r="B132" s="31"/>
      <c r="C132" s="131" t="s">
        <v>94</v>
      </c>
      <c r="D132" s="131" t="s">
        <v>138</v>
      </c>
      <c r="E132" s="132" t="s">
        <v>139</v>
      </c>
      <c r="F132" s="133" t="s">
        <v>140</v>
      </c>
      <c r="G132" s="134" t="s">
        <v>141</v>
      </c>
      <c r="H132" s="135">
        <v>205</v>
      </c>
      <c r="I132" s="136"/>
      <c r="J132" s="137">
        <f>ROUND(I132*H132,2)</f>
        <v>0</v>
      </c>
      <c r="K132" s="133" t="s">
        <v>142</v>
      </c>
      <c r="L132" s="31"/>
      <c r="M132" s="138" t="s">
        <v>1</v>
      </c>
      <c r="N132" s="139" t="s">
        <v>48</v>
      </c>
      <c r="P132" s="140">
        <f>O132*H132</f>
        <v>0</v>
      </c>
      <c r="Q132" s="140">
        <v>0</v>
      </c>
      <c r="R132" s="140">
        <f>Q132*H132</f>
        <v>0</v>
      </c>
      <c r="S132" s="140">
        <v>0.44</v>
      </c>
      <c r="T132" s="141">
        <f>S132*H132</f>
        <v>90.2</v>
      </c>
      <c r="AR132" s="142" t="s">
        <v>143</v>
      </c>
      <c r="AT132" s="142" t="s">
        <v>138</v>
      </c>
      <c r="AU132" s="142" t="s">
        <v>94</v>
      </c>
      <c r="AY132" s="15" t="s">
        <v>136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5" t="s">
        <v>91</v>
      </c>
      <c r="BK132" s="143">
        <f>ROUND(I132*H132,2)</f>
        <v>0</v>
      </c>
      <c r="BL132" s="15" t="s">
        <v>143</v>
      </c>
      <c r="BM132" s="142" t="s">
        <v>487</v>
      </c>
    </row>
    <row r="133" spans="2:65" s="12" customFormat="1">
      <c r="B133" s="144"/>
      <c r="D133" s="145" t="s">
        <v>145</v>
      </c>
      <c r="E133" s="146" t="s">
        <v>1</v>
      </c>
      <c r="F133" s="147" t="s">
        <v>488</v>
      </c>
      <c r="H133" s="148">
        <v>49</v>
      </c>
      <c r="I133" s="149"/>
      <c r="L133" s="144"/>
      <c r="M133" s="150"/>
      <c r="T133" s="151"/>
      <c r="AT133" s="146" t="s">
        <v>145</v>
      </c>
      <c r="AU133" s="146" t="s">
        <v>94</v>
      </c>
      <c r="AV133" s="12" t="s">
        <v>94</v>
      </c>
      <c r="AW133" s="12" t="s">
        <v>40</v>
      </c>
      <c r="AX133" s="12" t="s">
        <v>83</v>
      </c>
      <c r="AY133" s="146" t="s">
        <v>136</v>
      </c>
    </row>
    <row r="134" spans="2:65" s="12" customFormat="1">
      <c r="B134" s="144"/>
      <c r="D134" s="145" t="s">
        <v>145</v>
      </c>
      <c r="E134" s="146" t="s">
        <v>1</v>
      </c>
      <c r="F134" s="147" t="s">
        <v>489</v>
      </c>
      <c r="H134" s="148">
        <v>156</v>
      </c>
      <c r="I134" s="149"/>
      <c r="L134" s="144"/>
      <c r="M134" s="150"/>
      <c r="T134" s="151"/>
      <c r="AT134" s="146" t="s">
        <v>145</v>
      </c>
      <c r="AU134" s="146" t="s">
        <v>94</v>
      </c>
      <c r="AV134" s="12" t="s">
        <v>94</v>
      </c>
      <c r="AW134" s="12" t="s">
        <v>40</v>
      </c>
      <c r="AX134" s="12" t="s">
        <v>83</v>
      </c>
      <c r="AY134" s="146" t="s">
        <v>136</v>
      </c>
    </row>
    <row r="135" spans="2:65" s="13" customFormat="1">
      <c r="B135" s="152"/>
      <c r="D135" s="145" t="s">
        <v>145</v>
      </c>
      <c r="E135" s="153" t="s">
        <v>1</v>
      </c>
      <c r="F135" s="154" t="s">
        <v>148</v>
      </c>
      <c r="H135" s="155">
        <v>205</v>
      </c>
      <c r="I135" s="156"/>
      <c r="L135" s="152"/>
      <c r="M135" s="157"/>
      <c r="T135" s="158"/>
      <c r="AT135" s="153" t="s">
        <v>145</v>
      </c>
      <c r="AU135" s="153" t="s">
        <v>94</v>
      </c>
      <c r="AV135" s="13" t="s">
        <v>143</v>
      </c>
      <c r="AW135" s="13" t="s">
        <v>40</v>
      </c>
      <c r="AX135" s="13" t="s">
        <v>91</v>
      </c>
      <c r="AY135" s="153" t="s">
        <v>136</v>
      </c>
    </row>
    <row r="136" spans="2:65" s="1" customFormat="1" ht="16.5" customHeight="1">
      <c r="B136" s="31"/>
      <c r="C136" s="131" t="s">
        <v>153</v>
      </c>
      <c r="D136" s="131" t="s">
        <v>138</v>
      </c>
      <c r="E136" s="132" t="s">
        <v>158</v>
      </c>
      <c r="F136" s="133" t="s">
        <v>159</v>
      </c>
      <c r="G136" s="134" t="s">
        <v>160</v>
      </c>
      <c r="H136" s="135">
        <v>240</v>
      </c>
      <c r="I136" s="136"/>
      <c r="J136" s="137">
        <f>ROUND(I136*H136,2)</f>
        <v>0</v>
      </c>
      <c r="K136" s="133" t="s">
        <v>142</v>
      </c>
      <c r="L136" s="31"/>
      <c r="M136" s="138" t="s">
        <v>1</v>
      </c>
      <c r="N136" s="139" t="s">
        <v>48</v>
      </c>
      <c r="P136" s="140">
        <f>O136*H136</f>
        <v>0</v>
      </c>
      <c r="Q136" s="140">
        <v>3.0000000000000001E-5</v>
      </c>
      <c r="R136" s="140">
        <f>Q136*H136</f>
        <v>7.1999999999999998E-3</v>
      </c>
      <c r="S136" s="140">
        <v>0</v>
      </c>
      <c r="T136" s="141">
        <f>S136*H136</f>
        <v>0</v>
      </c>
      <c r="AR136" s="142" t="s">
        <v>143</v>
      </c>
      <c r="AT136" s="142" t="s">
        <v>138</v>
      </c>
      <c r="AU136" s="142" t="s">
        <v>94</v>
      </c>
      <c r="AY136" s="15" t="s">
        <v>136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5" t="s">
        <v>91</v>
      </c>
      <c r="BK136" s="143">
        <f>ROUND(I136*H136,2)</f>
        <v>0</v>
      </c>
      <c r="BL136" s="15" t="s">
        <v>143</v>
      </c>
      <c r="BM136" s="142" t="s">
        <v>490</v>
      </c>
    </row>
    <row r="137" spans="2:65" s="12" customFormat="1">
      <c r="B137" s="144"/>
      <c r="D137" s="145" t="s">
        <v>145</v>
      </c>
      <c r="E137" s="146" t="s">
        <v>1</v>
      </c>
      <c r="F137" s="147" t="s">
        <v>491</v>
      </c>
      <c r="H137" s="148">
        <v>240</v>
      </c>
      <c r="I137" s="149"/>
      <c r="L137" s="144"/>
      <c r="M137" s="150"/>
      <c r="T137" s="151"/>
      <c r="AT137" s="146" t="s">
        <v>145</v>
      </c>
      <c r="AU137" s="146" t="s">
        <v>94</v>
      </c>
      <c r="AV137" s="12" t="s">
        <v>94</v>
      </c>
      <c r="AW137" s="12" t="s">
        <v>40</v>
      </c>
      <c r="AX137" s="12" t="s">
        <v>91</v>
      </c>
      <c r="AY137" s="146" t="s">
        <v>136</v>
      </c>
    </row>
    <row r="138" spans="2:65" s="1" customFormat="1" ht="16.5" customHeight="1">
      <c r="B138" s="31"/>
      <c r="C138" s="131" t="s">
        <v>143</v>
      </c>
      <c r="D138" s="131" t="s">
        <v>138</v>
      </c>
      <c r="E138" s="132" t="s">
        <v>164</v>
      </c>
      <c r="F138" s="133" t="s">
        <v>165</v>
      </c>
      <c r="G138" s="134" t="s">
        <v>166</v>
      </c>
      <c r="H138" s="135">
        <v>10</v>
      </c>
      <c r="I138" s="136"/>
      <c r="J138" s="137">
        <f>ROUND(I138*H138,2)</f>
        <v>0</v>
      </c>
      <c r="K138" s="133" t="s">
        <v>142</v>
      </c>
      <c r="L138" s="31"/>
      <c r="M138" s="138" t="s">
        <v>1</v>
      </c>
      <c r="N138" s="139" t="s">
        <v>48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143</v>
      </c>
      <c r="AT138" s="142" t="s">
        <v>138</v>
      </c>
      <c r="AU138" s="142" t="s">
        <v>94</v>
      </c>
      <c r="AY138" s="15" t="s">
        <v>136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91</v>
      </c>
      <c r="BK138" s="143">
        <f>ROUND(I138*H138,2)</f>
        <v>0</v>
      </c>
      <c r="BL138" s="15" t="s">
        <v>143</v>
      </c>
      <c r="BM138" s="142" t="s">
        <v>492</v>
      </c>
    </row>
    <row r="139" spans="2:65" s="12" customFormat="1">
      <c r="B139" s="144"/>
      <c r="D139" s="145" t="s">
        <v>145</v>
      </c>
      <c r="E139" s="146" t="s">
        <v>1</v>
      </c>
      <c r="F139" s="147" t="s">
        <v>194</v>
      </c>
      <c r="H139" s="148">
        <v>10</v>
      </c>
      <c r="I139" s="149"/>
      <c r="L139" s="144"/>
      <c r="M139" s="150"/>
      <c r="T139" s="151"/>
      <c r="AT139" s="146" t="s">
        <v>145</v>
      </c>
      <c r="AU139" s="146" t="s">
        <v>94</v>
      </c>
      <c r="AV139" s="12" t="s">
        <v>94</v>
      </c>
      <c r="AW139" s="12" t="s">
        <v>40</v>
      </c>
      <c r="AX139" s="12" t="s">
        <v>91</v>
      </c>
      <c r="AY139" s="146" t="s">
        <v>136</v>
      </c>
    </row>
    <row r="140" spans="2:65" s="1" customFormat="1" ht="16.5" customHeight="1">
      <c r="B140" s="31"/>
      <c r="C140" s="131" t="s">
        <v>163</v>
      </c>
      <c r="D140" s="131" t="s">
        <v>138</v>
      </c>
      <c r="E140" s="132" t="s">
        <v>176</v>
      </c>
      <c r="F140" s="133" t="s">
        <v>177</v>
      </c>
      <c r="G140" s="134" t="s">
        <v>172</v>
      </c>
      <c r="H140" s="135">
        <v>10</v>
      </c>
      <c r="I140" s="136"/>
      <c r="J140" s="137">
        <f>ROUND(I140*H140,2)</f>
        <v>0</v>
      </c>
      <c r="K140" s="133" t="s">
        <v>142</v>
      </c>
      <c r="L140" s="31"/>
      <c r="M140" s="138" t="s">
        <v>1</v>
      </c>
      <c r="N140" s="139" t="s">
        <v>48</v>
      </c>
      <c r="P140" s="140">
        <f>O140*H140</f>
        <v>0</v>
      </c>
      <c r="Q140" s="140">
        <v>3.6900000000000002E-2</v>
      </c>
      <c r="R140" s="140">
        <f>Q140*H140</f>
        <v>0.36899999999999999</v>
      </c>
      <c r="S140" s="140">
        <v>0</v>
      </c>
      <c r="T140" s="141">
        <f>S140*H140</f>
        <v>0</v>
      </c>
      <c r="AR140" s="142" t="s">
        <v>143</v>
      </c>
      <c r="AT140" s="142" t="s">
        <v>138</v>
      </c>
      <c r="AU140" s="142" t="s">
        <v>94</v>
      </c>
      <c r="AY140" s="15" t="s">
        <v>136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91</v>
      </c>
      <c r="BK140" s="143">
        <f>ROUND(I140*H140,2)</f>
        <v>0</v>
      </c>
      <c r="BL140" s="15" t="s">
        <v>143</v>
      </c>
      <c r="BM140" s="142" t="s">
        <v>493</v>
      </c>
    </row>
    <row r="141" spans="2:65" s="12" customFormat="1">
      <c r="B141" s="144"/>
      <c r="D141" s="145" t="s">
        <v>145</v>
      </c>
      <c r="E141" s="146" t="s">
        <v>1</v>
      </c>
      <c r="F141" s="147" t="s">
        <v>494</v>
      </c>
      <c r="H141" s="148">
        <v>10</v>
      </c>
      <c r="I141" s="149"/>
      <c r="L141" s="144"/>
      <c r="M141" s="150"/>
      <c r="T141" s="151"/>
      <c r="AT141" s="146" t="s">
        <v>145</v>
      </c>
      <c r="AU141" s="146" t="s">
        <v>94</v>
      </c>
      <c r="AV141" s="12" t="s">
        <v>94</v>
      </c>
      <c r="AW141" s="12" t="s">
        <v>40</v>
      </c>
      <c r="AX141" s="12" t="s">
        <v>91</v>
      </c>
      <c r="AY141" s="146" t="s">
        <v>136</v>
      </c>
    </row>
    <row r="142" spans="2:65" s="1" customFormat="1" ht="16.5" customHeight="1">
      <c r="B142" s="31"/>
      <c r="C142" s="131" t="s">
        <v>169</v>
      </c>
      <c r="D142" s="131" t="s">
        <v>138</v>
      </c>
      <c r="E142" s="132" t="s">
        <v>181</v>
      </c>
      <c r="F142" s="133" t="s">
        <v>182</v>
      </c>
      <c r="G142" s="134" t="s">
        <v>183</v>
      </c>
      <c r="H142" s="135">
        <v>65</v>
      </c>
      <c r="I142" s="136"/>
      <c r="J142" s="137">
        <f>ROUND(I142*H142,2)</f>
        <v>0</v>
      </c>
      <c r="K142" s="133" t="s">
        <v>142</v>
      </c>
      <c r="L142" s="31"/>
      <c r="M142" s="138" t="s">
        <v>1</v>
      </c>
      <c r="N142" s="139" t="s">
        <v>48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143</v>
      </c>
      <c r="AT142" s="142" t="s">
        <v>138</v>
      </c>
      <c r="AU142" s="142" t="s">
        <v>94</v>
      </c>
      <c r="AY142" s="15" t="s">
        <v>136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5" t="s">
        <v>91</v>
      </c>
      <c r="BK142" s="143">
        <f>ROUND(I142*H142,2)</f>
        <v>0</v>
      </c>
      <c r="BL142" s="15" t="s">
        <v>143</v>
      </c>
      <c r="BM142" s="142" t="s">
        <v>495</v>
      </c>
    </row>
    <row r="143" spans="2:65" s="12" customFormat="1">
      <c r="B143" s="144"/>
      <c r="D143" s="145" t="s">
        <v>145</v>
      </c>
      <c r="E143" s="146" t="s">
        <v>1</v>
      </c>
      <c r="F143" s="147" t="s">
        <v>496</v>
      </c>
      <c r="H143" s="148">
        <v>65</v>
      </c>
      <c r="I143" s="149"/>
      <c r="L143" s="144"/>
      <c r="M143" s="150"/>
      <c r="T143" s="151"/>
      <c r="AT143" s="146" t="s">
        <v>145</v>
      </c>
      <c r="AU143" s="146" t="s">
        <v>94</v>
      </c>
      <c r="AV143" s="12" t="s">
        <v>94</v>
      </c>
      <c r="AW143" s="12" t="s">
        <v>40</v>
      </c>
      <c r="AX143" s="12" t="s">
        <v>91</v>
      </c>
      <c r="AY143" s="146" t="s">
        <v>136</v>
      </c>
    </row>
    <row r="144" spans="2:65" s="1" customFormat="1" ht="21.75" customHeight="1">
      <c r="B144" s="31"/>
      <c r="C144" s="131" t="s">
        <v>175</v>
      </c>
      <c r="D144" s="131" t="s">
        <v>138</v>
      </c>
      <c r="E144" s="132" t="s">
        <v>497</v>
      </c>
      <c r="F144" s="133" t="s">
        <v>498</v>
      </c>
      <c r="G144" s="134" t="s">
        <v>183</v>
      </c>
      <c r="H144" s="135">
        <v>421.04</v>
      </c>
      <c r="I144" s="136"/>
      <c r="J144" s="137">
        <f>ROUND(I144*H144,2)</f>
        <v>0</v>
      </c>
      <c r="K144" s="133" t="s">
        <v>142</v>
      </c>
      <c r="L144" s="31"/>
      <c r="M144" s="138" t="s">
        <v>1</v>
      </c>
      <c r="N144" s="139" t="s">
        <v>48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143</v>
      </c>
      <c r="AT144" s="142" t="s">
        <v>138</v>
      </c>
      <c r="AU144" s="142" t="s">
        <v>94</v>
      </c>
      <c r="AY144" s="15" t="s">
        <v>136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5" t="s">
        <v>91</v>
      </c>
      <c r="BK144" s="143">
        <f>ROUND(I144*H144,2)</f>
        <v>0</v>
      </c>
      <c r="BL144" s="15" t="s">
        <v>143</v>
      </c>
      <c r="BM144" s="142" t="s">
        <v>499</v>
      </c>
    </row>
    <row r="145" spans="2:65" s="12" customFormat="1">
      <c r="B145" s="144"/>
      <c r="D145" s="145" t="s">
        <v>145</v>
      </c>
      <c r="E145" s="146" t="s">
        <v>1</v>
      </c>
      <c r="F145" s="147" t="s">
        <v>500</v>
      </c>
      <c r="H145" s="148">
        <v>73.5</v>
      </c>
      <c r="I145" s="149"/>
      <c r="L145" s="144"/>
      <c r="M145" s="150"/>
      <c r="T145" s="151"/>
      <c r="AT145" s="146" t="s">
        <v>145</v>
      </c>
      <c r="AU145" s="146" t="s">
        <v>94</v>
      </c>
      <c r="AV145" s="12" t="s">
        <v>94</v>
      </c>
      <c r="AW145" s="12" t="s">
        <v>40</v>
      </c>
      <c r="AX145" s="12" t="s">
        <v>83</v>
      </c>
      <c r="AY145" s="146" t="s">
        <v>136</v>
      </c>
    </row>
    <row r="146" spans="2:65" s="12" customFormat="1">
      <c r="B146" s="144"/>
      <c r="D146" s="145" t="s">
        <v>145</v>
      </c>
      <c r="E146" s="146" t="s">
        <v>1</v>
      </c>
      <c r="F146" s="147" t="s">
        <v>501</v>
      </c>
      <c r="H146" s="148">
        <v>245.75</v>
      </c>
      <c r="I146" s="149"/>
      <c r="L146" s="144"/>
      <c r="M146" s="150"/>
      <c r="T146" s="151"/>
      <c r="AT146" s="146" t="s">
        <v>145</v>
      </c>
      <c r="AU146" s="146" t="s">
        <v>94</v>
      </c>
      <c r="AV146" s="12" t="s">
        <v>94</v>
      </c>
      <c r="AW146" s="12" t="s">
        <v>40</v>
      </c>
      <c r="AX146" s="12" t="s">
        <v>83</v>
      </c>
      <c r="AY146" s="146" t="s">
        <v>136</v>
      </c>
    </row>
    <row r="147" spans="2:65" s="12" customFormat="1">
      <c r="B147" s="144"/>
      <c r="D147" s="145" t="s">
        <v>145</v>
      </c>
      <c r="E147" s="146" t="s">
        <v>1</v>
      </c>
      <c r="F147" s="147" t="s">
        <v>502</v>
      </c>
      <c r="H147" s="148">
        <v>101.79</v>
      </c>
      <c r="I147" s="149"/>
      <c r="L147" s="144"/>
      <c r="M147" s="150"/>
      <c r="T147" s="151"/>
      <c r="AT147" s="146" t="s">
        <v>145</v>
      </c>
      <c r="AU147" s="146" t="s">
        <v>94</v>
      </c>
      <c r="AV147" s="12" t="s">
        <v>94</v>
      </c>
      <c r="AW147" s="12" t="s">
        <v>40</v>
      </c>
      <c r="AX147" s="12" t="s">
        <v>83</v>
      </c>
      <c r="AY147" s="146" t="s">
        <v>136</v>
      </c>
    </row>
    <row r="148" spans="2:65" s="13" customFormat="1">
      <c r="B148" s="152"/>
      <c r="D148" s="145" t="s">
        <v>145</v>
      </c>
      <c r="E148" s="153" t="s">
        <v>1</v>
      </c>
      <c r="F148" s="154" t="s">
        <v>148</v>
      </c>
      <c r="H148" s="155">
        <v>421.04</v>
      </c>
      <c r="I148" s="156"/>
      <c r="L148" s="152"/>
      <c r="M148" s="157"/>
      <c r="T148" s="158"/>
      <c r="AT148" s="153" t="s">
        <v>145</v>
      </c>
      <c r="AU148" s="153" t="s">
        <v>94</v>
      </c>
      <c r="AV148" s="13" t="s">
        <v>143</v>
      </c>
      <c r="AW148" s="13" t="s">
        <v>40</v>
      </c>
      <c r="AX148" s="13" t="s">
        <v>91</v>
      </c>
      <c r="AY148" s="153" t="s">
        <v>136</v>
      </c>
    </row>
    <row r="149" spans="2:65" s="1" customFormat="1" ht="16.5" customHeight="1">
      <c r="B149" s="31"/>
      <c r="C149" s="131" t="s">
        <v>180</v>
      </c>
      <c r="D149" s="131" t="s">
        <v>138</v>
      </c>
      <c r="E149" s="132" t="s">
        <v>503</v>
      </c>
      <c r="F149" s="133" t="s">
        <v>504</v>
      </c>
      <c r="G149" s="134" t="s">
        <v>141</v>
      </c>
      <c r="H149" s="135">
        <v>842.07</v>
      </c>
      <c r="I149" s="136"/>
      <c r="J149" s="137">
        <f>ROUND(I149*H149,2)</f>
        <v>0</v>
      </c>
      <c r="K149" s="133" t="s">
        <v>142</v>
      </c>
      <c r="L149" s="31"/>
      <c r="M149" s="138" t="s">
        <v>1</v>
      </c>
      <c r="N149" s="139" t="s">
        <v>48</v>
      </c>
      <c r="P149" s="140">
        <f>O149*H149</f>
        <v>0</v>
      </c>
      <c r="Q149" s="140">
        <v>5.8E-4</v>
      </c>
      <c r="R149" s="140">
        <f>Q149*H149</f>
        <v>0.48840060000000002</v>
      </c>
      <c r="S149" s="140">
        <v>0</v>
      </c>
      <c r="T149" s="141">
        <f>S149*H149</f>
        <v>0</v>
      </c>
      <c r="AR149" s="142" t="s">
        <v>143</v>
      </c>
      <c r="AT149" s="142" t="s">
        <v>138</v>
      </c>
      <c r="AU149" s="142" t="s">
        <v>94</v>
      </c>
      <c r="AY149" s="15" t="s">
        <v>136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5" t="s">
        <v>91</v>
      </c>
      <c r="BK149" s="143">
        <f>ROUND(I149*H149,2)</f>
        <v>0</v>
      </c>
      <c r="BL149" s="15" t="s">
        <v>143</v>
      </c>
      <c r="BM149" s="142" t="s">
        <v>505</v>
      </c>
    </row>
    <row r="150" spans="2:65" s="12" customFormat="1">
      <c r="B150" s="144"/>
      <c r="D150" s="145" t="s">
        <v>145</v>
      </c>
      <c r="E150" s="146" t="s">
        <v>1</v>
      </c>
      <c r="F150" s="147" t="s">
        <v>506</v>
      </c>
      <c r="H150" s="148">
        <v>147</v>
      </c>
      <c r="I150" s="149"/>
      <c r="L150" s="144"/>
      <c r="M150" s="150"/>
      <c r="T150" s="151"/>
      <c r="AT150" s="146" t="s">
        <v>145</v>
      </c>
      <c r="AU150" s="146" t="s">
        <v>94</v>
      </c>
      <c r="AV150" s="12" t="s">
        <v>94</v>
      </c>
      <c r="AW150" s="12" t="s">
        <v>40</v>
      </c>
      <c r="AX150" s="12" t="s">
        <v>83</v>
      </c>
      <c r="AY150" s="146" t="s">
        <v>136</v>
      </c>
    </row>
    <row r="151" spans="2:65" s="12" customFormat="1">
      <c r="B151" s="144"/>
      <c r="D151" s="145" t="s">
        <v>145</v>
      </c>
      <c r="E151" s="146" t="s">
        <v>1</v>
      </c>
      <c r="F151" s="147" t="s">
        <v>507</v>
      </c>
      <c r="H151" s="148">
        <v>491.5</v>
      </c>
      <c r="I151" s="149"/>
      <c r="L151" s="144"/>
      <c r="M151" s="150"/>
      <c r="T151" s="151"/>
      <c r="AT151" s="146" t="s">
        <v>145</v>
      </c>
      <c r="AU151" s="146" t="s">
        <v>94</v>
      </c>
      <c r="AV151" s="12" t="s">
        <v>94</v>
      </c>
      <c r="AW151" s="12" t="s">
        <v>40</v>
      </c>
      <c r="AX151" s="12" t="s">
        <v>83</v>
      </c>
      <c r="AY151" s="146" t="s">
        <v>136</v>
      </c>
    </row>
    <row r="152" spans="2:65" s="12" customFormat="1">
      <c r="B152" s="144"/>
      <c r="D152" s="145" t="s">
        <v>145</v>
      </c>
      <c r="E152" s="146" t="s">
        <v>1</v>
      </c>
      <c r="F152" s="147" t="s">
        <v>508</v>
      </c>
      <c r="H152" s="148">
        <v>203.57</v>
      </c>
      <c r="I152" s="149"/>
      <c r="L152" s="144"/>
      <c r="M152" s="150"/>
      <c r="T152" s="151"/>
      <c r="AT152" s="146" t="s">
        <v>145</v>
      </c>
      <c r="AU152" s="146" t="s">
        <v>94</v>
      </c>
      <c r="AV152" s="12" t="s">
        <v>94</v>
      </c>
      <c r="AW152" s="12" t="s">
        <v>40</v>
      </c>
      <c r="AX152" s="12" t="s">
        <v>83</v>
      </c>
      <c r="AY152" s="146" t="s">
        <v>136</v>
      </c>
    </row>
    <row r="153" spans="2:65" s="13" customFormat="1">
      <c r="B153" s="152"/>
      <c r="D153" s="145" t="s">
        <v>145</v>
      </c>
      <c r="E153" s="153" t="s">
        <v>1</v>
      </c>
      <c r="F153" s="154" t="s">
        <v>148</v>
      </c>
      <c r="H153" s="155">
        <v>842.07</v>
      </c>
      <c r="I153" s="156"/>
      <c r="L153" s="152"/>
      <c r="M153" s="157"/>
      <c r="T153" s="158"/>
      <c r="AT153" s="153" t="s">
        <v>145</v>
      </c>
      <c r="AU153" s="153" t="s">
        <v>94</v>
      </c>
      <c r="AV153" s="13" t="s">
        <v>143</v>
      </c>
      <c r="AW153" s="13" t="s">
        <v>40</v>
      </c>
      <c r="AX153" s="13" t="s">
        <v>91</v>
      </c>
      <c r="AY153" s="153" t="s">
        <v>136</v>
      </c>
    </row>
    <row r="154" spans="2:65" s="1" customFormat="1" ht="16.5" customHeight="1">
      <c r="B154" s="31"/>
      <c r="C154" s="131" t="s">
        <v>186</v>
      </c>
      <c r="D154" s="131" t="s">
        <v>138</v>
      </c>
      <c r="E154" s="132" t="s">
        <v>509</v>
      </c>
      <c r="F154" s="133" t="s">
        <v>510</v>
      </c>
      <c r="G154" s="134" t="s">
        <v>141</v>
      </c>
      <c r="H154" s="135">
        <v>842.07</v>
      </c>
      <c r="I154" s="136"/>
      <c r="J154" s="137">
        <f>ROUND(I154*H154,2)</f>
        <v>0</v>
      </c>
      <c r="K154" s="133" t="s">
        <v>142</v>
      </c>
      <c r="L154" s="31"/>
      <c r="M154" s="138" t="s">
        <v>1</v>
      </c>
      <c r="N154" s="139" t="s">
        <v>48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143</v>
      </c>
      <c r="AT154" s="142" t="s">
        <v>138</v>
      </c>
      <c r="AU154" s="142" t="s">
        <v>94</v>
      </c>
      <c r="AY154" s="15" t="s">
        <v>136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5" t="s">
        <v>91</v>
      </c>
      <c r="BK154" s="143">
        <f>ROUND(I154*H154,2)</f>
        <v>0</v>
      </c>
      <c r="BL154" s="15" t="s">
        <v>143</v>
      </c>
      <c r="BM154" s="142" t="s">
        <v>511</v>
      </c>
    </row>
    <row r="155" spans="2:65" s="12" customFormat="1">
      <c r="B155" s="144"/>
      <c r="D155" s="145" t="s">
        <v>145</v>
      </c>
      <c r="E155" s="146" t="s">
        <v>1</v>
      </c>
      <c r="F155" s="147" t="s">
        <v>506</v>
      </c>
      <c r="H155" s="148">
        <v>147</v>
      </c>
      <c r="I155" s="149"/>
      <c r="L155" s="144"/>
      <c r="M155" s="150"/>
      <c r="T155" s="151"/>
      <c r="AT155" s="146" t="s">
        <v>145</v>
      </c>
      <c r="AU155" s="146" t="s">
        <v>94</v>
      </c>
      <c r="AV155" s="12" t="s">
        <v>94</v>
      </c>
      <c r="AW155" s="12" t="s">
        <v>40</v>
      </c>
      <c r="AX155" s="12" t="s">
        <v>83</v>
      </c>
      <c r="AY155" s="146" t="s">
        <v>136</v>
      </c>
    </row>
    <row r="156" spans="2:65" s="12" customFormat="1">
      <c r="B156" s="144"/>
      <c r="D156" s="145" t="s">
        <v>145</v>
      </c>
      <c r="E156" s="146" t="s">
        <v>1</v>
      </c>
      <c r="F156" s="147" t="s">
        <v>507</v>
      </c>
      <c r="H156" s="148">
        <v>491.5</v>
      </c>
      <c r="I156" s="149"/>
      <c r="L156" s="144"/>
      <c r="M156" s="150"/>
      <c r="T156" s="151"/>
      <c r="AT156" s="146" t="s">
        <v>145</v>
      </c>
      <c r="AU156" s="146" t="s">
        <v>94</v>
      </c>
      <c r="AV156" s="12" t="s">
        <v>94</v>
      </c>
      <c r="AW156" s="12" t="s">
        <v>40</v>
      </c>
      <c r="AX156" s="12" t="s">
        <v>83</v>
      </c>
      <c r="AY156" s="146" t="s">
        <v>136</v>
      </c>
    </row>
    <row r="157" spans="2:65" s="12" customFormat="1">
      <c r="B157" s="144"/>
      <c r="D157" s="145" t="s">
        <v>145</v>
      </c>
      <c r="E157" s="146" t="s">
        <v>1</v>
      </c>
      <c r="F157" s="147" t="s">
        <v>508</v>
      </c>
      <c r="H157" s="148">
        <v>203.57</v>
      </c>
      <c r="I157" s="149"/>
      <c r="L157" s="144"/>
      <c r="M157" s="150"/>
      <c r="T157" s="151"/>
      <c r="AT157" s="146" t="s">
        <v>145</v>
      </c>
      <c r="AU157" s="146" t="s">
        <v>94</v>
      </c>
      <c r="AV157" s="12" t="s">
        <v>94</v>
      </c>
      <c r="AW157" s="12" t="s">
        <v>40</v>
      </c>
      <c r="AX157" s="12" t="s">
        <v>83</v>
      </c>
      <c r="AY157" s="146" t="s">
        <v>136</v>
      </c>
    </row>
    <row r="158" spans="2:65" s="13" customFormat="1">
      <c r="B158" s="152"/>
      <c r="D158" s="145" t="s">
        <v>145</v>
      </c>
      <c r="E158" s="153" t="s">
        <v>1</v>
      </c>
      <c r="F158" s="154" t="s">
        <v>148</v>
      </c>
      <c r="H158" s="155">
        <v>842.07</v>
      </c>
      <c r="I158" s="156"/>
      <c r="L158" s="152"/>
      <c r="M158" s="157"/>
      <c r="T158" s="158"/>
      <c r="AT158" s="153" t="s">
        <v>145</v>
      </c>
      <c r="AU158" s="153" t="s">
        <v>94</v>
      </c>
      <c r="AV158" s="13" t="s">
        <v>143</v>
      </c>
      <c r="AW158" s="13" t="s">
        <v>40</v>
      </c>
      <c r="AX158" s="13" t="s">
        <v>91</v>
      </c>
      <c r="AY158" s="153" t="s">
        <v>136</v>
      </c>
    </row>
    <row r="159" spans="2:65" s="1" customFormat="1" ht="21.75" customHeight="1">
      <c r="B159" s="31"/>
      <c r="C159" s="131" t="s">
        <v>194</v>
      </c>
      <c r="D159" s="131" t="s">
        <v>138</v>
      </c>
      <c r="E159" s="132" t="s">
        <v>215</v>
      </c>
      <c r="F159" s="133" t="s">
        <v>216</v>
      </c>
      <c r="G159" s="134" t="s">
        <v>183</v>
      </c>
      <c r="H159" s="135">
        <v>421.04</v>
      </c>
      <c r="I159" s="136"/>
      <c r="J159" s="137">
        <f>ROUND(I159*H159,2)</f>
        <v>0</v>
      </c>
      <c r="K159" s="133" t="s">
        <v>142</v>
      </c>
      <c r="L159" s="31"/>
      <c r="M159" s="138" t="s">
        <v>1</v>
      </c>
      <c r="N159" s="139" t="s">
        <v>48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143</v>
      </c>
      <c r="AT159" s="142" t="s">
        <v>138</v>
      </c>
      <c r="AU159" s="142" t="s">
        <v>94</v>
      </c>
      <c r="AY159" s="15" t="s">
        <v>136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5" t="s">
        <v>91</v>
      </c>
      <c r="BK159" s="143">
        <f>ROUND(I159*H159,2)</f>
        <v>0</v>
      </c>
      <c r="BL159" s="15" t="s">
        <v>143</v>
      </c>
      <c r="BM159" s="142" t="s">
        <v>512</v>
      </c>
    </row>
    <row r="160" spans="2:65" s="12" customFormat="1">
      <c r="B160" s="144"/>
      <c r="D160" s="145" t="s">
        <v>145</v>
      </c>
      <c r="E160" s="146" t="s">
        <v>1</v>
      </c>
      <c r="F160" s="147" t="s">
        <v>513</v>
      </c>
      <c r="H160" s="148">
        <v>421.04</v>
      </c>
      <c r="I160" s="149"/>
      <c r="L160" s="144"/>
      <c r="M160" s="150"/>
      <c r="T160" s="151"/>
      <c r="AT160" s="146" t="s">
        <v>145</v>
      </c>
      <c r="AU160" s="146" t="s">
        <v>94</v>
      </c>
      <c r="AV160" s="12" t="s">
        <v>94</v>
      </c>
      <c r="AW160" s="12" t="s">
        <v>40</v>
      </c>
      <c r="AX160" s="12" t="s">
        <v>91</v>
      </c>
      <c r="AY160" s="146" t="s">
        <v>136</v>
      </c>
    </row>
    <row r="161" spans="2:65" s="1" customFormat="1" ht="16.5" customHeight="1">
      <c r="B161" s="31"/>
      <c r="C161" s="131" t="s">
        <v>202</v>
      </c>
      <c r="D161" s="131" t="s">
        <v>138</v>
      </c>
      <c r="E161" s="132" t="s">
        <v>220</v>
      </c>
      <c r="F161" s="133" t="s">
        <v>221</v>
      </c>
      <c r="G161" s="134" t="s">
        <v>222</v>
      </c>
      <c r="H161" s="135">
        <v>842.08</v>
      </c>
      <c r="I161" s="136"/>
      <c r="J161" s="137">
        <f>ROUND(I161*H161,2)</f>
        <v>0</v>
      </c>
      <c r="K161" s="133" t="s">
        <v>142</v>
      </c>
      <c r="L161" s="31"/>
      <c r="M161" s="138" t="s">
        <v>1</v>
      </c>
      <c r="N161" s="139" t="s">
        <v>48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143</v>
      </c>
      <c r="AT161" s="142" t="s">
        <v>138</v>
      </c>
      <c r="AU161" s="142" t="s">
        <v>94</v>
      </c>
      <c r="AY161" s="15" t="s">
        <v>136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5" t="s">
        <v>91</v>
      </c>
      <c r="BK161" s="143">
        <f>ROUND(I161*H161,2)</f>
        <v>0</v>
      </c>
      <c r="BL161" s="15" t="s">
        <v>143</v>
      </c>
      <c r="BM161" s="142" t="s">
        <v>514</v>
      </c>
    </row>
    <row r="162" spans="2:65" s="12" customFormat="1">
      <c r="B162" s="144"/>
      <c r="D162" s="145" t="s">
        <v>145</v>
      </c>
      <c r="E162" s="146" t="s">
        <v>1</v>
      </c>
      <c r="F162" s="147" t="s">
        <v>515</v>
      </c>
      <c r="H162" s="148">
        <v>842.08</v>
      </c>
      <c r="I162" s="149"/>
      <c r="L162" s="144"/>
      <c r="M162" s="150"/>
      <c r="T162" s="151"/>
      <c r="AT162" s="146" t="s">
        <v>145</v>
      </c>
      <c r="AU162" s="146" t="s">
        <v>94</v>
      </c>
      <c r="AV162" s="12" t="s">
        <v>94</v>
      </c>
      <c r="AW162" s="12" t="s">
        <v>40</v>
      </c>
      <c r="AX162" s="12" t="s">
        <v>91</v>
      </c>
      <c r="AY162" s="146" t="s">
        <v>136</v>
      </c>
    </row>
    <row r="163" spans="2:65" s="1" customFormat="1" ht="16.5" customHeight="1">
      <c r="B163" s="31"/>
      <c r="C163" s="131" t="s">
        <v>8</v>
      </c>
      <c r="D163" s="131" t="s">
        <v>138</v>
      </c>
      <c r="E163" s="132" t="s">
        <v>226</v>
      </c>
      <c r="F163" s="133" t="s">
        <v>227</v>
      </c>
      <c r="G163" s="134" t="s">
        <v>183</v>
      </c>
      <c r="H163" s="135">
        <v>421.04</v>
      </c>
      <c r="I163" s="136"/>
      <c r="J163" s="137">
        <f>ROUND(I163*H163,2)</f>
        <v>0</v>
      </c>
      <c r="K163" s="133" t="s">
        <v>142</v>
      </c>
      <c r="L163" s="31"/>
      <c r="M163" s="138" t="s">
        <v>1</v>
      </c>
      <c r="N163" s="139" t="s">
        <v>48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143</v>
      </c>
      <c r="AT163" s="142" t="s">
        <v>138</v>
      </c>
      <c r="AU163" s="142" t="s">
        <v>94</v>
      </c>
      <c r="AY163" s="15" t="s">
        <v>136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5" t="s">
        <v>91</v>
      </c>
      <c r="BK163" s="143">
        <f>ROUND(I163*H163,2)</f>
        <v>0</v>
      </c>
      <c r="BL163" s="15" t="s">
        <v>143</v>
      </c>
      <c r="BM163" s="142" t="s">
        <v>516</v>
      </c>
    </row>
    <row r="164" spans="2:65" s="12" customFormat="1">
      <c r="B164" s="144"/>
      <c r="D164" s="145" t="s">
        <v>145</v>
      </c>
      <c r="E164" s="146" t="s">
        <v>1</v>
      </c>
      <c r="F164" s="147" t="s">
        <v>517</v>
      </c>
      <c r="H164" s="148">
        <v>421.04</v>
      </c>
      <c r="I164" s="149"/>
      <c r="L164" s="144"/>
      <c r="M164" s="150"/>
      <c r="T164" s="151"/>
      <c r="AT164" s="146" t="s">
        <v>145</v>
      </c>
      <c r="AU164" s="146" t="s">
        <v>94</v>
      </c>
      <c r="AV164" s="12" t="s">
        <v>94</v>
      </c>
      <c r="AW164" s="12" t="s">
        <v>40</v>
      </c>
      <c r="AX164" s="12" t="s">
        <v>91</v>
      </c>
      <c r="AY164" s="146" t="s">
        <v>136</v>
      </c>
    </row>
    <row r="165" spans="2:65" s="1" customFormat="1" ht="16.5" customHeight="1">
      <c r="B165" s="31"/>
      <c r="C165" s="131" t="s">
        <v>210</v>
      </c>
      <c r="D165" s="131" t="s">
        <v>138</v>
      </c>
      <c r="E165" s="132" t="s">
        <v>230</v>
      </c>
      <c r="F165" s="133" t="s">
        <v>231</v>
      </c>
      <c r="G165" s="134" t="s">
        <v>183</v>
      </c>
      <c r="H165" s="135">
        <v>283.54000000000002</v>
      </c>
      <c r="I165" s="136"/>
      <c r="J165" s="137">
        <f>ROUND(I165*H165,2)</f>
        <v>0</v>
      </c>
      <c r="K165" s="133" t="s">
        <v>142</v>
      </c>
      <c r="L165" s="31"/>
      <c r="M165" s="138" t="s">
        <v>1</v>
      </c>
      <c r="N165" s="139" t="s">
        <v>48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143</v>
      </c>
      <c r="AT165" s="142" t="s">
        <v>138</v>
      </c>
      <c r="AU165" s="142" t="s">
        <v>94</v>
      </c>
      <c r="AY165" s="15" t="s">
        <v>136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5" t="s">
        <v>91</v>
      </c>
      <c r="BK165" s="143">
        <f>ROUND(I165*H165,2)</f>
        <v>0</v>
      </c>
      <c r="BL165" s="15" t="s">
        <v>143</v>
      </c>
      <c r="BM165" s="142" t="s">
        <v>518</v>
      </c>
    </row>
    <row r="166" spans="2:65" s="12" customFormat="1">
      <c r="B166" s="144"/>
      <c r="D166" s="145" t="s">
        <v>145</v>
      </c>
      <c r="E166" s="146" t="s">
        <v>1</v>
      </c>
      <c r="F166" s="147" t="s">
        <v>519</v>
      </c>
      <c r="H166" s="148">
        <v>283.54000000000002</v>
      </c>
      <c r="I166" s="149"/>
      <c r="L166" s="144"/>
      <c r="M166" s="150"/>
      <c r="T166" s="151"/>
      <c r="AT166" s="146" t="s">
        <v>145</v>
      </c>
      <c r="AU166" s="146" t="s">
        <v>94</v>
      </c>
      <c r="AV166" s="12" t="s">
        <v>94</v>
      </c>
      <c r="AW166" s="12" t="s">
        <v>40</v>
      </c>
      <c r="AX166" s="12" t="s">
        <v>91</v>
      </c>
      <c r="AY166" s="146" t="s">
        <v>136</v>
      </c>
    </row>
    <row r="167" spans="2:65" s="1" customFormat="1" ht="16.5" customHeight="1">
      <c r="B167" s="31"/>
      <c r="C167" s="159" t="s">
        <v>214</v>
      </c>
      <c r="D167" s="159" t="s">
        <v>234</v>
      </c>
      <c r="E167" s="160" t="s">
        <v>235</v>
      </c>
      <c r="F167" s="161" t="s">
        <v>236</v>
      </c>
      <c r="G167" s="162" t="s">
        <v>222</v>
      </c>
      <c r="H167" s="163">
        <v>567.08000000000004</v>
      </c>
      <c r="I167" s="164"/>
      <c r="J167" s="165">
        <f>ROUND(I167*H167,2)</f>
        <v>0</v>
      </c>
      <c r="K167" s="161" t="s">
        <v>520</v>
      </c>
      <c r="L167" s="166"/>
      <c r="M167" s="167" t="s">
        <v>1</v>
      </c>
      <c r="N167" s="168" t="s">
        <v>48</v>
      </c>
      <c r="P167" s="140">
        <f>O167*H167</f>
        <v>0</v>
      </c>
      <c r="Q167" s="140">
        <v>1</v>
      </c>
      <c r="R167" s="140">
        <f>Q167*H167</f>
        <v>567.08000000000004</v>
      </c>
      <c r="S167" s="140">
        <v>0</v>
      </c>
      <c r="T167" s="141">
        <f>S167*H167</f>
        <v>0</v>
      </c>
      <c r="AR167" s="142" t="s">
        <v>180</v>
      </c>
      <c r="AT167" s="142" t="s">
        <v>234</v>
      </c>
      <c r="AU167" s="142" t="s">
        <v>94</v>
      </c>
      <c r="AY167" s="15" t="s">
        <v>136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5" t="s">
        <v>91</v>
      </c>
      <c r="BK167" s="143">
        <f>ROUND(I167*H167,2)</f>
        <v>0</v>
      </c>
      <c r="BL167" s="15" t="s">
        <v>143</v>
      </c>
      <c r="BM167" s="142" t="s">
        <v>521</v>
      </c>
    </row>
    <row r="168" spans="2:65" s="12" customFormat="1">
      <c r="B168" s="144"/>
      <c r="D168" s="145" t="s">
        <v>145</v>
      </c>
      <c r="E168" s="146" t="s">
        <v>1</v>
      </c>
      <c r="F168" s="147" t="s">
        <v>522</v>
      </c>
      <c r="H168" s="148">
        <v>567.08000000000004</v>
      </c>
      <c r="I168" s="149"/>
      <c r="L168" s="144"/>
      <c r="M168" s="150"/>
      <c r="T168" s="151"/>
      <c r="AT168" s="146" t="s">
        <v>145</v>
      </c>
      <c r="AU168" s="146" t="s">
        <v>94</v>
      </c>
      <c r="AV168" s="12" t="s">
        <v>94</v>
      </c>
      <c r="AW168" s="12" t="s">
        <v>40</v>
      </c>
      <c r="AX168" s="12" t="s">
        <v>91</v>
      </c>
      <c r="AY168" s="146" t="s">
        <v>136</v>
      </c>
    </row>
    <row r="169" spans="2:65" s="1" customFormat="1" ht="16.5" customHeight="1">
      <c r="B169" s="31"/>
      <c r="C169" s="131" t="s">
        <v>219</v>
      </c>
      <c r="D169" s="131" t="s">
        <v>138</v>
      </c>
      <c r="E169" s="132" t="s">
        <v>240</v>
      </c>
      <c r="F169" s="133" t="s">
        <v>241</v>
      </c>
      <c r="G169" s="134" t="s">
        <v>183</v>
      </c>
      <c r="H169" s="135">
        <v>107.55</v>
      </c>
      <c r="I169" s="136"/>
      <c r="J169" s="137">
        <f>ROUND(I169*H169,2)</f>
        <v>0</v>
      </c>
      <c r="K169" s="133" t="s">
        <v>142</v>
      </c>
      <c r="L169" s="31"/>
      <c r="M169" s="138" t="s">
        <v>1</v>
      </c>
      <c r="N169" s="139" t="s">
        <v>48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143</v>
      </c>
      <c r="AT169" s="142" t="s">
        <v>138</v>
      </c>
      <c r="AU169" s="142" t="s">
        <v>94</v>
      </c>
      <c r="AY169" s="15" t="s">
        <v>136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5" t="s">
        <v>91</v>
      </c>
      <c r="BK169" s="143">
        <f>ROUND(I169*H169,2)</f>
        <v>0</v>
      </c>
      <c r="BL169" s="15" t="s">
        <v>143</v>
      </c>
      <c r="BM169" s="142" t="s">
        <v>523</v>
      </c>
    </row>
    <row r="170" spans="2:65" s="12" customFormat="1">
      <c r="B170" s="144"/>
      <c r="D170" s="145" t="s">
        <v>145</v>
      </c>
      <c r="E170" s="146" t="s">
        <v>1</v>
      </c>
      <c r="F170" s="147" t="s">
        <v>524</v>
      </c>
      <c r="H170" s="148">
        <v>107.55</v>
      </c>
      <c r="I170" s="149"/>
      <c r="L170" s="144"/>
      <c r="M170" s="150"/>
      <c r="T170" s="151"/>
      <c r="AT170" s="146" t="s">
        <v>145</v>
      </c>
      <c r="AU170" s="146" t="s">
        <v>94</v>
      </c>
      <c r="AV170" s="12" t="s">
        <v>94</v>
      </c>
      <c r="AW170" s="12" t="s">
        <v>40</v>
      </c>
      <c r="AX170" s="12" t="s">
        <v>91</v>
      </c>
      <c r="AY170" s="146" t="s">
        <v>136</v>
      </c>
    </row>
    <row r="171" spans="2:65" s="1" customFormat="1" ht="16.5" customHeight="1">
      <c r="B171" s="31"/>
      <c r="C171" s="159" t="s">
        <v>225</v>
      </c>
      <c r="D171" s="159" t="s">
        <v>234</v>
      </c>
      <c r="E171" s="160" t="s">
        <v>247</v>
      </c>
      <c r="F171" s="161" t="s">
        <v>248</v>
      </c>
      <c r="G171" s="162" t="s">
        <v>222</v>
      </c>
      <c r="H171" s="163">
        <v>215.1</v>
      </c>
      <c r="I171" s="164"/>
      <c r="J171" s="165">
        <f>ROUND(I171*H171,2)</f>
        <v>0</v>
      </c>
      <c r="K171" s="161" t="s">
        <v>520</v>
      </c>
      <c r="L171" s="166"/>
      <c r="M171" s="167" t="s">
        <v>1</v>
      </c>
      <c r="N171" s="168" t="s">
        <v>48</v>
      </c>
      <c r="P171" s="140">
        <f>O171*H171</f>
        <v>0</v>
      </c>
      <c r="Q171" s="140">
        <v>1</v>
      </c>
      <c r="R171" s="140">
        <f>Q171*H171</f>
        <v>215.1</v>
      </c>
      <c r="S171" s="140">
        <v>0</v>
      </c>
      <c r="T171" s="141">
        <f>S171*H171</f>
        <v>0</v>
      </c>
      <c r="AR171" s="142" t="s">
        <v>180</v>
      </c>
      <c r="AT171" s="142" t="s">
        <v>234</v>
      </c>
      <c r="AU171" s="142" t="s">
        <v>94</v>
      </c>
      <c r="AY171" s="15" t="s">
        <v>136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5" t="s">
        <v>91</v>
      </c>
      <c r="BK171" s="143">
        <f>ROUND(I171*H171,2)</f>
        <v>0</v>
      </c>
      <c r="BL171" s="15" t="s">
        <v>143</v>
      </c>
      <c r="BM171" s="142" t="s">
        <v>525</v>
      </c>
    </row>
    <row r="172" spans="2:65" s="12" customFormat="1">
      <c r="B172" s="144"/>
      <c r="D172" s="145" t="s">
        <v>145</v>
      </c>
      <c r="E172" s="146" t="s">
        <v>1</v>
      </c>
      <c r="F172" s="147" t="s">
        <v>526</v>
      </c>
      <c r="H172" s="148">
        <v>215.1</v>
      </c>
      <c r="I172" s="149"/>
      <c r="L172" s="144"/>
      <c r="M172" s="150"/>
      <c r="T172" s="151"/>
      <c r="AT172" s="146" t="s">
        <v>145</v>
      </c>
      <c r="AU172" s="146" t="s">
        <v>94</v>
      </c>
      <c r="AV172" s="12" t="s">
        <v>94</v>
      </c>
      <c r="AW172" s="12" t="s">
        <v>40</v>
      </c>
      <c r="AX172" s="12" t="s">
        <v>91</v>
      </c>
      <c r="AY172" s="146" t="s">
        <v>136</v>
      </c>
    </row>
    <row r="173" spans="2:65" s="11" customFormat="1" ht="22.9" customHeight="1">
      <c r="B173" s="119"/>
      <c r="D173" s="120" t="s">
        <v>82</v>
      </c>
      <c r="E173" s="129" t="s">
        <v>143</v>
      </c>
      <c r="F173" s="129" t="s">
        <v>256</v>
      </c>
      <c r="I173" s="122"/>
      <c r="J173" s="130">
        <f>BK173</f>
        <v>0</v>
      </c>
      <c r="L173" s="119"/>
      <c r="M173" s="124"/>
      <c r="P173" s="125">
        <f>SUM(P174:P190)</f>
        <v>0</v>
      </c>
      <c r="R173" s="125">
        <f>SUM(R174:R190)</f>
        <v>1.7041068000000001</v>
      </c>
      <c r="T173" s="126">
        <f>SUM(T174:T190)</f>
        <v>0</v>
      </c>
      <c r="AR173" s="120" t="s">
        <v>91</v>
      </c>
      <c r="AT173" s="127" t="s">
        <v>82</v>
      </c>
      <c r="AU173" s="127" t="s">
        <v>91</v>
      </c>
      <c r="AY173" s="120" t="s">
        <v>136</v>
      </c>
      <c r="BK173" s="128">
        <f>SUM(BK174:BK190)</f>
        <v>0</v>
      </c>
    </row>
    <row r="174" spans="2:65" s="1" customFormat="1" ht="16.5" customHeight="1">
      <c r="B174" s="31"/>
      <c r="C174" s="131" t="s">
        <v>229</v>
      </c>
      <c r="D174" s="131" t="s">
        <v>138</v>
      </c>
      <c r="E174" s="132" t="s">
        <v>258</v>
      </c>
      <c r="F174" s="133" t="s">
        <v>259</v>
      </c>
      <c r="G174" s="134" t="s">
        <v>183</v>
      </c>
      <c r="H174" s="135">
        <v>27.5</v>
      </c>
      <c r="I174" s="136"/>
      <c r="J174" s="137">
        <f>ROUND(I174*H174,2)</f>
        <v>0</v>
      </c>
      <c r="K174" s="133" t="s">
        <v>142</v>
      </c>
      <c r="L174" s="31"/>
      <c r="M174" s="138" t="s">
        <v>1</v>
      </c>
      <c r="N174" s="139" t="s">
        <v>48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143</v>
      </c>
      <c r="AT174" s="142" t="s">
        <v>138</v>
      </c>
      <c r="AU174" s="142" t="s">
        <v>94</v>
      </c>
      <c r="AY174" s="15" t="s">
        <v>136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5" t="s">
        <v>91</v>
      </c>
      <c r="BK174" s="143">
        <f>ROUND(I174*H174,2)</f>
        <v>0</v>
      </c>
      <c r="BL174" s="15" t="s">
        <v>143</v>
      </c>
      <c r="BM174" s="142" t="s">
        <v>527</v>
      </c>
    </row>
    <row r="175" spans="2:65" s="12" customFormat="1">
      <c r="B175" s="144"/>
      <c r="D175" s="145" t="s">
        <v>145</v>
      </c>
      <c r="E175" s="146" t="s">
        <v>1</v>
      </c>
      <c r="F175" s="147" t="s">
        <v>528</v>
      </c>
      <c r="H175" s="148">
        <v>4.9000000000000004</v>
      </c>
      <c r="I175" s="149"/>
      <c r="L175" s="144"/>
      <c r="M175" s="150"/>
      <c r="T175" s="151"/>
      <c r="AT175" s="146" t="s">
        <v>145</v>
      </c>
      <c r="AU175" s="146" t="s">
        <v>94</v>
      </c>
      <c r="AV175" s="12" t="s">
        <v>94</v>
      </c>
      <c r="AW175" s="12" t="s">
        <v>40</v>
      </c>
      <c r="AX175" s="12" t="s">
        <v>83</v>
      </c>
      <c r="AY175" s="146" t="s">
        <v>136</v>
      </c>
    </row>
    <row r="176" spans="2:65" s="12" customFormat="1">
      <c r="B176" s="144"/>
      <c r="D176" s="145" t="s">
        <v>145</v>
      </c>
      <c r="E176" s="146" t="s">
        <v>1</v>
      </c>
      <c r="F176" s="147" t="s">
        <v>529</v>
      </c>
      <c r="H176" s="148">
        <v>15.6</v>
      </c>
      <c r="I176" s="149"/>
      <c r="L176" s="144"/>
      <c r="M176" s="150"/>
      <c r="T176" s="151"/>
      <c r="AT176" s="146" t="s">
        <v>145</v>
      </c>
      <c r="AU176" s="146" t="s">
        <v>94</v>
      </c>
      <c r="AV176" s="12" t="s">
        <v>94</v>
      </c>
      <c r="AW176" s="12" t="s">
        <v>40</v>
      </c>
      <c r="AX176" s="12" t="s">
        <v>83</v>
      </c>
      <c r="AY176" s="146" t="s">
        <v>136</v>
      </c>
    </row>
    <row r="177" spans="2:65" s="12" customFormat="1">
      <c r="B177" s="144"/>
      <c r="D177" s="145" t="s">
        <v>145</v>
      </c>
      <c r="E177" s="146" t="s">
        <v>1</v>
      </c>
      <c r="F177" s="147" t="s">
        <v>530</v>
      </c>
      <c r="H177" s="148">
        <v>7</v>
      </c>
      <c r="I177" s="149"/>
      <c r="L177" s="144"/>
      <c r="M177" s="150"/>
      <c r="T177" s="151"/>
      <c r="AT177" s="146" t="s">
        <v>145</v>
      </c>
      <c r="AU177" s="146" t="s">
        <v>94</v>
      </c>
      <c r="AV177" s="12" t="s">
        <v>94</v>
      </c>
      <c r="AW177" s="12" t="s">
        <v>40</v>
      </c>
      <c r="AX177" s="12" t="s">
        <v>83</v>
      </c>
      <c r="AY177" s="146" t="s">
        <v>136</v>
      </c>
    </row>
    <row r="178" spans="2:65" s="13" customFormat="1">
      <c r="B178" s="152"/>
      <c r="D178" s="145" t="s">
        <v>145</v>
      </c>
      <c r="E178" s="153" t="s">
        <v>1</v>
      </c>
      <c r="F178" s="154" t="s">
        <v>148</v>
      </c>
      <c r="H178" s="155">
        <v>27.5</v>
      </c>
      <c r="I178" s="156"/>
      <c r="L178" s="152"/>
      <c r="M178" s="157"/>
      <c r="T178" s="158"/>
      <c r="AT178" s="153" t="s">
        <v>145</v>
      </c>
      <c r="AU178" s="153" t="s">
        <v>94</v>
      </c>
      <c r="AV178" s="13" t="s">
        <v>143</v>
      </c>
      <c r="AW178" s="13" t="s">
        <v>40</v>
      </c>
      <c r="AX178" s="13" t="s">
        <v>91</v>
      </c>
      <c r="AY178" s="153" t="s">
        <v>136</v>
      </c>
    </row>
    <row r="179" spans="2:65" s="1" customFormat="1" ht="16.5" customHeight="1">
      <c r="B179" s="31"/>
      <c r="C179" s="159" t="s">
        <v>168</v>
      </c>
      <c r="D179" s="159" t="s">
        <v>234</v>
      </c>
      <c r="E179" s="160" t="s">
        <v>265</v>
      </c>
      <c r="F179" s="161" t="s">
        <v>266</v>
      </c>
      <c r="G179" s="162" t="s">
        <v>172</v>
      </c>
      <c r="H179" s="163">
        <v>12</v>
      </c>
      <c r="I179" s="164"/>
      <c r="J179" s="165">
        <f>ROUND(I179*H179,2)</f>
        <v>0</v>
      </c>
      <c r="K179" s="161" t="s">
        <v>520</v>
      </c>
      <c r="L179" s="166"/>
      <c r="M179" s="167" t="s">
        <v>1</v>
      </c>
      <c r="N179" s="168" t="s">
        <v>48</v>
      </c>
      <c r="P179" s="140">
        <f>O179*H179</f>
        <v>0</v>
      </c>
      <c r="Q179" s="140">
        <v>9.7000000000000003E-2</v>
      </c>
      <c r="R179" s="140">
        <f>Q179*H179</f>
        <v>1.1640000000000001</v>
      </c>
      <c r="S179" s="140">
        <v>0</v>
      </c>
      <c r="T179" s="141">
        <f>S179*H179</f>
        <v>0</v>
      </c>
      <c r="AR179" s="142" t="s">
        <v>180</v>
      </c>
      <c r="AT179" s="142" t="s">
        <v>234</v>
      </c>
      <c r="AU179" s="142" t="s">
        <v>94</v>
      </c>
      <c r="AY179" s="15" t="s">
        <v>136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5" t="s">
        <v>91</v>
      </c>
      <c r="BK179" s="143">
        <f>ROUND(I179*H179,2)</f>
        <v>0</v>
      </c>
      <c r="BL179" s="15" t="s">
        <v>143</v>
      </c>
      <c r="BM179" s="142" t="s">
        <v>531</v>
      </c>
    </row>
    <row r="180" spans="2:65" s="12" customFormat="1">
      <c r="B180" s="144"/>
      <c r="D180" s="145" t="s">
        <v>145</v>
      </c>
      <c r="E180" s="146" t="s">
        <v>1</v>
      </c>
      <c r="F180" s="147" t="s">
        <v>532</v>
      </c>
      <c r="H180" s="148">
        <v>12</v>
      </c>
      <c r="I180" s="149"/>
      <c r="L180" s="144"/>
      <c r="M180" s="150"/>
      <c r="T180" s="151"/>
      <c r="AT180" s="146" t="s">
        <v>145</v>
      </c>
      <c r="AU180" s="146" t="s">
        <v>94</v>
      </c>
      <c r="AV180" s="12" t="s">
        <v>94</v>
      </c>
      <c r="AW180" s="12" t="s">
        <v>40</v>
      </c>
      <c r="AX180" s="12" t="s">
        <v>91</v>
      </c>
      <c r="AY180" s="146" t="s">
        <v>136</v>
      </c>
    </row>
    <row r="181" spans="2:65" s="1" customFormat="1" ht="16.5" customHeight="1">
      <c r="B181" s="31"/>
      <c r="C181" s="159" t="s">
        <v>239</v>
      </c>
      <c r="D181" s="159" t="s">
        <v>234</v>
      </c>
      <c r="E181" s="160" t="s">
        <v>270</v>
      </c>
      <c r="F181" s="161" t="s">
        <v>271</v>
      </c>
      <c r="G181" s="162" t="s">
        <v>172</v>
      </c>
      <c r="H181" s="163">
        <v>12</v>
      </c>
      <c r="I181" s="164"/>
      <c r="J181" s="165">
        <f>ROUND(I181*H181,2)</f>
        <v>0</v>
      </c>
      <c r="K181" s="161" t="s">
        <v>520</v>
      </c>
      <c r="L181" s="166"/>
      <c r="M181" s="167" t="s">
        <v>1</v>
      </c>
      <c r="N181" s="168" t="s">
        <v>48</v>
      </c>
      <c r="P181" s="140">
        <f>O181*H181</f>
        <v>0</v>
      </c>
      <c r="Q181" s="140">
        <v>3.7999999999999999E-2</v>
      </c>
      <c r="R181" s="140">
        <f>Q181*H181</f>
        <v>0.45599999999999996</v>
      </c>
      <c r="S181" s="140">
        <v>0</v>
      </c>
      <c r="T181" s="141">
        <f>S181*H181</f>
        <v>0</v>
      </c>
      <c r="AR181" s="142" t="s">
        <v>180</v>
      </c>
      <c r="AT181" s="142" t="s">
        <v>234</v>
      </c>
      <c r="AU181" s="142" t="s">
        <v>94</v>
      </c>
      <c r="AY181" s="15" t="s">
        <v>136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5" t="s">
        <v>91</v>
      </c>
      <c r="BK181" s="143">
        <f>ROUND(I181*H181,2)</f>
        <v>0</v>
      </c>
      <c r="BL181" s="15" t="s">
        <v>143</v>
      </c>
      <c r="BM181" s="142" t="s">
        <v>533</v>
      </c>
    </row>
    <row r="182" spans="2:65" s="12" customFormat="1">
      <c r="B182" s="144"/>
      <c r="D182" s="145" t="s">
        <v>145</v>
      </c>
      <c r="E182" s="146" t="s">
        <v>1</v>
      </c>
      <c r="F182" s="147" t="s">
        <v>532</v>
      </c>
      <c r="H182" s="148">
        <v>12</v>
      </c>
      <c r="I182" s="149"/>
      <c r="L182" s="144"/>
      <c r="M182" s="150"/>
      <c r="T182" s="151"/>
      <c r="AT182" s="146" t="s">
        <v>145</v>
      </c>
      <c r="AU182" s="146" t="s">
        <v>94</v>
      </c>
      <c r="AV182" s="12" t="s">
        <v>94</v>
      </c>
      <c r="AW182" s="12" t="s">
        <v>40</v>
      </c>
      <c r="AX182" s="12" t="s">
        <v>91</v>
      </c>
      <c r="AY182" s="146" t="s">
        <v>136</v>
      </c>
    </row>
    <row r="183" spans="2:65" s="1" customFormat="1" ht="16.5" customHeight="1">
      <c r="B183" s="31"/>
      <c r="C183" s="131" t="s">
        <v>246</v>
      </c>
      <c r="D183" s="131" t="s">
        <v>138</v>
      </c>
      <c r="E183" s="132" t="s">
        <v>274</v>
      </c>
      <c r="F183" s="133" t="s">
        <v>275</v>
      </c>
      <c r="G183" s="134" t="s">
        <v>276</v>
      </c>
      <c r="H183" s="135">
        <v>36</v>
      </c>
      <c r="I183" s="136"/>
      <c r="J183" s="137">
        <f>ROUND(I183*H183,2)</f>
        <v>0</v>
      </c>
      <c r="K183" s="133" t="s">
        <v>142</v>
      </c>
      <c r="L183" s="31"/>
      <c r="M183" s="138" t="s">
        <v>1</v>
      </c>
      <c r="N183" s="139" t="s">
        <v>48</v>
      </c>
      <c r="P183" s="140">
        <f>O183*H183</f>
        <v>0</v>
      </c>
      <c r="Q183" s="140">
        <v>1.65E-3</v>
      </c>
      <c r="R183" s="140">
        <f>Q183*H183</f>
        <v>5.9400000000000001E-2</v>
      </c>
      <c r="S183" s="140">
        <v>0</v>
      </c>
      <c r="T183" s="141">
        <f>S183*H183</f>
        <v>0</v>
      </c>
      <c r="AR183" s="142" t="s">
        <v>143</v>
      </c>
      <c r="AT183" s="142" t="s">
        <v>138</v>
      </c>
      <c r="AU183" s="142" t="s">
        <v>94</v>
      </c>
      <c r="AY183" s="15" t="s">
        <v>136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5" t="s">
        <v>91</v>
      </c>
      <c r="BK183" s="143">
        <f>ROUND(I183*H183,2)</f>
        <v>0</v>
      </c>
      <c r="BL183" s="15" t="s">
        <v>143</v>
      </c>
      <c r="BM183" s="142" t="s">
        <v>534</v>
      </c>
    </row>
    <row r="184" spans="2:65" s="12" customFormat="1">
      <c r="B184" s="144"/>
      <c r="D184" s="145" t="s">
        <v>145</v>
      </c>
      <c r="E184" s="146" t="s">
        <v>1</v>
      </c>
      <c r="F184" s="147" t="s">
        <v>535</v>
      </c>
      <c r="H184" s="148">
        <v>36</v>
      </c>
      <c r="I184" s="149"/>
      <c r="L184" s="144"/>
      <c r="M184" s="150"/>
      <c r="T184" s="151"/>
      <c r="AT184" s="146" t="s">
        <v>145</v>
      </c>
      <c r="AU184" s="146" t="s">
        <v>94</v>
      </c>
      <c r="AV184" s="12" t="s">
        <v>94</v>
      </c>
      <c r="AW184" s="12" t="s">
        <v>40</v>
      </c>
      <c r="AX184" s="12" t="s">
        <v>91</v>
      </c>
      <c r="AY184" s="146" t="s">
        <v>136</v>
      </c>
    </row>
    <row r="185" spans="2:65" s="1" customFormat="1" ht="16.5" customHeight="1">
      <c r="B185" s="31"/>
      <c r="C185" s="131" t="s">
        <v>7</v>
      </c>
      <c r="D185" s="131" t="s">
        <v>138</v>
      </c>
      <c r="E185" s="132" t="s">
        <v>536</v>
      </c>
      <c r="F185" s="133" t="s">
        <v>537</v>
      </c>
      <c r="G185" s="134" t="s">
        <v>183</v>
      </c>
      <c r="H185" s="135">
        <v>0.54</v>
      </c>
      <c r="I185" s="136"/>
      <c r="J185" s="137">
        <f>ROUND(I185*H185,2)</f>
        <v>0</v>
      </c>
      <c r="K185" s="133" t="s">
        <v>142</v>
      </c>
      <c r="L185" s="31"/>
      <c r="M185" s="138" t="s">
        <v>1</v>
      </c>
      <c r="N185" s="139" t="s">
        <v>48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143</v>
      </c>
      <c r="AT185" s="142" t="s">
        <v>138</v>
      </c>
      <c r="AU185" s="142" t="s">
        <v>94</v>
      </c>
      <c r="AY185" s="15" t="s">
        <v>136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5" t="s">
        <v>91</v>
      </c>
      <c r="BK185" s="143">
        <f>ROUND(I185*H185,2)</f>
        <v>0</v>
      </c>
      <c r="BL185" s="15" t="s">
        <v>143</v>
      </c>
      <c r="BM185" s="142" t="s">
        <v>538</v>
      </c>
    </row>
    <row r="186" spans="2:65" s="12" customFormat="1">
      <c r="B186" s="144"/>
      <c r="D186" s="145" t="s">
        <v>145</v>
      </c>
      <c r="E186" s="146" t="s">
        <v>1</v>
      </c>
      <c r="F186" s="147" t="s">
        <v>539</v>
      </c>
      <c r="H186" s="148">
        <v>0.54</v>
      </c>
      <c r="I186" s="149"/>
      <c r="L186" s="144"/>
      <c r="M186" s="150"/>
      <c r="T186" s="151"/>
      <c r="AT186" s="146" t="s">
        <v>145</v>
      </c>
      <c r="AU186" s="146" t="s">
        <v>94</v>
      </c>
      <c r="AV186" s="12" t="s">
        <v>94</v>
      </c>
      <c r="AW186" s="12" t="s">
        <v>40</v>
      </c>
      <c r="AX186" s="12" t="s">
        <v>91</v>
      </c>
      <c r="AY186" s="146" t="s">
        <v>136</v>
      </c>
    </row>
    <row r="187" spans="2:65" s="1" customFormat="1" ht="16.5" customHeight="1">
      <c r="B187" s="31"/>
      <c r="C187" s="131" t="s">
        <v>257</v>
      </c>
      <c r="D187" s="131" t="s">
        <v>138</v>
      </c>
      <c r="E187" s="132" t="s">
        <v>540</v>
      </c>
      <c r="F187" s="133" t="s">
        <v>541</v>
      </c>
      <c r="G187" s="134" t="s">
        <v>141</v>
      </c>
      <c r="H187" s="135">
        <v>2.88</v>
      </c>
      <c r="I187" s="136"/>
      <c r="J187" s="137">
        <f>ROUND(I187*H187,2)</f>
        <v>0</v>
      </c>
      <c r="K187" s="133" t="s">
        <v>142</v>
      </c>
      <c r="L187" s="31"/>
      <c r="M187" s="138" t="s">
        <v>1</v>
      </c>
      <c r="N187" s="139" t="s">
        <v>48</v>
      </c>
      <c r="P187" s="140">
        <f>O187*H187</f>
        <v>0</v>
      </c>
      <c r="Q187" s="140">
        <v>6.3899999999999998E-3</v>
      </c>
      <c r="R187" s="140">
        <f>Q187*H187</f>
        <v>1.8403199999999998E-2</v>
      </c>
      <c r="S187" s="140">
        <v>0</v>
      </c>
      <c r="T187" s="141">
        <f>S187*H187</f>
        <v>0</v>
      </c>
      <c r="AR187" s="142" t="s">
        <v>143</v>
      </c>
      <c r="AT187" s="142" t="s">
        <v>138</v>
      </c>
      <c r="AU187" s="142" t="s">
        <v>94</v>
      </c>
      <c r="AY187" s="15" t="s">
        <v>136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5" t="s">
        <v>91</v>
      </c>
      <c r="BK187" s="143">
        <f>ROUND(I187*H187,2)</f>
        <v>0</v>
      </c>
      <c r="BL187" s="15" t="s">
        <v>143</v>
      </c>
      <c r="BM187" s="142" t="s">
        <v>542</v>
      </c>
    </row>
    <row r="188" spans="2:65" s="12" customFormat="1">
      <c r="B188" s="144"/>
      <c r="D188" s="145" t="s">
        <v>145</v>
      </c>
      <c r="E188" s="146" t="s">
        <v>1</v>
      </c>
      <c r="F188" s="147" t="s">
        <v>543</v>
      </c>
      <c r="H188" s="148">
        <v>2.88</v>
      </c>
      <c r="I188" s="149"/>
      <c r="L188" s="144"/>
      <c r="M188" s="150"/>
      <c r="T188" s="151"/>
      <c r="AT188" s="146" t="s">
        <v>145</v>
      </c>
      <c r="AU188" s="146" t="s">
        <v>94</v>
      </c>
      <c r="AV188" s="12" t="s">
        <v>94</v>
      </c>
      <c r="AW188" s="12" t="s">
        <v>40</v>
      </c>
      <c r="AX188" s="12" t="s">
        <v>91</v>
      </c>
      <c r="AY188" s="146" t="s">
        <v>136</v>
      </c>
    </row>
    <row r="189" spans="2:65" s="1" customFormat="1" ht="16.5" customHeight="1">
      <c r="B189" s="31"/>
      <c r="C189" s="131" t="s">
        <v>264</v>
      </c>
      <c r="D189" s="131" t="s">
        <v>138</v>
      </c>
      <c r="E189" s="132" t="s">
        <v>544</v>
      </c>
      <c r="F189" s="133" t="s">
        <v>545</v>
      </c>
      <c r="G189" s="134" t="s">
        <v>222</v>
      </c>
      <c r="H189" s="135">
        <v>6.0000000000000001E-3</v>
      </c>
      <c r="I189" s="136"/>
      <c r="J189" s="137">
        <f>ROUND(I189*H189,2)</f>
        <v>0</v>
      </c>
      <c r="K189" s="133" t="s">
        <v>142</v>
      </c>
      <c r="L189" s="31"/>
      <c r="M189" s="138" t="s">
        <v>1</v>
      </c>
      <c r="N189" s="139" t="s">
        <v>48</v>
      </c>
      <c r="P189" s="140">
        <f>O189*H189</f>
        <v>0</v>
      </c>
      <c r="Q189" s="140">
        <v>1.0506</v>
      </c>
      <c r="R189" s="140">
        <f>Q189*H189</f>
        <v>6.3036000000000003E-3</v>
      </c>
      <c r="S189" s="140">
        <v>0</v>
      </c>
      <c r="T189" s="141">
        <f>S189*H189</f>
        <v>0</v>
      </c>
      <c r="AR189" s="142" t="s">
        <v>143</v>
      </c>
      <c r="AT189" s="142" t="s">
        <v>138</v>
      </c>
      <c r="AU189" s="142" t="s">
        <v>94</v>
      </c>
      <c r="AY189" s="15" t="s">
        <v>136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5" t="s">
        <v>91</v>
      </c>
      <c r="BK189" s="143">
        <f>ROUND(I189*H189,2)</f>
        <v>0</v>
      </c>
      <c r="BL189" s="15" t="s">
        <v>143</v>
      </c>
      <c r="BM189" s="142" t="s">
        <v>546</v>
      </c>
    </row>
    <row r="190" spans="2:65" s="12" customFormat="1">
      <c r="B190" s="144"/>
      <c r="D190" s="145" t="s">
        <v>145</v>
      </c>
      <c r="E190" s="146" t="s">
        <v>1</v>
      </c>
      <c r="F190" s="147" t="s">
        <v>547</v>
      </c>
      <c r="H190" s="148">
        <v>6.0000000000000001E-3</v>
      </c>
      <c r="I190" s="149"/>
      <c r="L190" s="144"/>
      <c r="M190" s="150"/>
      <c r="T190" s="151"/>
      <c r="AT190" s="146" t="s">
        <v>145</v>
      </c>
      <c r="AU190" s="146" t="s">
        <v>94</v>
      </c>
      <c r="AV190" s="12" t="s">
        <v>94</v>
      </c>
      <c r="AW190" s="12" t="s">
        <v>40</v>
      </c>
      <c r="AX190" s="12" t="s">
        <v>91</v>
      </c>
      <c r="AY190" s="146" t="s">
        <v>136</v>
      </c>
    </row>
    <row r="191" spans="2:65" s="11" customFormat="1" ht="22.9" customHeight="1">
      <c r="B191" s="119"/>
      <c r="D191" s="120" t="s">
        <v>82</v>
      </c>
      <c r="E191" s="129" t="s">
        <v>163</v>
      </c>
      <c r="F191" s="129" t="s">
        <v>279</v>
      </c>
      <c r="I191" s="122"/>
      <c r="J191" s="130">
        <f>BK191</f>
        <v>0</v>
      </c>
      <c r="L191" s="119"/>
      <c r="M191" s="124"/>
      <c r="P191" s="125">
        <f>SUM(P192:P195)</f>
        <v>0</v>
      </c>
      <c r="R191" s="125">
        <f>SUM(R192:R195)</f>
        <v>2.5041600000000002</v>
      </c>
      <c r="T191" s="126">
        <f>SUM(T192:T195)</f>
        <v>0</v>
      </c>
      <c r="AR191" s="120" t="s">
        <v>91</v>
      </c>
      <c r="AT191" s="127" t="s">
        <v>82</v>
      </c>
      <c r="AU191" s="127" t="s">
        <v>91</v>
      </c>
      <c r="AY191" s="120" t="s">
        <v>136</v>
      </c>
      <c r="BK191" s="128">
        <f>SUM(BK192:BK195)</f>
        <v>0</v>
      </c>
    </row>
    <row r="192" spans="2:65" s="1" customFormat="1" ht="16.5" customHeight="1">
      <c r="B192" s="31"/>
      <c r="C192" s="131" t="s">
        <v>269</v>
      </c>
      <c r="D192" s="131" t="s">
        <v>138</v>
      </c>
      <c r="E192" s="132" t="s">
        <v>548</v>
      </c>
      <c r="F192" s="133" t="s">
        <v>549</v>
      </c>
      <c r="G192" s="134" t="s">
        <v>141</v>
      </c>
      <c r="H192" s="135">
        <v>6</v>
      </c>
      <c r="I192" s="136"/>
      <c r="J192" s="137">
        <f>ROUND(I192*H192,2)</f>
        <v>0</v>
      </c>
      <c r="K192" s="133" t="s">
        <v>142</v>
      </c>
      <c r="L192" s="31"/>
      <c r="M192" s="138" t="s">
        <v>1</v>
      </c>
      <c r="N192" s="139" t="s">
        <v>48</v>
      </c>
      <c r="P192" s="140">
        <f>O192*H192</f>
        <v>0</v>
      </c>
      <c r="Q192" s="140">
        <v>0.19536000000000001</v>
      </c>
      <c r="R192" s="140">
        <f>Q192*H192</f>
        <v>1.1721600000000001</v>
      </c>
      <c r="S192" s="140">
        <v>0</v>
      </c>
      <c r="T192" s="141">
        <f>S192*H192</f>
        <v>0</v>
      </c>
      <c r="AR192" s="142" t="s">
        <v>143</v>
      </c>
      <c r="AT192" s="142" t="s">
        <v>138</v>
      </c>
      <c r="AU192" s="142" t="s">
        <v>94</v>
      </c>
      <c r="AY192" s="15" t="s">
        <v>136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5" t="s">
        <v>91</v>
      </c>
      <c r="BK192" s="143">
        <f>ROUND(I192*H192,2)</f>
        <v>0</v>
      </c>
      <c r="BL192" s="15" t="s">
        <v>143</v>
      </c>
      <c r="BM192" s="142" t="s">
        <v>550</v>
      </c>
    </row>
    <row r="193" spans="2:65" s="12" customFormat="1">
      <c r="B193" s="144"/>
      <c r="D193" s="145" t="s">
        <v>145</v>
      </c>
      <c r="E193" s="146" t="s">
        <v>1</v>
      </c>
      <c r="F193" s="147" t="s">
        <v>551</v>
      </c>
      <c r="H193" s="148">
        <v>6</v>
      </c>
      <c r="I193" s="149"/>
      <c r="L193" s="144"/>
      <c r="M193" s="150"/>
      <c r="T193" s="151"/>
      <c r="AT193" s="146" t="s">
        <v>145</v>
      </c>
      <c r="AU193" s="146" t="s">
        <v>94</v>
      </c>
      <c r="AV193" s="12" t="s">
        <v>94</v>
      </c>
      <c r="AW193" s="12" t="s">
        <v>40</v>
      </c>
      <c r="AX193" s="12" t="s">
        <v>91</v>
      </c>
      <c r="AY193" s="146" t="s">
        <v>136</v>
      </c>
    </row>
    <row r="194" spans="2:65" s="1" customFormat="1" ht="16.5" customHeight="1">
      <c r="B194" s="31"/>
      <c r="C194" s="159" t="s">
        <v>273</v>
      </c>
      <c r="D194" s="159" t="s">
        <v>234</v>
      </c>
      <c r="E194" s="160" t="s">
        <v>552</v>
      </c>
      <c r="F194" s="161" t="s">
        <v>553</v>
      </c>
      <c r="G194" s="162" t="s">
        <v>141</v>
      </c>
      <c r="H194" s="163">
        <v>6</v>
      </c>
      <c r="I194" s="164"/>
      <c r="J194" s="165">
        <f>ROUND(I194*H194,2)</f>
        <v>0</v>
      </c>
      <c r="K194" s="161" t="s">
        <v>520</v>
      </c>
      <c r="L194" s="166"/>
      <c r="M194" s="167" t="s">
        <v>1</v>
      </c>
      <c r="N194" s="168" t="s">
        <v>48</v>
      </c>
      <c r="P194" s="140">
        <f>O194*H194</f>
        <v>0</v>
      </c>
      <c r="Q194" s="140">
        <v>0.222</v>
      </c>
      <c r="R194" s="140">
        <f>Q194*H194</f>
        <v>1.3320000000000001</v>
      </c>
      <c r="S194" s="140">
        <v>0</v>
      </c>
      <c r="T194" s="141">
        <f>S194*H194</f>
        <v>0</v>
      </c>
      <c r="AR194" s="142" t="s">
        <v>180</v>
      </c>
      <c r="AT194" s="142" t="s">
        <v>234</v>
      </c>
      <c r="AU194" s="142" t="s">
        <v>94</v>
      </c>
      <c r="AY194" s="15" t="s">
        <v>136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5" t="s">
        <v>91</v>
      </c>
      <c r="BK194" s="143">
        <f>ROUND(I194*H194,2)</f>
        <v>0</v>
      </c>
      <c r="BL194" s="15" t="s">
        <v>143</v>
      </c>
      <c r="BM194" s="142" t="s">
        <v>554</v>
      </c>
    </row>
    <row r="195" spans="2:65" s="12" customFormat="1">
      <c r="B195" s="144"/>
      <c r="D195" s="145" t="s">
        <v>145</v>
      </c>
      <c r="E195" s="146" t="s">
        <v>1</v>
      </c>
      <c r="F195" s="147" t="s">
        <v>551</v>
      </c>
      <c r="H195" s="148">
        <v>6</v>
      </c>
      <c r="I195" s="149"/>
      <c r="L195" s="144"/>
      <c r="M195" s="150"/>
      <c r="T195" s="151"/>
      <c r="AT195" s="146" t="s">
        <v>145</v>
      </c>
      <c r="AU195" s="146" t="s">
        <v>94</v>
      </c>
      <c r="AV195" s="12" t="s">
        <v>94</v>
      </c>
      <c r="AW195" s="12" t="s">
        <v>40</v>
      </c>
      <c r="AX195" s="12" t="s">
        <v>91</v>
      </c>
      <c r="AY195" s="146" t="s">
        <v>136</v>
      </c>
    </row>
    <row r="196" spans="2:65" s="11" customFormat="1" ht="22.9" customHeight="1">
      <c r="B196" s="119"/>
      <c r="D196" s="120" t="s">
        <v>82</v>
      </c>
      <c r="E196" s="129" t="s">
        <v>180</v>
      </c>
      <c r="F196" s="129" t="s">
        <v>309</v>
      </c>
      <c r="I196" s="122"/>
      <c r="J196" s="130">
        <f>BK196</f>
        <v>0</v>
      </c>
      <c r="L196" s="119"/>
      <c r="M196" s="124"/>
      <c r="P196" s="125">
        <f>SUM(P197:P299)</f>
        <v>0</v>
      </c>
      <c r="R196" s="125">
        <f>SUM(R197:R299)</f>
        <v>3.0815009999999998</v>
      </c>
      <c r="T196" s="126">
        <f>SUM(T197:T299)</f>
        <v>5.2399999999999999E-3</v>
      </c>
      <c r="AR196" s="120" t="s">
        <v>91</v>
      </c>
      <c r="AT196" s="127" t="s">
        <v>82</v>
      </c>
      <c r="AU196" s="127" t="s">
        <v>91</v>
      </c>
      <c r="AY196" s="120" t="s">
        <v>136</v>
      </c>
      <c r="BK196" s="128">
        <f>SUM(BK197:BK299)</f>
        <v>0</v>
      </c>
    </row>
    <row r="197" spans="2:65" s="1" customFormat="1" ht="16.5" customHeight="1">
      <c r="B197" s="31"/>
      <c r="C197" s="131" t="s">
        <v>280</v>
      </c>
      <c r="D197" s="131" t="s">
        <v>138</v>
      </c>
      <c r="E197" s="132" t="s">
        <v>555</v>
      </c>
      <c r="F197" s="133" t="s">
        <v>556</v>
      </c>
      <c r="G197" s="134" t="s">
        <v>276</v>
      </c>
      <c r="H197" s="135">
        <v>3</v>
      </c>
      <c r="I197" s="136"/>
      <c r="J197" s="137">
        <f>ROUND(I197*H197,2)</f>
        <v>0</v>
      </c>
      <c r="K197" s="133" t="s">
        <v>142</v>
      </c>
      <c r="L197" s="31"/>
      <c r="M197" s="138" t="s">
        <v>1</v>
      </c>
      <c r="N197" s="139" t="s">
        <v>48</v>
      </c>
      <c r="P197" s="140">
        <f>O197*H197</f>
        <v>0</v>
      </c>
      <c r="Q197" s="140">
        <v>1.67E-3</v>
      </c>
      <c r="R197" s="140">
        <f>Q197*H197</f>
        <v>5.0100000000000006E-3</v>
      </c>
      <c r="S197" s="140">
        <v>0</v>
      </c>
      <c r="T197" s="141">
        <f>S197*H197</f>
        <v>0</v>
      </c>
      <c r="AR197" s="142" t="s">
        <v>143</v>
      </c>
      <c r="AT197" s="142" t="s">
        <v>138</v>
      </c>
      <c r="AU197" s="142" t="s">
        <v>94</v>
      </c>
      <c r="AY197" s="15" t="s">
        <v>136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5" t="s">
        <v>91</v>
      </c>
      <c r="BK197" s="143">
        <f>ROUND(I197*H197,2)</f>
        <v>0</v>
      </c>
      <c r="BL197" s="15" t="s">
        <v>143</v>
      </c>
      <c r="BM197" s="142" t="s">
        <v>557</v>
      </c>
    </row>
    <row r="198" spans="2:65" s="12" customFormat="1">
      <c r="B198" s="144"/>
      <c r="D198" s="145" t="s">
        <v>145</v>
      </c>
      <c r="E198" s="146" t="s">
        <v>1</v>
      </c>
      <c r="F198" s="147" t="s">
        <v>153</v>
      </c>
      <c r="H198" s="148">
        <v>3</v>
      </c>
      <c r="I198" s="149"/>
      <c r="L198" s="144"/>
      <c r="M198" s="150"/>
      <c r="T198" s="151"/>
      <c r="AT198" s="146" t="s">
        <v>145</v>
      </c>
      <c r="AU198" s="146" t="s">
        <v>94</v>
      </c>
      <c r="AV198" s="12" t="s">
        <v>94</v>
      </c>
      <c r="AW198" s="12" t="s">
        <v>40</v>
      </c>
      <c r="AX198" s="12" t="s">
        <v>91</v>
      </c>
      <c r="AY198" s="146" t="s">
        <v>136</v>
      </c>
    </row>
    <row r="199" spans="2:65" s="1" customFormat="1" ht="16.5" customHeight="1">
      <c r="B199" s="31"/>
      <c r="C199" s="159" t="s">
        <v>285</v>
      </c>
      <c r="D199" s="159" t="s">
        <v>234</v>
      </c>
      <c r="E199" s="160" t="s">
        <v>558</v>
      </c>
      <c r="F199" s="161" t="s">
        <v>559</v>
      </c>
      <c r="G199" s="162" t="s">
        <v>276</v>
      </c>
      <c r="H199" s="163">
        <v>3</v>
      </c>
      <c r="I199" s="164"/>
      <c r="J199" s="165">
        <f>ROUND(I199*H199,2)</f>
        <v>0</v>
      </c>
      <c r="K199" s="161" t="s">
        <v>520</v>
      </c>
      <c r="L199" s="166"/>
      <c r="M199" s="167" t="s">
        <v>1</v>
      </c>
      <c r="N199" s="168" t="s">
        <v>48</v>
      </c>
      <c r="P199" s="140">
        <f>O199*H199</f>
        <v>0</v>
      </c>
      <c r="Q199" s="140">
        <v>1.2200000000000001E-2</v>
      </c>
      <c r="R199" s="140">
        <f>Q199*H199</f>
        <v>3.6600000000000001E-2</v>
      </c>
      <c r="S199" s="140">
        <v>0</v>
      </c>
      <c r="T199" s="141">
        <f>S199*H199</f>
        <v>0</v>
      </c>
      <c r="AR199" s="142" t="s">
        <v>180</v>
      </c>
      <c r="AT199" s="142" t="s">
        <v>234</v>
      </c>
      <c r="AU199" s="142" t="s">
        <v>94</v>
      </c>
      <c r="AY199" s="15" t="s">
        <v>136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5" t="s">
        <v>91</v>
      </c>
      <c r="BK199" s="143">
        <f>ROUND(I199*H199,2)</f>
        <v>0</v>
      </c>
      <c r="BL199" s="15" t="s">
        <v>143</v>
      </c>
      <c r="BM199" s="142" t="s">
        <v>560</v>
      </c>
    </row>
    <row r="200" spans="2:65" s="12" customFormat="1">
      <c r="B200" s="144"/>
      <c r="D200" s="145" t="s">
        <v>145</v>
      </c>
      <c r="E200" s="146" t="s">
        <v>1</v>
      </c>
      <c r="F200" s="147" t="s">
        <v>153</v>
      </c>
      <c r="H200" s="148">
        <v>3</v>
      </c>
      <c r="I200" s="149"/>
      <c r="L200" s="144"/>
      <c r="M200" s="150"/>
      <c r="T200" s="151"/>
      <c r="AT200" s="146" t="s">
        <v>145</v>
      </c>
      <c r="AU200" s="146" t="s">
        <v>94</v>
      </c>
      <c r="AV200" s="12" t="s">
        <v>94</v>
      </c>
      <c r="AW200" s="12" t="s">
        <v>40</v>
      </c>
      <c r="AX200" s="12" t="s">
        <v>91</v>
      </c>
      <c r="AY200" s="146" t="s">
        <v>136</v>
      </c>
    </row>
    <row r="201" spans="2:65" s="1" customFormat="1" ht="16.5" customHeight="1">
      <c r="B201" s="31"/>
      <c r="C201" s="159" t="s">
        <v>289</v>
      </c>
      <c r="D201" s="159" t="s">
        <v>234</v>
      </c>
      <c r="E201" s="160" t="s">
        <v>561</v>
      </c>
      <c r="F201" s="161" t="s">
        <v>562</v>
      </c>
      <c r="G201" s="162" t="s">
        <v>276</v>
      </c>
      <c r="H201" s="163">
        <v>1</v>
      </c>
      <c r="I201" s="164"/>
      <c r="J201" s="165">
        <f>ROUND(I201*H201,2)</f>
        <v>0</v>
      </c>
      <c r="K201" s="161" t="s">
        <v>520</v>
      </c>
      <c r="L201" s="166"/>
      <c r="M201" s="167" t="s">
        <v>1</v>
      </c>
      <c r="N201" s="168" t="s">
        <v>48</v>
      </c>
      <c r="P201" s="140">
        <f>O201*H201</f>
        <v>0</v>
      </c>
      <c r="Q201" s="140">
        <v>1.12E-2</v>
      </c>
      <c r="R201" s="140">
        <f>Q201*H201</f>
        <v>1.12E-2</v>
      </c>
      <c r="S201" s="140">
        <v>0</v>
      </c>
      <c r="T201" s="141">
        <f>S201*H201</f>
        <v>0</v>
      </c>
      <c r="AR201" s="142" t="s">
        <v>180</v>
      </c>
      <c r="AT201" s="142" t="s">
        <v>234</v>
      </c>
      <c r="AU201" s="142" t="s">
        <v>94</v>
      </c>
      <c r="AY201" s="15" t="s">
        <v>136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5" t="s">
        <v>91</v>
      </c>
      <c r="BK201" s="143">
        <f>ROUND(I201*H201,2)</f>
        <v>0</v>
      </c>
      <c r="BL201" s="15" t="s">
        <v>143</v>
      </c>
      <c r="BM201" s="142" t="s">
        <v>563</v>
      </c>
    </row>
    <row r="202" spans="2:65" s="12" customFormat="1">
      <c r="B202" s="144"/>
      <c r="D202" s="145" t="s">
        <v>145</v>
      </c>
      <c r="E202" s="146" t="s">
        <v>1</v>
      </c>
      <c r="F202" s="147" t="s">
        <v>91</v>
      </c>
      <c r="H202" s="148">
        <v>1</v>
      </c>
      <c r="I202" s="149"/>
      <c r="L202" s="144"/>
      <c r="M202" s="150"/>
      <c r="T202" s="151"/>
      <c r="AT202" s="146" t="s">
        <v>145</v>
      </c>
      <c r="AU202" s="146" t="s">
        <v>94</v>
      </c>
      <c r="AV202" s="12" t="s">
        <v>94</v>
      </c>
      <c r="AW202" s="12" t="s">
        <v>40</v>
      </c>
      <c r="AX202" s="12" t="s">
        <v>91</v>
      </c>
      <c r="AY202" s="146" t="s">
        <v>136</v>
      </c>
    </row>
    <row r="203" spans="2:65" s="1" customFormat="1" ht="16.5" customHeight="1">
      <c r="B203" s="31"/>
      <c r="C203" s="131" t="s">
        <v>293</v>
      </c>
      <c r="D203" s="131" t="s">
        <v>138</v>
      </c>
      <c r="E203" s="132" t="s">
        <v>564</v>
      </c>
      <c r="F203" s="133" t="s">
        <v>565</v>
      </c>
      <c r="G203" s="134" t="s">
        <v>276</v>
      </c>
      <c r="H203" s="135">
        <v>1</v>
      </c>
      <c r="I203" s="136"/>
      <c r="J203" s="137">
        <f>ROUND(I203*H203,2)</f>
        <v>0</v>
      </c>
      <c r="K203" s="133" t="s">
        <v>142</v>
      </c>
      <c r="L203" s="31"/>
      <c r="M203" s="138" t="s">
        <v>1</v>
      </c>
      <c r="N203" s="139" t="s">
        <v>48</v>
      </c>
      <c r="P203" s="140">
        <f>O203*H203</f>
        <v>0</v>
      </c>
      <c r="Q203" s="140">
        <v>1.7099999999999999E-3</v>
      </c>
      <c r="R203" s="140">
        <f>Q203*H203</f>
        <v>1.7099999999999999E-3</v>
      </c>
      <c r="S203" s="140">
        <v>0</v>
      </c>
      <c r="T203" s="141">
        <f>S203*H203</f>
        <v>0</v>
      </c>
      <c r="AR203" s="142" t="s">
        <v>143</v>
      </c>
      <c r="AT203" s="142" t="s">
        <v>138</v>
      </c>
      <c r="AU203" s="142" t="s">
        <v>94</v>
      </c>
      <c r="AY203" s="15" t="s">
        <v>136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5" t="s">
        <v>91</v>
      </c>
      <c r="BK203" s="143">
        <f>ROUND(I203*H203,2)</f>
        <v>0</v>
      </c>
      <c r="BL203" s="15" t="s">
        <v>143</v>
      </c>
      <c r="BM203" s="142" t="s">
        <v>566</v>
      </c>
    </row>
    <row r="204" spans="2:65" s="12" customFormat="1">
      <c r="B204" s="144"/>
      <c r="D204" s="145" t="s">
        <v>145</v>
      </c>
      <c r="E204" s="146" t="s">
        <v>1</v>
      </c>
      <c r="F204" s="147" t="s">
        <v>91</v>
      </c>
      <c r="H204" s="148">
        <v>1</v>
      </c>
      <c r="I204" s="149"/>
      <c r="L204" s="144"/>
      <c r="M204" s="150"/>
      <c r="T204" s="151"/>
      <c r="AT204" s="146" t="s">
        <v>145</v>
      </c>
      <c r="AU204" s="146" t="s">
        <v>94</v>
      </c>
      <c r="AV204" s="12" t="s">
        <v>94</v>
      </c>
      <c r="AW204" s="12" t="s">
        <v>40</v>
      </c>
      <c r="AX204" s="12" t="s">
        <v>91</v>
      </c>
      <c r="AY204" s="146" t="s">
        <v>136</v>
      </c>
    </row>
    <row r="205" spans="2:65" s="1" customFormat="1" ht="16.5" customHeight="1">
      <c r="B205" s="31"/>
      <c r="C205" s="159" t="s">
        <v>297</v>
      </c>
      <c r="D205" s="159" t="s">
        <v>234</v>
      </c>
      <c r="E205" s="160" t="s">
        <v>567</v>
      </c>
      <c r="F205" s="161" t="s">
        <v>568</v>
      </c>
      <c r="G205" s="162" t="s">
        <v>276</v>
      </c>
      <c r="H205" s="163">
        <v>1</v>
      </c>
      <c r="I205" s="164"/>
      <c r="J205" s="165">
        <f>ROUND(I205*H205,2)</f>
        <v>0</v>
      </c>
      <c r="K205" s="161" t="s">
        <v>520</v>
      </c>
      <c r="L205" s="166"/>
      <c r="M205" s="167" t="s">
        <v>1</v>
      </c>
      <c r="N205" s="168" t="s">
        <v>48</v>
      </c>
      <c r="P205" s="140">
        <f>O205*H205</f>
        <v>0</v>
      </c>
      <c r="Q205" s="140">
        <v>1.78E-2</v>
      </c>
      <c r="R205" s="140">
        <f>Q205*H205</f>
        <v>1.78E-2</v>
      </c>
      <c r="S205" s="140">
        <v>0</v>
      </c>
      <c r="T205" s="141">
        <f>S205*H205</f>
        <v>0</v>
      </c>
      <c r="AR205" s="142" t="s">
        <v>180</v>
      </c>
      <c r="AT205" s="142" t="s">
        <v>234</v>
      </c>
      <c r="AU205" s="142" t="s">
        <v>94</v>
      </c>
      <c r="AY205" s="15" t="s">
        <v>136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5" t="s">
        <v>91</v>
      </c>
      <c r="BK205" s="143">
        <f>ROUND(I205*H205,2)</f>
        <v>0</v>
      </c>
      <c r="BL205" s="15" t="s">
        <v>143</v>
      </c>
      <c r="BM205" s="142" t="s">
        <v>569</v>
      </c>
    </row>
    <row r="206" spans="2:65" s="12" customFormat="1">
      <c r="B206" s="144"/>
      <c r="D206" s="145" t="s">
        <v>145</v>
      </c>
      <c r="E206" s="146" t="s">
        <v>1</v>
      </c>
      <c r="F206" s="147" t="s">
        <v>91</v>
      </c>
      <c r="H206" s="148">
        <v>1</v>
      </c>
      <c r="I206" s="149"/>
      <c r="L206" s="144"/>
      <c r="M206" s="150"/>
      <c r="T206" s="151"/>
      <c r="AT206" s="146" t="s">
        <v>145</v>
      </c>
      <c r="AU206" s="146" t="s">
        <v>94</v>
      </c>
      <c r="AV206" s="12" t="s">
        <v>94</v>
      </c>
      <c r="AW206" s="12" t="s">
        <v>40</v>
      </c>
      <c r="AX206" s="12" t="s">
        <v>91</v>
      </c>
      <c r="AY206" s="146" t="s">
        <v>136</v>
      </c>
    </row>
    <row r="207" spans="2:65" s="1" customFormat="1" ht="16.5" customHeight="1">
      <c r="B207" s="31"/>
      <c r="C207" s="131" t="s">
        <v>301</v>
      </c>
      <c r="D207" s="131" t="s">
        <v>138</v>
      </c>
      <c r="E207" s="132" t="s">
        <v>570</v>
      </c>
      <c r="F207" s="133" t="s">
        <v>571</v>
      </c>
      <c r="G207" s="134" t="s">
        <v>172</v>
      </c>
      <c r="H207" s="135">
        <v>2</v>
      </c>
      <c r="I207" s="136"/>
      <c r="J207" s="137">
        <f>ROUND(I207*H207,2)</f>
        <v>0</v>
      </c>
      <c r="K207" s="133" t="s">
        <v>142</v>
      </c>
      <c r="L207" s="31"/>
      <c r="M207" s="138" t="s">
        <v>1</v>
      </c>
      <c r="N207" s="139" t="s">
        <v>48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143</v>
      </c>
      <c r="AT207" s="142" t="s">
        <v>138</v>
      </c>
      <c r="AU207" s="142" t="s">
        <v>94</v>
      </c>
      <c r="AY207" s="15" t="s">
        <v>136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5" t="s">
        <v>91</v>
      </c>
      <c r="BK207" s="143">
        <f>ROUND(I207*H207,2)</f>
        <v>0</v>
      </c>
      <c r="BL207" s="15" t="s">
        <v>143</v>
      </c>
      <c r="BM207" s="142" t="s">
        <v>572</v>
      </c>
    </row>
    <row r="208" spans="2:65" s="12" customFormat="1">
      <c r="B208" s="144"/>
      <c r="D208" s="145" t="s">
        <v>145</v>
      </c>
      <c r="E208" s="146" t="s">
        <v>1</v>
      </c>
      <c r="F208" s="147" t="s">
        <v>573</v>
      </c>
      <c r="H208" s="148">
        <v>2</v>
      </c>
      <c r="I208" s="149"/>
      <c r="L208" s="144"/>
      <c r="M208" s="150"/>
      <c r="T208" s="151"/>
      <c r="AT208" s="146" t="s">
        <v>145</v>
      </c>
      <c r="AU208" s="146" t="s">
        <v>94</v>
      </c>
      <c r="AV208" s="12" t="s">
        <v>94</v>
      </c>
      <c r="AW208" s="12" t="s">
        <v>40</v>
      </c>
      <c r="AX208" s="12" t="s">
        <v>91</v>
      </c>
      <c r="AY208" s="146" t="s">
        <v>136</v>
      </c>
    </row>
    <row r="209" spans="2:65" s="1" customFormat="1" ht="16.5" customHeight="1">
      <c r="B209" s="31"/>
      <c r="C209" s="159" t="s">
        <v>305</v>
      </c>
      <c r="D209" s="159" t="s">
        <v>234</v>
      </c>
      <c r="E209" s="160" t="s">
        <v>574</v>
      </c>
      <c r="F209" s="161" t="s">
        <v>575</v>
      </c>
      <c r="G209" s="162" t="s">
        <v>172</v>
      </c>
      <c r="H209" s="163">
        <v>2.1</v>
      </c>
      <c r="I209" s="164"/>
      <c r="J209" s="165">
        <f>ROUND(I209*H209,2)</f>
        <v>0</v>
      </c>
      <c r="K209" s="161" t="s">
        <v>520</v>
      </c>
      <c r="L209" s="166"/>
      <c r="M209" s="167" t="s">
        <v>1</v>
      </c>
      <c r="N209" s="168" t="s">
        <v>48</v>
      </c>
      <c r="P209" s="140">
        <f>O209*H209</f>
        <v>0</v>
      </c>
      <c r="Q209" s="140">
        <v>2.7E-4</v>
      </c>
      <c r="R209" s="140">
        <f>Q209*H209</f>
        <v>5.6700000000000001E-4</v>
      </c>
      <c r="S209" s="140">
        <v>0</v>
      </c>
      <c r="T209" s="141">
        <f>S209*H209</f>
        <v>0</v>
      </c>
      <c r="AR209" s="142" t="s">
        <v>180</v>
      </c>
      <c r="AT209" s="142" t="s">
        <v>234</v>
      </c>
      <c r="AU209" s="142" t="s">
        <v>94</v>
      </c>
      <c r="AY209" s="15" t="s">
        <v>136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5" t="s">
        <v>91</v>
      </c>
      <c r="BK209" s="143">
        <f>ROUND(I209*H209,2)</f>
        <v>0</v>
      </c>
      <c r="BL209" s="15" t="s">
        <v>143</v>
      </c>
      <c r="BM209" s="142" t="s">
        <v>576</v>
      </c>
    </row>
    <row r="210" spans="2:65" s="12" customFormat="1">
      <c r="B210" s="144"/>
      <c r="D210" s="145" t="s">
        <v>145</v>
      </c>
      <c r="E210" s="146" t="s">
        <v>1</v>
      </c>
      <c r="F210" s="147" t="s">
        <v>577</v>
      </c>
      <c r="H210" s="148">
        <v>2</v>
      </c>
      <c r="I210" s="149"/>
      <c r="L210" s="144"/>
      <c r="M210" s="150"/>
      <c r="T210" s="151"/>
      <c r="AT210" s="146" t="s">
        <v>145</v>
      </c>
      <c r="AU210" s="146" t="s">
        <v>94</v>
      </c>
      <c r="AV210" s="12" t="s">
        <v>94</v>
      </c>
      <c r="AW210" s="12" t="s">
        <v>40</v>
      </c>
      <c r="AX210" s="12" t="s">
        <v>91</v>
      </c>
      <c r="AY210" s="146" t="s">
        <v>136</v>
      </c>
    </row>
    <row r="211" spans="2:65" s="12" customFormat="1">
      <c r="B211" s="144"/>
      <c r="D211" s="145" t="s">
        <v>145</v>
      </c>
      <c r="F211" s="147" t="s">
        <v>578</v>
      </c>
      <c r="H211" s="148">
        <v>2.1</v>
      </c>
      <c r="I211" s="149"/>
      <c r="L211" s="144"/>
      <c r="M211" s="150"/>
      <c r="T211" s="151"/>
      <c r="AT211" s="146" t="s">
        <v>145</v>
      </c>
      <c r="AU211" s="146" t="s">
        <v>94</v>
      </c>
      <c r="AV211" s="12" t="s">
        <v>94</v>
      </c>
      <c r="AW211" s="12" t="s">
        <v>4</v>
      </c>
      <c r="AX211" s="12" t="s">
        <v>91</v>
      </c>
      <c r="AY211" s="146" t="s">
        <v>136</v>
      </c>
    </row>
    <row r="212" spans="2:65" s="1" customFormat="1" ht="16.5" customHeight="1">
      <c r="B212" s="31"/>
      <c r="C212" s="131" t="s">
        <v>310</v>
      </c>
      <c r="D212" s="131" t="s">
        <v>138</v>
      </c>
      <c r="E212" s="132" t="s">
        <v>579</v>
      </c>
      <c r="F212" s="133" t="s">
        <v>580</v>
      </c>
      <c r="G212" s="134" t="s">
        <v>172</v>
      </c>
      <c r="H212" s="135">
        <v>226</v>
      </c>
      <c r="I212" s="136"/>
      <c r="J212" s="137">
        <f>ROUND(I212*H212,2)</f>
        <v>0</v>
      </c>
      <c r="K212" s="133" t="s">
        <v>142</v>
      </c>
      <c r="L212" s="31"/>
      <c r="M212" s="138" t="s">
        <v>1</v>
      </c>
      <c r="N212" s="139" t="s">
        <v>48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143</v>
      </c>
      <c r="AT212" s="142" t="s">
        <v>138</v>
      </c>
      <c r="AU212" s="142" t="s">
        <v>94</v>
      </c>
      <c r="AY212" s="15" t="s">
        <v>136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5" t="s">
        <v>91</v>
      </c>
      <c r="BK212" s="143">
        <f>ROUND(I212*H212,2)</f>
        <v>0</v>
      </c>
      <c r="BL212" s="15" t="s">
        <v>143</v>
      </c>
      <c r="BM212" s="142" t="s">
        <v>581</v>
      </c>
    </row>
    <row r="213" spans="2:65" s="12" customFormat="1">
      <c r="B213" s="144"/>
      <c r="D213" s="145" t="s">
        <v>145</v>
      </c>
      <c r="E213" s="146" t="s">
        <v>1</v>
      </c>
      <c r="F213" s="147" t="s">
        <v>582</v>
      </c>
      <c r="H213" s="148">
        <v>226</v>
      </c>
      <c r="I213" s="149"/>
      <c r="L213" s="144"/>
      <c r="M213" s="150"/>
      <c r="T213" s="151"/>
      <c r="AT213" s="146" t="s">
        <v>145</v>
      </c>
      <c r="AU213" s="146" t="s">
        <v>94</v>
      </c>
      <c r="AV213" s="12" t="s">
        <v>94</v>
      </c>
      <c r="AW213" s="12" t="s">
        <v>40</v>
      </c>
      <c r="AX213" s="12" t="s">
        <v>91</v>
      </c>
      <c r="AY213" s="146" t="s">
        <v>136</v>
      </c>
    </row>
    <row r="214" spans="2:65" s="1" customFormat="1" ht="16.5" customHeight="1">
      <c r="B214" s="31"/>
      <c r="C214" s="159" t="s">
        <v>315</v>
      </c>
      <c r="D214" s="159" t="s">
        <v>234</v>
      </c>
      <c r="E214" s="160" t="s">
        <v>583</v>
      </c>
      <c r="F214" s="161" t="s">
        <v>584</v>
      </c>
      <c r="G214" s="162" t="s">
        <v>172</v>
      </c>
      <c r="H214" s="163">
        <v>237.3</v>
      </c>
      <c r="I214" s="164"/>
      <c r="J214" s="165">
        <f>ROUND(I214*H214,2)</f>
        <v>0</v>
      </c>
      <c r="K214" s="161" t="s">
        <v>520</v>
      </c>
      <c r="L214" s="166"/>
      <c r="M214" s="167" t="s">
        <v>1</v>
      </c>
      <c r="N214" s="168" t="s">
        <v>48</v>
      </c>
      <c r="P214" s="140">
        <f>O214*H214</f>
        <v>0</v>
      </c>
      <c r="Q214" s="140">
        <v>2.1800000000000001E-3</v>
      </c>
      <c r="R214" s="140">
        <f>Q214*H214</f>
        <v>0.51731400000000005</v>
      </c>
      <c r="S214" s="140">
        <v>0</v>
      </c>
      <c r="T214" s="141">
        <f>S214*H214</f>
        <v>0</v>
      </c>
      <c r="AR214" s="142" t="s">
        <v>180</v>
      </c>
      <c r="AT214" s="142" t="s">
        <v>234</v>
      </c>
      <c r="AU214" s="142" t="s">
        <v>94</v>
      </c>
      <c r="AY214" s="15" t="s">
        <v>136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5" t="s">
        <v>91</v>
      </c>
      <c r="BK214" s="143">
        <f>ROUND(I214*H214,2)</f>
        <v>0</v>
      </c>
      <c r="BL214" s="15" t="s">
        <v>143</v>
      </c>
      <c r="BM214" s="142" t="s">
        <v>585</v>
      </c>
    </row>
    <row r="215" spans="2:65" s="12" customFormat="1">
      <c r="B215" s="144"/>
      <c r="D215" s="145" t="s">
        <v>145</v>
      </c>
      <c r="E215" s="146" t="s">
        <v>1</v>
      </c>
      <c r="F215" s="147" t="s">
        <v>582</v>
      </c>
      <c r="H215" s="148">
        <v>226</v>
      </c>
      <c r="I215" s="149"/>
      <c r="L215" s="144"/>
      <c r="M215" s="150"/>
      <c r="T215" s="151"/>
      <c r="AT215" s="146" t="s">
        <v>145</v>
      </c>
      <c r="AU215" s="146" t="s">
        <v>94</v>
      </c>
      <c r="AV215" s="12" t="s">
        <v>94</v>
      </c>
      <c r="AW215" s="12" t="s">
        <v>40</v>
      </c>
      <c r="AX215" s="12" t="s">
        <v>91</v>
      </c>
      <c r="AY215" s="146" t="s">
        <v>136</v>
      </c>
    </row>
    <row r="216" spans="2:65" s="12" customFormat="1">
      <c r="B216" s="144"/>
      <c r="D216" s="145" t="s">
        <v>145</v>
      </c>
      <c r="F216" s="147" t="s">
        <v>586</v>
      </c>
      <c r="H216" s="148">
        <v>237.3</v>
      </c>
      <c r="I216" s="149"/>
      <c r="L216" s="144"/>
      <c r="M216" s="150"/>
      <c r="T216" s="151"/>
      <c r="AT216" s="146" t="s">
        <v>145</v>
      </c>
      <c r="AU216" s="146" t="s">
        <v>94</v>
      </c>
      <c r="AV216" s="12" t="s">
        <v>94</v>
      </c>
      <c r="AW216" s="12" t="s">
        <v>4</v>
      </c>
      <c r="AX216" s="12" t="s">
        <v>91</v>
      </c>
      <c r="AY216" s="146" t="s">
        <v>136</v>
      </c>
    </row>
    <row r="217" spans="2:65" s="1" customFormat="1" ht="16.5" customHeight="1">
      <c r="B217" s="31"/>
      <c r="C217" s="131" t="s">
        <v>320</v>
      </c>
      <c r="D217" s="131" t="s">
        <v>138</v>
      </c>
      <c r="E217" s="132" t="s">
        <v>587</v>
      </c>
      <c r="F217" s="133" t="s">
        <v>588</v>
      </c>
      <c r="G217" s="134" t="s">
        <v>276</v>
      </c>
      <c r="H217" s="135">
        <v>6</v>
      </c>
      <c r="I217" s="136"/>
      <c r="J217" s="137">
        <f>ROUND(I217*H217,2)</f>
        <v>0</v>
      </c>
      <c r="K217" s="133" t="s">
        <v>142</v>
      </c>
      <c r="L217" s="31"/>
      <c r="M217" s="138" t="s">
        <v>1</v>
      </c>
      <c r="N217" s="139" t="s">
        <v>48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143</v>
      </c>
      <c r="AT217" s="142" t="s">
        <v>138</v>
      </c>
      <c r="AU217" s="142" t="s">
        <v>94</v>
      </c>
      <c r="AY217" s="15" t="s">
        <v>136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5" t="s">
        <v>91</v>
      </c>
      <c r="BK217" s="143">
        <f>ROUND(I217*H217,2)</f>
        <v>0</v>
      </c>
      <c r="BL217" s="15" t="s">
        <v>143</v>
      </c>
      <c r="BM217" s="142" t="s">
        <v>589</v>
      </c>
    </row>
    <row r="218" spans="2:65" s="12" customFormat="1">
      <c r="B218" s="144"/>
      <c r="D218" s="145" t="s">
        <v>145</v>
      </c>
      <c r="E218" s="146" t="s">
        <v>1</v>
      </c>
      <c r="F218" s="147" t="s">
        <v>590</v>
      </c>
      <c r="H218" s="148">
        <v>6</v>
      </c>
      <c r="I218" s="149"/>
      <c r="L218" s="144"/>
      <c r="M218" s="150"/>
      <c r="T218" s="151"/>
      <c r="AT218" s="146" t="s">
        <v>145</v>
      </c>
      <c r="AU218" s="146" t="s">
        <v>94</v>
      </c>
      <c r="AV218" s="12" t="s">
        <v>94</v>
      </c>
      <c r="AW218" s="12" t="s">
        <v>40</v>
      </c>
      <c r="AX218" s="12" t="s">
        <v>91</v>
      </c>
      <c r="AY218" s="146" t="s">
        <v>136</v>
      </c>
    </row>
    <row r="219" spans="2:65" s="1" customFormat="1" ht="16.5" customHeight="1">
      <c r="B219" s="31"/>
      <c r="C219" s="159" t="s">
        <v>325</v>
      </c>
      <c r="D219" s="159" t="s">
        <v>234</v>
      </c>
      <c r="E219" s="160" t="s">
        <v>591</v>
      </c>
      <c r="F219" s="161" t="s">
        <v>592</v>
      </c>
      <c r="G219" s="162" t="s">
        <v>276</v>
      </c>
      <c r="H219" s="163">
        <v>3</v>
      </c>
      <c r="I219" s="164"/>
      <c r="J219" s="165">
        <f>ROUND(I219*H219,2)</f>
        <v>0</v>
      </c>
      <c r="K219" s="161" t="s">
        <v>520</v>
      </c>
      <c r="L219" s="166"/>
      <c r="M219" s="167" t="s">
        <v>1</v>
      </c>
      <c r="N219" s="168" t="s">
        <v>48</v>
      </c>
      <c r="P219" s="140">
        <f>O219*H219</f>
        <v>0</v>
      </c>
      <c r="Q219" s="140">
        <v>4.6999999999999999E-4</v>
      </c>
      <c r="R219" s="140">
        <f>Q219*H219</f>
        <v>1.41E-3</v>
      </c>
      <c r="S219" s="140">
        <v>0</v>
      </c>
      <c r="T219" s="141">
        <f>S219*H219</f>
        <v>0</v>
      </c>
      <c r="AR219" s="142" t="s">
        <v>180</v>
      </c>
      <c r="AT219" s="142" t="s">
        <v>234</v>
      </c>
      <c r="AU219" s="142" t="s">
        <v>94</v>
      </c>
      <c r="AY219" s="15" t="s">
        <v>136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5" t="s">
        <v>91</v>
      </c>
      <c r="BK219" s="143">
        <f>ROUND(I219*H219,2)</f>
        <v>0</v>
      </c>
      <c r="BL219" s="15" t="s">
        <v>143</v>
      </c>
      <c r="BM219" s="142" t="s">
        <v>593</v>
      </c>
    </row>
    <row r="220" spans="2:65" s="12" customFormat="1">
      <c r="B220" s="144"/>
      <c r="D220" s="145" t="s">
        <v>145</v>
      </c>
      <c r="E220" s="146" t="s">
        <v>1</v>
      </c>
      <c r="F220" s="147" t="s">
        <v>153</v>
      </c>
      <c r="H220" s="148">
        <v>3</v>
      </c>
      <c r="I220" s="149"/>
      <c r="L220" s="144"/>
      <c r="M220" s="150"/>
      <c r="T220" s="151"/>
      <c r="AT220" s="146" t="s">
        <v>145</v>
      </c>
      <c r="AU220" s="146" t="s">
        <v>94</v>
      </c>
      <c r="AV220" s="12" t="s">
        <v>94</v>
      </c>
      <c r="AW220" s="12" t="s">
        <v>40</v>
      </c>
      <c r="AX220" s="12" t="s">
        <v>91</v>
      </c>
      <c r="AY220" s="146" t="s">
        <v>136</v>
      </c>
    </row>
    <row r="221" spans="2:65" s="1" customFormat="1" ht="16.5" customHeight="1">
      <c r="B221" s="31"/>
      <c r="C221" s="159" t="s">
        <v>330</v>
      </c>
      <c r="D221" s="159" t="s">
        <v>234</v>
      </c>
      <c r="E221" s="160" t="s">
        <v>594</v>
      </c>
      <c r="F221" s="161" t="s">
        <v>595</v>
      </c>
      <c r="G221" s="162" t="s">
        <v>276</v>
      </c>
      <c r="H221" s="163">
        <v>3</v>
      </c>
      <c r="I221" s="164"/>
      <c r="J221" s="165">
        <f>ROUND(I221*H221,2)</f>
        <v>0</v>
      </c>
      <c r="K221" s="161" t="s">
        <v>520</v>
      </c>
      <c r="L221" s="166"/>
      <c r="M221" s="167" t="s">
        <v>1</v>
      </c>
      <c r="N221" s="168" t="s">
        <v>48</v>
      </c>
      <c r="P221" s="140">
        <f>O221*H221</f>
        <v>0</v>
      </c>
      <c r="Q221" s="140">
        <v>1.39E-3</v>
      </c>
      <c r="R221" s="140">
        <f>Q221*H221</f>
        <v>4.1700000000000001E-3</v>
      </c>
      <c r="S221" s="140">
        <v>0</v>
      </c>
      <c r="T221" s="141">
        <f>S221*H221</f>
        <v>0</v>
      </c>
      <c r="AR221" s="142" t="s">
        <v>180</v>
      </c>
      <c r="AT221" s="142" t="s">
        <v>234</v>
      </c>
      <c r="AU221" s="142" t="s">
        <v>94</v>
      </c>
      <c r="AY221" s="15" t="s">
        <v>136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5" t="s">
        <v>91</v>
      </c>
      <c r="BK221" s="143">
        <f>ROUND(I221*H221,2)</f>
        <v>0</v>
      </c>
      <c r="BL221" s="15" t="s">
        <v>143</v>
      </c>
      <c r="BM221" s="142" t="s">
        <v>596</v>
      </c>
    </row>
    <row r="222" spans="2:65" s="12" customFormat="1">
      <c r="B222" s="144"/>
      <c r="D222" s="145" t="s">
        <v>145</v>
      </c>
      <c r="E222" s="146" t="s">
        <v>1</v>
      </c>
      <c r="F222" s="147" t="s">
        <v>153</v>
      </c>
      <c r="H222" s="148">
        <v>3</v>
      </c>
      <c r="I222" s="149"/>
      <c r="L222" s="144"/>
      <c r="M222" s="150"/>
      <c r="T222" s="151"/>
      <c r="AT222" s="146" t="s">
        <v>145</v>
      </c>
      <c r="AU222" s="146" t="s">
        <v>94</v>
      </c>
      <c r="AV222" s="12" t="s">
        <v>94</v>
      </c>
      <c r="AW222" s="12" t="s">
        <v>40</v>
      </c>
      <c r="AX222" s="12" t="s">
        <v>91</v>
      </c>
      <c r="AY222" s="146" t="s">
        <v>136</v>
      </c>
    </row>
    <row r="223" spans="2:65" s="1" customFormat="1" ht="16.5" customHeight="1">
      <c r="B223" s="31"/>
      <c r="C223" s="131" t="s">
        <v>335</v>
      </c>
      <c r="D223" s="131" t="s">
        <v>138</v>
      </c>
      <c r="E223" s="132" t="s">
        <v>597</v>
      </c>
      <c r="F223" s="133" t="s">
        <v>598</v>
      </c>
      <c r="G223" s="134" t="s">
        <v>276</v>
      </c>
      <c r="H223" s="135">
        <v>8</v>
      </c>
      <c r="I223" s="136"/>
      <c r="J223" s="137">
        <f>ROUND(I223*H223,2)</f>
        <v>0</v>
      </c>
      <c r="K223" s="133" t="s">
        <v>142</v>
      </c>
      <c r="L223" s="31"/>
      <c r="M223" s="138" t="s">
        <v>1</v>
      </c>
      <c r="N223" s="139" t="s">
        <v>48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143</v>
      </c>
      <c r="AT223" s="142" t="s">
        <v>138</v>
      </c>
      <c r="AU223" s="142" t="s">
        <v>94</v>
      </c>
      <c r="AY223" s="15" t="s">
        <v>136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5" t="s">
        <v>91</v>
      </c>
      <c r="BK223" s="143">
        <f>ROUND(I223*H223,2)</f>
        <v>0</v>
      </c>
      <c r="BL223" s="15" t="s">
        <v>143</v>
      </c>
      <c r="BM223" s="142" t="s">
        <v>599</v>
      </c>
    </row>
    <row r="224" spans="2:65" s="12" customFormat="1">
      <c r="B224" s="144"/>
      <c r="D224" s="145" t="s">
        <v>145</v>
      </c>
      <c r="E224" s="146" t="s">
        <v>1</v>
      </c>
      <c r="F224" s="147" t="s">
        <v>600</v>
      </c>
      <c r="H224" s="148">
        <v>8</v>
      </c>
      <c r="I224" s="149"/>
      <c r="L224" s="144"/>
      <c r="M224" s="150"/>
      <c r="T224" s="151"/>
      <c r="AT224" s="146" t="s">
        <v>145</v>
      </c>
      <c r="AU224" s="146" t="s">
        <v>94</v>
      </c>
      <c r="AV224" s="12" t="s">
        <v>94</v>
      </c>
      <c r="AW224" s="12" t="s">
        <v>40</v>
      </c>
      <c r="AX224" s="12" t="s">
        <v>91</v>
      </c>
      <c r="AY224" s="146" t="s">
        <v>136</v>
      </c>
    </row>
    <row r="225" spans="2:65" s="1" customFormat="1" ht="16.5" customHeight="1">
      <c r="B225" s="31"/>
      <c r="C225" s="159" t="s">
        <v>340</v>
      </c>
      <c r="D225" s="159" t="s">
        <v>234</v>
      </c>
      <c r="E225" s="160" t="s">
        <v>601</v>
      </c>
      <c r="F225" s="161" t="s">
        <v>602</v>
      </c>
      <c r="G225" s="162" t="s">
        <v>276</v>
      </c>
      <c r="H225" s="163">
        <v>6</v>
      </c>
      <c r="I225" s="164"/>
      <c r="J225" s="165">
        <f>ROUND(I225*H225,2)</f>
        <v>0</v>
      </c>
      <c r="K225" s="161" t="s">
        <v>520</v>
      </c>
      <c r="L225" s="166"/>
      <c r="M225" s="167" t="s">
        <v>1</v>
      </c>
      <c r="N225" s="168" t="s">
        <v>48</v>
      </c>
      <c r="P225" s="140">
        <f>O225*H225</f>
        <v>0</v>
      </c>
      <c r="Q225" s="140">
        <v>7.2000000000000005E-4</v>
      </c>
      <c r="R225" s="140">
        <f>Q225*H225</f>
        <v>4.3200000000000001E-3</v>
      </c>
      <c r="S225" s="140">
        <v>0</v>
      </c>
      <c r="T225" s="141">
        <f>S225*H225</f>
        <v>0</v>
      </c>
      <c r="AR225" s="142" t="s">
        <v>180</v>
      </c>
      <c r="AT225" s="142" t="s">
        <v>234</v>
      </c>
      <c r="AU225" s="142" t="s">
        <v>94</v>
      </c>
      <c r="AY225" s="15" t="s">
        <v>136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5" t="s">
        <v>91</v>
      </c>
      <c r="BK225" s="143">
        <f>ROUND(I225*H225,2)</f>
        <v>0</v>
      </c>
      <c r="BL225" s="15" t="s">
        <v>143</v>
      </c>
      <c r="BM225" s="142" t="s">
        <v>603</v>
      </c>
    </row>
    <row r="226" spans="2:65" s="12" customFormat="1" ht="12">
      <c r="B226" s="144"/>
      <c r="D226" s="145" t="s">
        <v>145</v>
      </c>
      <c r="E226" s="146" t="s">
        <v>1</v>
      </c>
      <c r="F226" s="147" t="s">
        <v>169</v>
      </c>
      <c r="H226" s="148">
        <v>6</v>
      </c>
      <c r="I226" s="149"/>
      <c r="K226" s="161"/>
      <c r="L226" s="144"/>
      <c r="M226" s="150"/>
      <c r="T226" s="151"/>
      <c r="AT226" s="146" t="s">
        <v>145</v>
      </c>
      <c r="AU226" s="146" t="s">
        <v>94</v>
      </c>
      <c r="AV226" s="12" t="s">
        <v>94</v>
      </c>
      <c r="AW226" s="12" t="s">
        <v>40</v>
      </c>
      <c r="AX226" s="12" t="s">
        <v>91</v>
      </c>
      <c r="AY226" s="146" t="s">
        <v>136</v>
      </c>
    </row>
    <row r="227" spans="2:65" s="1" customFormat="1" ht="16.5" customHeight="1">
      <c r="B227" s="31"/>
      <c r="C227" s="159" t="s">
        <v>345</v>
      </c>
      <c r="D227" s="159" t="s">
        <v>234</v>
      </c>
      <c r="E227" s="160" t="s">
        <v>604</v>
      </c>
      <c r="F227" s="161" t="s">
        <v>605</v>
      </c>
      <c r="G227" s="162" t="s">
        <v>276</v>
      </c>
      <c r="H227" s="163">
        <v>2</v>
      </c>
      <c r="I227" s="164"/>
      <c r="J227" s="165">
        <f>ROUND(I227*H227,2)</f>
        <v>0</v>
      </c>
      <c r="K227" s="161" t="s">
        <v>520</v>
      </c>
      <c r="L227" s="166"/>
      <c r="M227" s="167" t="s">
        <v>1</v>
      </c>
      <c r="N227" s="168" t="s">
        <v>48</v>
      </c>
      <c r="P227" s="140">
        <f>O227*H227</f>
        <v>0</v>
      </c>
      <c r="Q227" s="140">
        <v>8.0000000000000004E-4</v>
      </c>
      <c r="R227" s="140">
        <f>Q227*H227</f>
        <v>1.6000000000000001E-3</v>
      </c>
      <c r="S227" s="140">
        <v>0</v>
      </c>
      <c r="T227" s="141">
        <f>S227*H227</f>
        <v>0</v>
      </c>
      <c r="AR227" s="142" t="s">
        <v>180</v>
      </c>
      <c r="AT227" s="142" t="s">
        <v>234</v>
      </c>
      <c r="AU227" s="142" t="s">
        <v>94</v>
      </c>
      <c r="AY227" s="15" t="s">
        <v>136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5" t="s">
        <v>91</v>
      </c>
      <c r="BK227" s="143">
        <f>ROUND(I227*H227,2)</f>
        <v>0</v>
      </c>
      <c r="BL227" s="15" t="s">
        <v>143</v>
      </c>
      <c r="BM227" s="142" t="s">
        <v>606</v>
      </c>
    </row>
    <row r="228" spans="2:65" s="12" customFormat="1">
      <c r="B228" s="144"/>
      <c r="D228" s="145" t="s">
        <v>145</v>
      </c>
      <c r="E228" s="146" t="s">
        <v>1</v>
      </c>
      <c r="F228" s="147" t="s">
        <v>94</v>
      </c>
      <c r="H228" s="148">
        <v>2</v>
      </c>
      <c r="I228" s="149"/>
      <c r="L228" s="144"/>
      <c r="M228" s="150"/>
      <c r="T228" s="151"/>
      <c r="AT228" s="146" t="s">
        <v>145</v>
      </c>
      <c r="AU228" s="146" t="s">
        <v>94</v>
      </c>
      <c r="AV228" s="12" t="s">
        <v>94</v>
      </c>
      <c r="AW228" s="12" t="s">
        <v>40</v>
      </c>
      <c r="AX228" s="12" t="s">
        <v>91</v>
      </c>
      <c r="AY228" s="146" t="s">
        <v>136</v>
      </c>
    </row>
    <row r="229" spans="2:65" s="1" customFormat="1" ht="16.5" customHeight="1">
      <c r="B229" s="31"/>
      <c r="C229" s="131" t="s">
        <v>349</v>
      </c>
      <c r="D229" s="131" t="s">
        <v>138</v>
      </c>
      <c r="E229" s="132" t="s">
        <v>607</v>
      </c>
      <c r="F229" s="133" t="s">
        <v>608</v>
      </c>
      <c r="G229" s="134" t="s">
        <v>276</v>
      </c>
      <c r="H229" s="135">
        <v>2</v>
      </c>
      <c r="I229" s="136"/>
      <c r="J229" s="137">
        <f>ROUND(I229*H229,2)</f>
        <v>0</v>
      </c>
      <c r="K229" s="133" t="s">
        <v>142</v>
      </c>
      <c r="L229" s="31"/>
      <c r="M229" s="138" t="s">
        <v>1</v>
      </c>
      <c r="N229" s="139" t="s">
        <v>48</v>
      </c>
      <c r="P229" s="140">
        <f>O229*H229</f>
        <v>0</v>
      </c>
      <c r="Q229" s="140">
        <v>0</v>
      </c>
      <c r="R229" s="140">
        <f>Q229*H229</f>
        <v>0</v>
      </c>
      <c r="S229" s="140">
        <v>0</v>
      </c>
      <c r="T229" s="141">
        <f>S229*H229</f>
        <v>0</v>
      </c>
      <c r="AR229" s="142" t="s">
        <v>143</v>
      </c>
      <c r="AT229" s="142" t="s">
        <v>138</v>
      </c>
      <c r="AU229" s="142" t="s">
        <v>94</v>
      </c>
      <c r="AY229" s="15" t="s">
        <v>136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5" t="s">
        <v>91</v>
      </c>
      <c r="BK229" s="143">
        <f>ROUND(I229*H229,2)</f>
        <v>0</v>
      </c>
      <c r="BL229" s="15" t="s">
        <v>143</v>
      </c>
      <c r="BM229" s="142" t="s">
        <v>609</v>
      </c>
    </row>
    <row r="230" spans="2:65" s="12" customFormat="1">
      <c r="B230" s="144"/>
      <c r="D230" s="145" t="s">
        <v>145</v>
      </c>
      <c r="E230" s="146" t="s">
        <v>1</v>
      </c>
      <c r="F230" s="147" t="s">
        <v>94</v>
      </c>
      <c r="H230" s="148">
        <v>2</v>
      </c>
      <c r="I230" s="149"/>
      <c r="L230" s="144"/>
      <c r="M230" s="150"/>
      <c r="T230" s="151"/>
      <c r="AT230" s="146" t="s">
        <v>145</v>
      </c>
      <c r="AU230" s="146" t="s">
        <v>94</v>
      </c>
      <c r="AV230" s="12" t="s">
        <v>94</v>
      </c>
      <c r="AW230" s="12" t="s">
        <v>40</v>
      </c>
      <c r="AX230" s="12" t="s">
        <v>91</v>
      </c>
      <c r="AY230" s="146" t="s">
        <v>136</v>
      </c>
    </row>
    <row r="231" spans="2:65" s="1" customFormat="1" ht="16.5" customHeight="1">
      <c r="B231" s="31"/>
      <c r="C231" s="159" t="s">
        <v>353</v>
      </c>
      <c r="D231" s="159" t="s">
        <v>234</v>
      </c>
      <c r="E231" s="160" t="s">
        <v>610</v>
      </c>
      <c r="F231" s="161" t="s">
        <v>611</v>
      </c>
      <c r="G231" s="162" t="s">
        <v>276</v>
      </c>
      <c r="H231" s="163">
        <v>2</v>
      </c>
      <c r="I231" s="164"/>
      <c r="J231" s="165">
        <f>ROUND(I231*H231,2)</f>
        <v>0</v>
      </c>
      <c r="K231" s="161" t="s">
        <v>520</v>
      </c>
      <c r="L231" s="166"/>
      <c r="M231" s="167" t="s">
        <v>1</v>
      </c>
      <c r="N231" s="168" t="s">
        <v>48</v>
      </c>
      <c r="P231" s="140">
        <f>O231*H231</f>
        <v>0</v>
      </c>
      <c r="Q231" s="140">
        <v>1.2099999999999999E-3</v>
      </c>
      <c r="R231" s="140">
        <f>Q231*H231</f>
        <v>2.4199999999999998E-3</v>
      </c>
      <c r="S231" s="140">
        <v>0</v>
      </c>
      <c r="T231" s="141">
        <f>S231*H231</f>
        <v>0</v>
      </c>
      <c r="AR231" s="142" t="s">
        <v>180</v>
      </c>
      <c r="AT231" s="142" t="s">
        <v>234</v>
      </c>
      <c r="AU231" s="142" t="s">
        <v>94</v>
      </c>
      <c r="AY231" s="15" t="s">
        <v>136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5" t="s">
        <v>91</v>
      </c>
      <c r="BK231" s="143">
        <f>ROUND(I231*H231,2)</f>
        <v>0</v>
      </c>
      <c r="BL231" s="15" t="s">
        <v>143</v>
      </c>
      <c r="BM231" s="142" t="s">
        <v>612</v>
      </c>
    </row>
    <row r="232" spans="2:65" s="12" customFormat="1">
      <c r="B232" s="144"/>
      <c r="D232" s="145" t="s">
        <v>145</v>
      </c>
      <c r="E232" s="146" t="s">
        <v>1</v>
      </c>
      <c r="F232" s="147" t="s">
        <v>94</v>
      </c>
      <c r="H232" s="148">
        <v>2</v>
      </c>
      <c r="I232" s="149"/>
      <c r="L232" s="144"/>
      <c r="M232" s="150"/>
      <c r="T232" s="151"/>
      <c r="AT232" s="146" t="s">
        <v>145</v>
      </c>
      <c r="AU232" s="146" t="s">
        <v>94</v>
      </c>
      <c r="AV232" s="12" t="s">
        <v>94</v>
      </c>
      <c r="AW232" s="12" t="s">
        <v>40</v>
      </c>
      <c r="AX232" s="12" t="s">
        <v>91</v>
      </c>
      <c r="AY232" s="146" t="s">
        <v>136</v>
      </c>
    </row>
    <row r="233" spans="2:65" s="1" customFormat="1" ht="16.5" customHeight="1">
      <c r="B233" s="31"/>
      <c r="C233" s="131" t="s">
        <v>358</v>
      </c>
      <c r="D233" s="131" t="s">
        <v>138</v>
      </c>
      <c r="E233" s="132" t="s">
        <v>613</v>
      </c>
      <c r="F233" s="133" t="s">
        <v>614</v>
      </c>
      <c r="G233" s="134" t="s">
        <v>276</v>
      </c>
      <c r="H233" s="135">
        <v>9</v>
      </c>
      <c r="I233" s="136"/>
      <c r="J233" s="137">
        <f>ROUND(I233*H233,2)</f>
        <v>0</v>
      </c>
      <c r="K233" s="133" t="s">
        <v>142</v>
      </c>
      <c r="L233" s="31"/>
      <c r="M233" s="138" t="s">
        <v>1</v>
      </c>
      <c r="N233" s="139" t="s">
        <v>48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143</v>
      </c>
      <c r="AT233" s="142" t="s">
        <v>138</v>
      </c>
      <c r="AU233" s="142" t="s">
        <v>94</v>
      </c>
      <c r="AY233" s="15" t="s">
        <v>136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5" t="s">
        <v>91</v>
      </c>
      <c r="BK233" s="143">
        <f>ROUND(I233*H233,2)</f>
        <v>0</v>
      </c>
      <c r="BL233" s="15" t="s">
        <v>143</v>
      </c>
      <c r="BM233" s="142" t="s">
        <v>615</v>
      </c>
    </row>
    <row r="234" spans="2:65" s="12" customFormat="1">
      <c r="B234" s="144"/>
      <c r="D234" s="145" t="s">
        <v>145</v>
      </c>
      <c r="E234" s="146" t="s">
        <v>1</v>
      </c>
      <c r="F234" s="147" t="s">
        <v>616</v>
      </c>
      <c r="H234" s="148">
        <v>9</v>
      </c>
      <c r="I234" s="149"/>
      <c r="L234" s="144"/>
      <c r="M234" s="150"/>
      <c r="T234" s="151"/>
      <c r="AT234" s="146" t="s">
        <v>145</v>
      </c>
      <c r="AU234" s="146" t="s">
        <v>94</v>
      </c>
      <c r="AV234" s="12" t="s">
        <v>94</v>
      </c>
      <c r="AW234" s="12" t="s">
        <v>40</v>
      </c>
      <c r="AX234" s="12" t="s">
        <v>91</v>
      </c>
      <c r="AY234" s="146" t="s">
        <v>136</v>
      </c>
    </row>
    <row r="235" spans="2:65" s="1" customFormat="1" ht="16.5" customHeight="1">
      <c r="B235" s="31"/>
      <c r="C235" s="159" t="s">
        <v>362</v>
      </c>
      <c r="D235" s="159" t="s">
        <v>234</v>
      </c>
      <c r="E235" s="160" t="s">
        <v>617</v>
      </c>
      <c r="F235" s="161" t="s">
        <v>618</v>
      </c>
      <c r="G235" s="162" t="s">
        <v>276</v>
      </c>
      <c r="H235" s="163">
        <v>4</v>
      </c>
      <c r="I235" s="164"/>
      <c r="J235" s="165">
        <f>ROUND(I235*H235,2)</f>
        <v>0</v>
      </c>
      <c r="K235" s="161" t="s">
        <v>520</v>
      </c>
      <c r="L235" s="166"/>
      <c r="M235" s="167" t="s">
        <v>1</v>
      </c>
      <c r="N235" s="168" t="s">
        <v>48</v>
      </c>
      <c r="P235" s="140">
        <f>O235*H235</f>
        <v>0</v>
      </c>
      <c r="Q235" s="140">
        <v>7.2000000000000005E-4</v>
      </c>
      <c r="R235" s="140">
        <f>Q235*H235</f>
        <v>2.8800000000000002E-3</v>
      </c>
      <c r="S235" s="140">
        <v>0</v>
      </c>
      <c r="T235" s="141">
        <f>S235*H235</f>
        <v>0</v>
      </c>
      <c r="AR235" s="142" t="s">
        <v>180</v>
      </c>
      <c r="AT235" s="142" t="s">
        <v>234</v>
      </c>
      <c r="AU235" s="142" t="s">
        <v>94</v>
      </c>
      <c r="AY235" s="15" t="s">
        <v>136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5" t="s">
        <v>91</v>
      </c>
      <c r="BK235" s="143">
        <f>ROUND(I235*H235,2)</f>
        <v>0</v>
      </c>
      <c r="BL235" s="15" t="s">
        <v>143</v>
      </c>
      <c r="BM235" s="142" t="s">
        <v>619</v>
      </c>
    </row>
    <row r="236" spans="2:65" s="12" customFormat="1">
      <c r="B236" s="144"/>
      <c r="D236" s="145" t="s">
        <v>145</v>
      </c>
      <c r="E236" s="146" t="s">
        <v>1</v>
      </c>
      <c r="F236" s="147" t="s">
        <v>143</v>
      </c>
      <c r="H236" s="148">
        <v>4</v>
      </c>
      <c r="I236" s="149"/>
      <c r="L236" s="144"/>
      <c r="M236" s="150"/>
      <c r="T236" s="151"/>
      <c r="AT236" s="146" t="s">
        <v>145</v>
      </c>
      <c r="AU236" s="146" t="s">
        <v>94</v>
      </c>
      <c r="AV236" s="12" t="s">
        <v>94</v>
      </c>
      <c r="AW236" s="12" t="s">
        <v>40</v>
      </c>
      <c r="AX236" s="12" t="s">
        <v>91</v>
      </c>
      <c r="AY236" s="146" t="s">
        <v>136</v>
      </c>
    </row>
    <row r="237" spans="2:65" s="1" customFormat="1" ht="16.5" customHeight="1">
      <c r="B237" s="31"/>
      <c r="C237" s="159" t="s">
        <v>367</v>
      </c>
      <c r="D237" s="159" t="s">
        <v>234</v>
      </c>
      <c r="E237" s="160" t="s">
        <v>620</v>
      </c>
      <c r="F237" s="161" t="s">
        <v>621</v>
      </c>
      <c r="G237" s="162" t="s">
        <v>276</v>
      </c>
      <c r="H237" s="163">
        <v>4</v>
      </c>
      <c r="I237" s="164"/>
      <c r="J237" s="165">
        <f>ROUND(I237*H237,2)</f>
        <v>0</v>
      </c>
      <c r="K237" s="161" t="s">
        <v>520</v>
      </c>
      <c r="L237" s="166"/>
      <c r="M237" s="167" t="s">
        <v>1</v>
      </c>
      <c r="N237" s="168" t="s">
        <v>48</v>
      </c>
      <c r="P237" s="140">
        <f>O237*H237</f>
        <v>0</v>
      </c>
      <c r="Q237" s="140">
        <v>1.41E-3</v>
      </c>
      <c r="R237" s="140">
        <f>Q237*H237</f>
        <v>5.64E-3</v>
      </c>
      <c r="S237" s="140">
        <v>0</v>
      </c>
      <c r="T237" s="141">
        <f>S237*H237</f>
        <v>0</v>
      </c>
      <c r="AR237" s="142" t="s">
        <v>180</v>
      </c>
      <c r="AT237" s="142" t="s">
        <v>234</v>
      </c>
      <c r="AU237" s="142" t="s">
        <v>94</v>
      </c>
      <c r="AY237" s="15" t="s">
        <v>136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5" t="s">
        <v>91</v>
      </c>
      <c r="BK237" s="143">
        <f>ROUND(I237*H237,2)</f>
        <v>0</v>
      </c>
      <c r="BL237" s="15" t="s">
        <v>143</v>
      </c>
      <c r="BM237" s="142" t="s">
        <v>622</v>
      </c>
    </row>
    <row r="238" spans="2:65" s="12" customFormat="1">
      <c r="B238" s="144"/>
      <c r="D238" s="145" t="s">
        <v>145</v>
      </c>
      <c r="E238" s="146" t="s">
        <v>1</v>
      </c>
      <c r="F238" s="147" t="s">
        <v>143</v>
      </c>
      <c r="H238" s="148">
        <v>4</v>
      </c>
      <c r="I238" s="149"/>
      <c r="L238" s="144"/>
      <c r="M238" s="150"/>
      <c r="T238" s="151"/>
      <c r="AT238" s="146" t="s">
        <v>145</v>
      </c>
      <c r="AU238" s="146" t="s">
        <v>94</v>
      </c>
      <c r="AV238" s="12" t="s">
        <v>94</v>
      </c>
      <c r="AW238" s="12" t="s">
        <v>40</v>
      </c>
      <c r="AX238" s="12" t="s">
        <v>91</v>
      </c>
      <c r="AY238" s="146" t="s">
        <v>136</v>
      </c>
    </row>
    <row r="239" spans="2:65" s="1" customFormat="1" ht="16.5" customHeight="1">
      <c r="B239" s="31"/>
      <c r="C239" s="159" t="s">
        <v>371</v>
      </c>
      <c r="D239" s="159" t="s">
        <v>234</v>
      </c>
      <c r="E239" s="160" t="s">
        <v>623</v>
      </c>
      <c r="F239" s="161" t="s">
        <v>624</v>
      </c>
      <c r="G239" s="162" t="s">
        <v>276</v>
      </c>
      <c r="H239" s="163">
        <v>1</v>
      </c>
      <c r="I239" s="164"/>
      <c r="J239" s="165">
        <f>ROUND(I239*H239,2)</f>
        <v>0</v>
      </c>
      <c r="K239" s="161" t="s">
        <v>520</v>
      </c>
      <c r="L239" s="166"/>
      <c r="M239" s="167" t="s">
        <v>1</v>
      </c>
      <c r="N239" s="168" t="s">
        <v>48</v>
      </c>
      <c r="P239" s="140">
        <f>O239*H239</f>
        <v>0</v>
      </c>
      <c r="Q239" s="140">
        <v>1.5E-3</v>
      </c>
      <c r="R239" s="140">
        <f>Q239*H239</f>
        <v>1.5E-3</v>
      </c>
      <c r="S239" s="140">
        <v>0</v>
      </c>
      <c r="T239" s="141">
        <f>S239*H239</f>
        <v>0</v>
      </c>
      <c r="AR239" s="142" t="s">
        <v>180</v>
      </c>
      <c r="AT239" s="142" t="s">
        <v>234</v>
      </c>
      <c r="AU239" s="142" t="s">
        <v>94</v>
      </c>
      <c r="AY239" s="15" t="s">
        <v>136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5" t="s">
        <v>91</v>
      </c>
      <c r="BK239" s="143">
        <f>ROUND(I239*H239,2)</f>
        <v>0</v>
      </c>
      <c r="BL239" s="15" t="s">
        <v>143</v>
      </c>
      <c r="BM239" s="142" t="s">
        <v>625</v>
      </c>
    </row>
    <row r="240" spans="2:65" s="12" customFormat="1">
      <c r="B240" s="144"/>
      <c r="D240" s="145" t="s">
        <v>145</v>
      </c>
      <c r="E240" s="146" t="s">
        <v>1</v>
      </c>
      <c r="F240" s="147" t="s">
        <v>91</v>
      </c>
      <c r="H240" s="148">
        <v>1</v>
      </c>
      <c r="I240" s="149"/>
      <c r="L240" s="144"/>
      <c r="M240" s="150"/>
      <c r="T240" s="151"/>
      <c r="AT240" s="146" t="s">
        <v>145</v>
      </c>
      <c r="AU240" s="146" t="s">
        <v>94</v>
      </c>
      <c r="AV240" s="12" t="s">
        <v>94</v>
      </c>
      <c r="AW240" s="12" t="s">
        <v>40</v>
      </c>
      <c r="AX240" s="12" t="s">
        <v>91</v>
      </c>
      <c r="AY240" s="146" t="s">
        <v>136</v>
      </c>
    </row>
    <row r="241" spans="2:65" s="1" customFormat="1" ht="16.5" customHeight="1">
      <c r="B241" s="31"/>
      <c r="C241" s="131" t="s">
        <v>375</v>
      </c>
      <c r="D241" s="131" t="s">
        <v>138</v>
      </c>
      <c r="E241" s="132" t="s">
        <v>626</v>
      </c>
      <c r="F241" s="133" t="s">
        <v>627</v>
      </c>
      <c r="G241" s="134" t="s">
        <v>276</v>
      </c>
      <c r="H241" s="135">
        <v>1</v>
      </c>
      <c r="I241" s="136"/>
      <c r="J241" s="137">
        <f>ROUND(I241*H241,2)</f>
        <v>0</v>
      </c>
      <c r="K241" s="133" t="s">
        <v>142</v>
      </c>
      <c r="L241" s="31"/>
      <c r="M241" s="138" t="s">
        <v>1</v>
      </c>
      <c r="N241" s="139" t="s">
        <v>48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143</v>
      </c>
      <c r="AT241" s="142" t="s">
        <v>138</v>
      </c>
      <c r="AU241" s="142" t="s">
        <v>94</v>
      </c>
      <c r="AY241" s="15" t="s">
        <v>136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5" t="s">
        <v>91</v>
      </c>
      <c r="BK241" s="143">
        <f>ROUND(I241*H241,2)</f>
        <v>0</v>
      </c>
      <c r="BL241" s="15" t="s">
        <v>143</v>
      </c>
      <c r="BM241" s="142" t="s">
        <v>628</v>
      </c>
    </row>
    <row r="242" spans="2:65" s="12" customFormat="1">
      <c r="B242" s="144"/>
      <c r="D242" s="145" t="s">
        <v>145</v>
      </c>
      <c r="E242" s="146" t="s">
        <v>1</v>
      </c>
      <c r="F242" s="147" t="s">
        <v>91</v>
      </c>
      <c r="H242" s="148">
        <v>1</v>
      </c>
      <c r="I242" s="149"/>
      <c r="L242" s="144"/>
      <c r="M242" s="150"/>
      <c r="T242" s="151"/>
      <c r="AT242" s="146" t="s">
        <v>145</v>
      </c>
      <c r="AU242" s="146" t="s">
        <v>94</v>
      </c>
      <c r="AV242" s="12" t="s">
        <v>94</v>
      </c>
      <c r="AW242" s="12" t="s">
        <v>40</v>
      </c>
      <c r="AX242" s="12" t="s">
        <v>91</v>
      </c>
      <c r="AY242" s="146" t="s">
        <v>136</v>
      </c>
    </row>
    <row r="243" spans="2:65" s="1" customFormat="1" ht="16.5" customHeight="1">
      <c r="B243" s="31"/>
      <c r="C243" s="159" t="s">
        <v>379</v>
      </c>
      <c r="D243" s="159" t="s">
        <v>234</v>
      </c>
      <c r="E243" s="160" t="s">
        <v>629</v>
      </c>
      <c r="F243" s="161" t="s">
        <v>630</v>
      </c>
      <c r="G243" s="162" t="s">
        <v>276</v>
      </c>
      <c r="H243" s="163">
        <v>1</v>
      </c>
      <c r="I243" s="164"/>
      <c r="J243" s="165">
        <f>ROUND(I243*H243,2)</f>
        <v>0</v>
      </c>
      <c r="K243" s="161" t="s">
        <v>631</v>
      </c>
      <c r="L243" s="166"/>
      <c r="M243" s="167" t="s">
        <v>1</v>
      </c>
      <c r="N243" s="168" t="s">
        <v>48</v>
      </c>
      <c r="P243" s="140">
        <f>O243*H243</f>
        <v>0</v>
      </c>
      <c r="Q243" s="140">
        <v>1.1199999999999999E-3</v>
      </c>
      <c r="R243" s="140">
        <f>Q243*H243</f>
        <v>1.1199999999999999E-3</v>
      </c>
      <c r="S243" s="140">
        <v>0</v>
      </c>
      <c r="T243" s="141">
        <f>S243*H243</f>
        <v>0</v>
      </c>
      <c r="AR243" s="142" t="s">
        <v>180</v>
      </c>
      <c r="AT243" s="142" t="s">
        <v>234</v>
      </c>
      <c r="AU243" s="142" t="s">
        <v>94</v>
      </c>
      <c r="AY243" s="15" t="s">
        <v>136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5" t="s">
        <v>91</v>
      </c>
      <c r="BK243" s="143">
        <f>ROUND(I243*H243,2)</f>
        <v>0</v>
      </c>
      <c r="BL243" s="15" t="s">
        <v>143</v>
      </c>
      <c r="BM243" s="142" t="s">
        <v>632</v>
      </c>
    </row>
    <row r="244" spans="2:65" s="12" customFormat="1">
      <c r="B244" s="144"/>
      <c r="D244" s="145" t="s">
        <v>145</v>
      </c>
      <c r="E244" s="146" t="s">
        <v>1</v>
      </c>
      <c r="F244" s="147" t="s">
        <v>91</v>
      </c>
      <c r="H244" s="148">
        <v>1</v>
      </c>
      <c r="I244" s="149"/>
      <c r="L244" s="144"/>
      <c r="M244" s="150"/>
      <c r="T244" s="151"/>
      <c r="AT244" s="146" t="s">
        <v>145</v>
      </c>
      <c r="AU244" s="146" t="s">
        <v>94</v>
      </c>
      <c r="AV244" s="12" t="s">
        <v>94</v>
      </c>
      <c r="AW244" s="12" t="s">
        <v>40</v>
      </c>
      <c r="AX244" s="12" t="s">
        <v>91</v>
      </c>
      <c r="AY244" s="146" t="s">
        <v>136</v>
      </c>
    </row>
    <row r="245" spans="2:65" s="1" customFormat="1" ht="16.5" customHeight="1">
      <c r="B245" s="31"/>
      <c r="C245" s="131" t="s">
        <v>383</v>
      </c>
      <c r="D245" s="131" t="s">
        <v>138</v>
      </c>
      <c r="E245" s="132" t="s">
        <v>633</v>
      </c>
      <c r="F245" s="133" t="s">
        <v>634</v>
      </c>
      <c r="G245" s="134" t="s">
        <v>276</v>
      </c>
      <c r="H245" s="135">
        <v>2</v>
      </c>
      <c r="I245" s="136"/>
      <c r="J245" s="137">
        <f>ROUND(I245*H245,2)</f>
        <v>0</v>
      </c>
      <c r="K245" s="133" t="s">
        <v>142</v>
      </c>
      <c r="L245" s="31"/>
      <c r="M245" s="138" t="s">
        <v>1</v>
      </c>
      <c r="N245" s="139" t="s">
        <v>48</v>
      </c>
      <c r="P245" s="140">
        <f>O245*H245</f>
        <v>0</v>
      </c>
      <c r="Q245" s="140">
        <v>2.0000000000000002E-5</v>
      </c>
      <c r="R245" s="140">
        <f>Q245*H245</f>
        <v>4.0000000000000003E-5</v>
      </c>
      <c r="S245" s="140">
        <v>2.6199999999999999E-3</v>
      </c>
      <c r="T245" s="141">
        <f>S245*H245</f>
        <v>5.2399999999999999E-3</v>
      </c>
      <c r="AR245" s="142" t="s">
        <v>143</v>
      </c>
      <c r="AT245" s="142" t="s">
        <v>138</v>
      </c>
      <c r="AU245" s="142" t="s">
        <v>94</v>
      </c>
      <c r="AY245" s="15" t="s">
        <v>136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5" t="s">
        <v>91</v>
      </c>
      <c r="BK245" s="143">
        <f>ROUND(I245*H245,2)</f>
        <v>0</v>
      </c>
      <c r="BL245" s="15" t="s">
        <v>143</v>
      </c>
      <c r="BM245" s="142" t="s">
        <v>635</v>
      </c>
    </row>
    <row r="246" spans="2:65" s="12" customFormat="1">
      <c r="B246" s="144"/>
      <c r="D246" s="145" t="s">
        <v>145</v>
      </c>
      <c r="E246" s="146" t="s">
        <v>1</v>
      </c>
      <c r="F246" s="147" t="s">
        <v>636</v>
      </c>
      <c r="H246" s="148">
        <v>2</v>
      </c>
      <c r="I246" s="149"/>
      <c r="L246" s="144"/>
      <c r="M246" s="150"/>
      <c r="T246" s="151"/>
      <c r="AT246" s="146" t="s">
        <v>145</v>
      </c>
      <c r="AU246" s="146" t="s">
        <v>94</v>
      </c>
      <c r="AV246" s="12" t="s">
        <v>94</v>
      </c>
      <c r="AW246" s="12" t="s">
        <v>40</v>
      </c>
      <c r="AX246" s="12" t="s">
        <v>91</v>
      </c>
      <c r="AY246" s="146" t="s">
        <v>136</v>
      </c>
    </row>
    <row r="247" spans="2:65" s="1" customFormat="1" ht="16.5" customHeight="1">
      <c r="B247" s="31"/>
      <c r="C247" s="159" t="s">
        <v>387</v>
      </c>
      <c r="D247" s="159" t="s">
        <v>234</v>
      </c>
      <c r="E247" s="160" t="s">
        <v>637</v>
      </c>
      <c r="F247" s="161" t="s">
        <v>638</v>
      </c>
      <c r="G247" s="162" t="s">
        <v>276</v>
      </c>
      <c r="H247" s="163">
        <v>2</v>
      </c>
      <c r="I247" s="164"/>
      <c r="J247" s="165">
        <f>ROUND(I247*H247,2)</f>
        <v>0</v>
      </c>
      <c r="K247" s="161" t="s">
        <v>520</v>
      </c>
      <c r="L247" s="166"/>
      <c r="M247" s="167" t="s">
        <v>1</v>
      </c>
      <c r="N247" s="168" t="s">
        <v>48</v>
      </c>
      <c r="P247" s="140">
        <f>O247*H247</f>
        <v>0</v>
      </c>
      <c r="Q247" s="140">
        <v>1.8799999999999999E-3</v>
      </c>
      <c r="R247" s="140">
        <f>Q247*H247</f>
        <v>3.7599999999999999E-3</v>
      </c>
      <c r="S247" s="140">
        <v>0</v>
      </c>
      <c r="T247" s="141">
        <f>S247*H247</f>
        <v>0</v>
      </c>
      <c r="AR247" s="142" t="s">
        <v>180</v>
      </c>
      <c r="AT247" s="142" t="s">
        <v>234</v>
      </c>
      <c r="AU247" s="142" t="s">
        <v>94</v>
      </c>
      <c r="AY247" s="15" t="s">
        <v>136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5" t="s">
        <v>91</v>
      </c>
      <c r="BK247" s="143">
        <f>ROUND(I247*H247,2)</f>
        <v>0</v>
      </c>
      <c r="BL247" s="15" t="s">
        <v>143</v>
      </c>
      <c r="BM247" s="142" t="s">
        <v>639</v>
      </c>
    </row>
    <row r="248" spans="2:65" s="12" customFormat="1">
      <c r="B248" s="144"/>
      <c r="D248" s="145" t="s">
        <v>145</v>
      </c>
      <c r="E248" s="146" t="s">
        <v>1</v>
      </c>
      <c r="F248" s="147" t="s">
        <v>94</v>
      </c>
      <c r="H248" s="148">
        <v>2</v>
      </c>
      <c r="I248" s="149"/>
      <c r="L248" s="144"/>
      <c r="M248" s="150"/>
      <c r="T248" s="151"/>
      <c r="AT248" s="146" t="s">
        <v>145</v>
      </c>
      <c r="AU248" s="146" t="s">
        <v>94</v>
      </c>
      <c r="AV248" s="12" t="s">
        <v>94</v>
      </c>
      <c r="AW248" s="12" t="s">
        <v>40</v>
      </c>
      <c r="AX248" s="12" t="s">
        <v>91</v>
      </c>
      <c r="AY248" s="146" t="s">
        <v>136</v>
      </c>
    </row>
    <row r="249" spans="2:65" s="1" customFormat="1" ht="16.5" customHeight="1">
      <c r="B249" s="31"/>
      <c r="C249" s="159" t="s">
        <v>391</v>
      </c>
      <c r="D249" s="159" t="s">
        <v>234</v>
      </c>
      <c r="E249" s="160" t="s">
        <v>640</v>
      </c>
      <c r="F249" s="161" t="s">
        <v>641</v>
      </c>
      <c r="G249" s="162" t="s">
        <v>276</v>
      </c>
      <c r="H249" s="163">
        <v>2</v>
      </c>
      <c r="I249" s="164"/>
      <c r="J249" s="165">
        <f>ROUND(I249*H249,2)</f>
        <v>0</v>
      </c>
      <c r="K249" s="161" t="s">
        <v>520</v>
      </c>
      <c r="L249" s="166"/>
      <c r="M249" s="167" t="s">
        <v>1</v>
      </c>
      <c r="N249" s="168" t="s">
        <v>48</v>
      </c>
      <c r="P249" s="140">
        <f>O249*H249</f>
        <v>0</v>
      </c>
      <c r="Q249" s="140">
        <v>3.5000000000000001E-3</v>
      </c>
      <c r="R249" s="140">
        <f>Q249*H249</f>
        <v>7.0000000000000001E-3</v>
      </c>
      <c r="S249" s="140">
        <v>0</v>
      </c>
      <c r="T249" s="141">
        <f>S249*H249</f>
        <v>0</v>
      </c>
      <c r="AR249" s="142" t="s">
        <v>180</v>
      </c>
      <c r="AT249" s="142" t="s">
        <v>234</v>
      </c>
      <c r="AU249" s="142" t="s">
        <v>94</v>
      </c>
      <c r="AY249" s="15" t="s">
        <v>136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5" t="s">
        <v>91</v>
      </c>
      <c r="BK249" s="143">
        <f>ROUND(I249*H249,2)</f>
        <v>0</v>
      </c>
      <c r="BL249" s="15" t="s">
        <v>143</v>
      </c>
      <c r="BM249" s="142" t="s">
        <v>642</v>
      </c>
    </row>
    <row r="250" spans="2:65" s="12" customFormat="1">
      <c r="B250" s="144"/>
      <c r="D250" s="145" t="s">
        <v>145</v>
      </c>
      <c r="E250" s="146" t="s">
        <v>1</v>
      </c>
      <c r="F250" s="147" t="s">
        <v>94</v>
      </c>
      <c r="H250" s="148">
        <v>2</v>
      </c>
      <c r="I250" s="149"/>
      <c r="L250" s="144"/>
      <c r="M250" s="150"/>
      <c r="T250" s="151"/>
      <c r="AT250" s="146" t="s">
        <v>145</v>
      </c>
      <c r="AU250" s="146" t="s">
        <v>94</v>
      </c>
      <c r="AV250" s="12" t="s">
        <v>94</v>
      </c>
      <c r="AW250" s="12" t="s">
        <v>40</v>
      </c>
      <c r="AX250" s="12" t="s">
        <v>91</v>
      </c>
      <c r="AY250" s="146" t="s">
        <v>136</v>
      </c>
    </row>
    <row r="251" spans="2:65" s="1" customFormat="1" ht="16.5" customHeight="1">
      <c r="B251" s="31"/>
      <c r="C251" s="131" t="s">
        <v>395</v>
      </c>
      <c r="D251" s="131" t="s">
        <v>138</v>
      </c>
      <c r="E251" s="132" t="s">
        <v>643</v>
      </c>
      <c r="F251" s="133" t="s">
        <v>644</v>
      </c>
      <c r="G251" s="134" t="s">
        <v>276</v>
      </c>
      <c r="H251" s="135">
        <v>2</v>
      </c>
      <c r="I251" s="136"/>
      <c r="J251" s="137">
        <f>ROUND(I251*H251,2)</f>
        <v>0</v>
      </c>
      <c r="K251" s="133" t="s">
        <v>142</v>
      </c>
      <c r="L251" s="31"/>
      <c r="M251" s="138" t="s">
        <v>1</v>
      </c>
      <c r="N251" s="139" t="s">
        <v>48</v>
      </c>
      <c r="P251" s="140">
        <f>O251*H251</f>
        <v>0</v>
      </c>
      <c r="Q251" s="140">
        <v>7.6999999999999996E-4</v>
      </c>
      <c r="R251" s="140">
        <f>Q251*H251</f>
        <v>1.5399999999999999E-3</v>
      </c>
      <c r="S251" s="140">
        <v>0</v>
      </c>
      <c r="T251" s="141">
        <f>S251*H251</f>
        <v>0</v>
      </c>
      <c r="AR251" s="142" t="s">
        <v>143</v>
      </c>
      <c r="AT251" s="142" t="s">
        <v>138</v>
      </c>
      <c r="AU251" s="142" t="s">
        <v>94</v>
      </c>
      <c r="AY251" s="15" t="s">
        <v>136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5" t="s">
        <v>91</v>
      </c>
      <c r="BK251" s="143">
        <f>ROUND(I251*H251,2)</f>
        <v>0</v>
      </c>
      <c r="BL251" s="15" t="s">
        <v>143</v>
      </c>
      <c r="BM251" s="142" t="s">
        <v>645</v>
      </c>
    </row>
    <row r="252" spans="2:65" s="12" customFormat="1">
      <c r="B252" s="144"/>
      <c r="D252" s="145" t="s">
        <v>145</v>
      </c>
      <c r="E252" s="146" t="s">
        <v>1</v>
      </c>
      <c r="F252" s="147" t="s">
        <v>646</v>
      </c>
      <c r="H252" s="148">
        <v>2</v>
      </c>
      <c r="I252" s="149"/>
      <c r="L252" s="144"/>
      <c r="M252" s="150"/>
      <c r="T252" s="151"/>
      <c r="AT252" s="146" t="s">
        <v>145</v>
      </c>
      <c r="AU252" s="146" t="s">
        <v>94</v>
      </c>
      <c r="AV252" s="12" t="s">
        <v>94</v>
      </c>
      <c r="AW252" s="12" t="s">
        <v>40</v>
      </c>
      <c r="AX252" s="12" t="s">
        <v>91</v>
      </c>
      <c r="AY252" s="146" t="s">
        <v>136</v>
      </c>
    </row>
    <row r="253" spans="2:65" s="1" customFormat="1" ht="16.5" customHeight="1">
      <c r="B253" s="31"/>
      <c r="C253" s="159" t="s">
        <v>399</v>
      </c>
      <c r="D253" s="159" t="s">
        <v>234</v>
      </c>
      <c r="E253" s="160" t="s">
        <v>647</v>
      </c>
      <c r="F253" s="161" t="s">
        <v>648</v>
      </c>
      <c r="G253" s="162" t="s">
        <v>276</v>
      </c>
      <c r="H253" s="163">
        <v>2</v>
      </c>
      <c r="I253" s="164"/>
      <c r="J253" s="165">
        <f>ROUND(I253*H253,2)</f>
        <v>0</v>
      </c>
      <c r="K253" s="161" t="s">
        <v>520</v>
      </c>
      <c r="L253" s="166"/>
      <c r="M253" s="167" t="s">
        <v>1</v>
      </c>
      <c r="N253" s="168" t="s">
        <v>48</v>
      </c>
      <c r="P253" s="140">
        <f>O253*H253</f>
        <v>0</v>
      </c>
      <c r="Q253" s="140">
        <v>5.0000000000000001E-3</v>
      </c>
      <c r="R253" s="140">
        <f>Q253*H253</f>
        <v>0.01</v>
      </c>
      <c r="S253" s="140">
        <v>0</v>
      </c>
      <c r="T253" s="141">
        <f>S253*H253</f>
        <v>0</v>
      </c>
      <c r="AR253" s="142" t="s">
        <v>180</v>
      </c>
      <c r="AT253" s="142" t="s">
        <v>234</v>
      </c>
      <c r="AU253" s="142" t="s">
        <v>94</v>
      </c>
      <c r="AY253" s="15" t="s">
        <v>136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5" t="s">
        <v>91</v>
      </c>
      <c r="BK253" s="143">
        <f>ROUND(I253*H253,2)</f>
        <v>0</v>
      </c>
      <c r="BL253" s="15" t="s">
        <v>143</v>
      </c>
      <c r="BM253" s="142" t="s">
        <v>649</v>
      </c>
    </row>
    <row r="254" spans="2:65" s="12" customFormat="1">
      <c r="B254" s="144"/>
      <c r="D254" s="145" t="s">
        <v>145</v>
      </c>
      <c r="E254" s="146" t="s">
        <v>1</v>
      </c>
      <c r="F254" s="147" t="s">
        <v>94</v>
      </c>
      <c r="H254" s="148">
        <v>2</v>
      </c>
      <c r="I254" s="149"/>
      <c r="L254" s="144"/>
      <c r="M254" s="150"/>
      <c r="T254" s="151"/>
      <c r="AT254" s="146" t="s">
        <v>145</v>
      </c>
      <c r="AU254" s="146" t="s">
        <v>94</v>
      </c>
      <c r="AV254" s="12" t="s">
        <v>94</v>
      </c>
      <c r="AW254" s="12" t="s">
        <v>40</v>
      </c>
      <c r="AX254" s="12" t="s">
        <v>91</v>
      </c>
      <c r="AY254" s="146" t="s">
        <v>136</v>
      </c>
    </row>
    <row r="255" spans="2:65" s="1" customFormat="1" ht="16.5" customHeight="1">
      <c r="B255" s="31"/>
      <c r="C255" s="131" t="s">
        <v>403</v>
      </c>
      <c r="D255" s="131" t="s">
        <v>138</v>
      </c>
      <c r="E255" s="132" t="s">
        <v>650</v>
      </c>
      <c r="F255" s="133" t="s">
        <v>651</v>
      </c>
      <c r="G255" s="134" t="s">
        <v>276</v>
      </c>
      <c r="H255" s="135">
        <v>3</v>
      </c>
      <c r="I255" s="136"/>
      <c r="J255" s="137">
        <f>ROUND(I255*H255,2)</f>
        <v>0</v>
      </c>
      <c r="K255" s="133" t="s">
        <v>142</v>
      </c>
      <c r="L255" s="31"/>
      <c r="M255" s="138" t="s">
        <v>1</v>
      </c>
      <c r="N255" s="139" t="s">
        <v>48</v>
      </c>
      <c r="P255" s="140">
        <f>O255*H255</f>
        <v>0</v>
      </c>
      <c r="Q255" s="140">
        <v>1.6199999999999999E-3</v>
      </c>
      <c r="R255" s="140">
        <f>Q255*H255</f>
        <v>4.8599999999999997E-3</v>
      </c>
      <c r="S255" s="140">
        <v>0</v>
      </c>
      <c r="T255" s="141">
        <f>S255*H255</f>
        <v>0</v>
      </c>
      <c r="AR255" s="142" t="s">
        <v>143</v>
      </c>
      <c r="AT255" s="142" t="s">
        <v>138</v>
      </c>
      <c r="AU255" s="142" t="s">
        <v>94</v>
      </c>
      <c r="AY255" s="15" t="s">
        <v>136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5" t="s">
        <v>91</v>
      </c>
      <c r="BK255" s="143">
        <f>ROUND(I255*H255,2)</f>
        <v>0</v>
      </c>
      <c r="BL255" s="15" t="s">
        <v>143</v>
      </c>
      <c r="BM255" s="142" t="s">
        <v>652</v>
      </c>
    </row>
    <row r="256" spans="2:65" s="12" customFormat="1">
      <c r="B256" s="144"/>
      <c r="D256" s="145" t="s">
        <v>145</v>
      </c>
      <c r="E256" s="146" t="s">
        <v>1</v>
      </c>
      <c r="F256" s="147" t="s">
        <v>153</v>
      </c>
      <c r="H256" s="148">
        <v>3</v>
      </c>
      <c r="I256" s="149"/>
      <c r="L256" s="144"/>
      <c r="M256" s="150"/>
      <c r="T256" s="151"/>
      <c r="AT256" s="146" t="s">
        <v>145</v>
      </c>
      <c r="AU256" s="146" t="s">
        <v>94</v>
      </c>
      <c r="AV256" s="12" t="s">
        <v>94</v>
      </c>
      <c r="AW256" s="12" t="s">
        <v>40</v>
      </c>
      <c r="AX256" s="12" t="s">
        <v>91</v>
      </c>
      <c r="AY256" s="146" t="s">
        <v>136</v>
      </c>
    </row>
    <row r="257" spans="2:65" s="1" customFormat="1" ht="16.5" customHeight="1">
      <c r="B257" s="31"/>
      <c r="C257" s="159" t="s">
        <v>407</v>
      </c>
      <c r="D257" s="159" t="s">
        <v>234</v>
      </c>
      <c r="E257" s="160" t="s">
        <v>653</v>
      </c>
      <c r="F257" s="161" t="s">
        <v>654</v>
      </c>
      <c r="G257" s="162" t="s">
        <v>276</v>
      </c>
      <c r="H257" s="163">
        <v>3</v>
      </c>
      <c r="I257" s="164"/>
      <c r="J257" s="165">
        <f>ROUND(I257*H257,2)</f>
        <v>0</v>
      </c>
      <c r="K257" s="161" t="s">
        <v>520</v>
      </c>
      <c r="L257" s="166"/>
      <c r="M257" s="167" t="s">
        <v>1</v>
      </c>
      <c r="N257" s="168" t="s">
        <v>48</v>
      </c>
      <c r="P257" s="140">
        <f>O257*H257</f>
        <v>0</v>
      </c>
      <c r="Q257" s="140">
        <v>3.5000000000000001E-3</v>
      </c>
      <c r="R257" s="140">
        <f>Q257*H257</f>
        <v>1.0500000000000001E-2</v>
      </c>
      <c r="S257" s="140">
        <v>0</v>
      </c>
      <c r="T257" s="141">
        <f>S257*H257</f>
        <v>0</v>
      </c>
      <c r="AR257" s="142" t="s">
        <v>180</v>
      </c>
      <c r="AT257" s="142" t="s">
        <v>234</v>
      </c>
      <c r="AU257" s="142" t="s">
        <v>94</v>
      </c>
      <c r="AY257" s="15" t="s">
        <v>136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5" t="s">
        <v>91</v>
      </c>
      <c r="BK257" s="143">
        <f>ROUND(I257*H257,2)</f>
        <v>0</v>
      </c>
      <c r="BL257" s="15" t="s">
        <v>143</v>
      </c>
      <c r="BM257" s="142" t="s">
        <v>655</v>
      </c>
    </row>
    <row r="258" spans="2:65" s="12" customFormat="1">
      <c r="B258" s="144"/>
      <c r="D258" s="145" t="s">
        <v>145</v>
      </c>
      <c r="E258" s="146" t="s">
        <v>1</v>
      </c>
      <c r="F258" s="147" t="s">
        <v>153</v>
      </c>
      <c r="H258" s="148">
        <v>3</v>
      </c>
      <c r="I258" s="149"/>
      <c r="L258" s="144"/>
      <c r="M258" s="150"/>
      <c r="T258" s="151"/>
      <c r="AT258" s="146" t="s">
        <v>145</v>
      </c>
      <c r="AU258" s="146" t="s">
        <v>94</v>
      </c>
      <c r="AV258" s="12" t="s">
        <v>94</v>
      </c>
      <c r="AW258" s="12" t="s">
        <v>40</v>
      </c>
      <c r="AX258" s="12" t="s">
        <v>91</v>
      </c>
      <c r="AY258" s="146" t="s">
        <v>136</v>
      </c>
    </row>
    <row r="259" spans="2:65" s="1" customFormat="1" ht="16.5" customHeight="1">
      <c r="B259" s="31"/>
      <c r="C259" s="159" t="s">
        <v>411</v>
      </c>
      <c r="D259" s="159" t="s">
        <v>234</v>
      </c>
      <c r="E259" s="160" t="s">
        <v>656</v>
      </c>
      <c r="F259" s="161" t="s">
        <v>657</v>
      </c>
      <c r="G259" s="162" t="s">
        <v>276</v>
      </c>
      <c r="H259" s="163">
        <v>3</v>
      </c>
      <c r="I259" s="164"/>
      <c r="J259" s="165">
        <f>ROUND(I259*H259,2)</f>
        <v>0</v>
      </c>
      <c r="K259" s="161" t="s">
        <v>520</v>
      </c>
      <c r="L259" s="166"/>
      <c r="M259" s="167" t="s">
        <v>1</v>
      </c>
      <c r="N259" s="168" t="s">
        <v>48</v>
      </c>
      <c r="P259" s="140">
        <f>O259*H259</f>
        <v>0</v>
      </c>
      <c r="Q259" s="140">
        <v>1.847E-2</v>
      </c>
      <c r="R259" s="140">
        <f>Q259*H259</f>
        <v>5.5410000000000001E-2</v>
      </c>
      <c r="S259" s="140">
        <v>0</v>
      </c>
      <c r="T259" s="141">
        <f>S259*H259</f>
        <v>0</v>
      </c>
      <c r="AR259" s="142" t="s">
        <v>180</v>
      </c>
      <c r="AT259" s="142" t="s">
        <v>234</v>
      </c>
      <c r="AU259" s="142" t="s">
        <v>94</v>
      </c>
      <c r="AY259" s="15" t="s">
        <v>136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5" t="s">
        <v>91</v>
      </c>
      <c r="BK259" s="143">
        <f>ROUND(I259*H259,2)</f>
        <v>0</v>
      </c>
      <c r="BL259" s="15" t="s">
        <v>143</v>
      </c>
      <c r="BM259" s="142" t="s">
        <v>658</v>
      </c>
    </row>
    <row r="260" spans="2:65" s="12" customFormat="1">
      <c r="B260" s="144"/>
      <c r="D260" s="145" t="s">
        <v>145</v>
      </c>
      <c r="E260" s="146" t="s">
        <v>1</v>
      </c>
      <c r="F260" s="147" t="s">
        <v>153</v>
      </c>
      <c r="H260" s="148">
        <v>3</v>
      </c>
      <c r="I260" s="149"/>
      <c r="L260" s="144"/>
      <c r="M260" s="150"/>
      <c r="T260" s="151"/>
      <c r="AT260" s="146" t="s">
        <v>145</v>
      </c>
      <c r="AU260" s="146" t="s">
        <v>94</v>
      </c>
      <c r="AV260" s="12" t="s">
        <v>94</v>
      </c>
      <c r="AW260" s="12" t="s">
        <v>40</v>
      </c>
      <c r="AX260" s="12" t="s">
        <v>91</v>
      </c>
      <c r="AY260" s="146" t="s">
        <v>136</v>
      </c>
    </row>
    <row r="261" spans="2:65" s="1" customFormat="1" ht="16.5" customHeight="1">
      <c r="B261" s="31"/>
      <c r="C261" s="131" t="s">
        <v>415</v>
      </c>
      <c r="D261" s="131" t="s">
        <v>138</v>
      </c>
      <c r="E261" s="132" t="s">
        <v>659</v>
      </c>
      <c r="F261" s="133" t="s">
        <v>660</v>
      </c>
      <c r="G261" s="134" t="s">
        <v>276</v>
      </c>
      <c r="H261" s="135">
        <v>3</v>
      </c>
      <c r="I261" s="136"/>
      <c r="J261" s="137">
        <f>ROUND(I261*H261,2)</f>
        <v>0</v>
      </c>
      <c r="K261" s="133" t="s">
        <v>142</v>
      </c>
      <c r="L261" s="31"/>
      <c r="M261" s="138" t="s">
        <v>1</v>
      </c>
      <c r="N261" s="139" t="s">
        <v>48</v>
      </c>
      <c r="P261" s="140">
        <f>O261*H261</f>
        <v>0</v>
      </c>
      <c r="Q261" s="140">
        <v>1.3600000000000001E-3</v>
      </c>
      <c r="R261" s="140">
        <f>Q261*H261</f>
        <v>4.0800000000000003E-3</v>
      </c>
      <c r="S261" s="140">
        <v>0</v>
      </c>
      <c r="T261" s="141">
        <f>S261*H261</f>
        <v>0</v>
      </c>
      <c r="AR261" s="142" t="s">
        <v>143</v>
      </c>
      <c r="AT261" s="142" t="s">
        <v>138</v>
      </c>
      <c r="AU261" s="142" t="s">
        <v>94</v>
      </c>
      <c r="AY261" s="15" t="s">
        <v>136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5" t="s">
        <v>91</v>
      </c>
      <c r="BK261" s="143">
        <f>ROUND(I261*H261,2)</f>
        <v>0</v>
      </c>
      <c r="BL261" s="15" t="s">
        <v>143</v>
      </c>
      <c r="BM261" s="142" t="s">
        <v>661</v>
      </c>
    </row>
    <row r="262" spans="2:65" s="12" customFormat="1">
      <c r="B262" s="144"/>
      <c r="D262" s="145" t="s">
        <v>145</v>
      </c>
      <c r="E262" s="146" t="s">
        <v>1</v>
      </c>
      <c r="F262" s="147" t="s">
        <v>153</v>
      </c>
      <c r="H262" s="148">
        <v>3</v>
      </c>
      <c r="I262" s="149"/>
      <c r="L262" s="144"/>
      <c r="M262" s="150"/>
      <c r="T262" s="151"/>
      <c r="AT262" s="146" t="s">
        <v>145</v>
      </c>
      <c r="AU262" s="146" t="s">
        <v>94</v>
      </c>
      <c r="AV262" s="12" t="s">
        <v>94</v>
      </c>
      <c r="AW262" s="12" t="s">
        <v>40</v>
      </c>
      <c r="AX262" s="12" t="s">
        <v>91</v>
      </c>
      <c r="AY262" s="146" t="s">
        <v>136</v>
      </c>
    </row>
    <row r="263" spans="2:65" s="1" customFormat="1" ht="16.5" customHeight="1">
      <c r="B263" s="31"/>
      <c r="C263" s="159" t="s">
        <v>419</v>
      </c>
      <c r="D263" s="159" t="s">
        <v>234</v>
      </c>
      <c r="E263" s="160" t="s">
        <v>662</v>
      </c>
      <c r="F263" s="161" t="s">
        <v>663</v>
      </c>
      <c r="G263" s="162" t="s">
        <v>276</v>
      </c>
      <c r="H263" s="163">
        <v>3</v>
      </c>
      <c r="I263" s="164"/>
      <c r="J263" s="165">
        <f>ROUND(I263*H263,2)</f>
        <v>0</v>
      </c>
      <c r="K263" s="161" t="s">
        <v>520</v>
      </c>
      <c r="L263" s="166"/>
      <c r="M263" s="167" t="s">
        <v>1</v>
      </c>
      <c r="N263" s="168" t="s">
        <v>48</v>
      </c>
      <c r="P263" s="140">
        <f>O263*H263</f>
        <v>0</v>
      </c>
      <c r="Q263" s="140">
        <v>3.7499999999999999E-2</v>
      </c>
      <c r="R263" s="140">
        <f>Q263*H263</f>
        <v>0.11249999999999999</v>
      </c>
      <c r="S263" s="140">
        <v>0</v>
      </c>
      <c r="T263" s="141">
        <f>S263*H263</f>
        <v>0</v>
      </c>
      <c r="AR263" s="142" t="s">
        <v>180</v>
      </c>
      <c r="AT263" s="142" t="s">
        <v>234</v>
      </c>
      <c r="AU263" s="142" t="s">
        <v>94</v>
      </c>
      <c r="AY263" s="15" t="s">
        <v>136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5" t="s">
        <v>91</v>
      </c>
      <c r="BK263" s="143">
        <f>ROUND(I263*H263,2)</f>
        <v>0</v>
      </c>
      <c r="BL263" s="15" t="s">
        <v>143</v>
      </c>
      <c r="BM263" s="142" t="s">
        <v>664</v>
      </c>
    </row>
    <row r="264" spans="2:65" s="12" customFormat="1">
      <c r="B264" s="144"/>
      <c r="D264" s="145" t="s">
        <v>145</v>
      </c>
      <c r="E264" s="146" t="s">
        <v>1</v>
      </c>
      <c r="F264" s="147" t="s">
        <v>153</v>
      </c>
      <c r="H264" s="148">
        <v>3</v>
      </c>
      <c r="I264" s="149"/>
      <c r="L264" s="144"/>
      <c r="M264" s="150"/>
      <c r="T264" s="151"/>
      <c r="AT264" s="146" t="s">
        <v>145</v>
      </c>
      <c r="AU264" s="146" t="s">
        <v>94</v>
      </c>
      <c r="AV264" s="12" t="s">
        <v>94</v>
      </c>
      <c r="AW264" s="12" t="s">
        <v>40</v>
      </c>
      <c r="AX264" s="12" t="s">
        <v>91</v>
      </c>
      <c r="AY264" s="146" t="s">
        <v>136</v>
      </c>
    </row>
    <row r="265" spans="2:65" s="1" customFormat="1" ht="16.5" customHeight="1">
      <c r="B265" s="31"/>
      <c r="C265" s="131" t="s">
        <v>423</v>
      </c>
      <c r="D265" s="131" t="s">
        <v>138</v>
      </c>
      <c r="E265" s="132" t="s">
        <v>665</v>
      </c>
      <c r="F265" s="133" t="s">
        <v>666</v>
      </c>
      <c r="G265" s="134" t="s">
        <v>276</v>
      </c>
      <c r="H265" s="135">
        <v>3</v>
      </c>
      <c r="I265" s="136"/>
      <c r="J265" s="137">
        <f>ROUND(I265*H265,2)</f>
        <v>0</v>
      </c>
      <c r="K265" s="133" t="s">
        <v>142</v>
      </c>
      <c r="L265" s="31"/>
      <c r="M265" s="138" t="s">
        <v>1</v>
      </c>
      <c r="N265" s="139" t="s">
        <v>48</v>
      </c>
      <c r="P265" s="140">
        <f>O265*H265</f>
        <v>0</v>
      </c>
      <c r="Q265" s="140">
        <v>1.65E-3</v>
      </c>
      <c r="R265" s="140">
        <f>Q265*H265</f>
        <v>4.9499999999999995E-3</v>
      </c>
      <c r="S265" s="140">
        <v>0</v>
      </c>
      <c r="T265" s="141">
        <f>S265*H265</f>
        <v>0</v>
      </c>
      <c r="AR265" s="142" t="s">
        <v>143</v>
      </c>
      <c r="AT265" s="142" t="s">
        <v>138</v>
      </c>
      <c r="AU265" s="142" t="s">
        <v>94</v>
      </c>
      <c r="AY265" s="15" t="s">
        <v>136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5" t="s">
        <v>91</v>
      </c>
      <c r="BK265" s="143">
        <f>ROUND(I265*H265,2)</f>
        <v>0</v>
      </c>
      <c r="BL265" s="15" t="s">
        <v>143</v>
      </c>
      <c r="BM265" s="142" t="s">
        <v>667</v>
      </c>
    </row>
    <row r="266" spans="2:65" s="12" customFormat="1">
      <c r="B266" s="144"/>
      <c r="D266" s="145" t="s">
        <v>145</v>
      </c>
      <c r="E266" s="146" t="s">
        <v>1</v>
      </c>
      <c r="F266" s="147" t="s">
        <v>153</v>
      </c>
      <c r="H266" s="148">
        <v>3</v>
      </c>
      <c r="I266" s="149"/>
      <c r="L266" s="144"/>
      <c r="M266" s="150"/>
      <c r="T266" s="151"/>
      <c r="AT266" s="146" t="s">
        <v>145</v>
      </c>
      <c r="AU266" s="146" t="s">
        <v>94</v>
      </c>
      <c r="AV266" s="12" t="s">
        <v>94</v>
      </c>
      <c r="AW266" s="12" t="s">
        <v>40</v>
      </c>
      <c r="AX266" s="12" t="s">
        <v>91</v>
      </c>
      <c r="AY266" s="146" t="s">
        <v>136</v>
      </c>
    </row>
    <row r="267" spans="2:65" s="1" customFormat="1" ht="16.5" customHeight="1">
      <c r="B267" s="31"/>
      <c r="C267" s="159" t="s">
        <v>427</v>
      </c>
      <c r="D267" s="159" t="s">
        <v>234</v>
      </c>
      <c r="E267" s="160" t="s">
        <v>668</v>
      </c>
      <c r="F267" s="161" t="s">
        <v>669</v>
      </c>
      <c r="G267" s="162" t="s">
        <v>276</v>
      </c>
      <c r="H267" s="163">
        <v>3</v>
      </c>
      <c r="I267" s="164"/>
      <c r="J267" s="165">
        <f>ROUND(I267*H267,2)</f>
        <v>0</v>
      </c>
      <c r="K267" s="161" t="s">
        <v>520</v>
      </c>
      <c r="L267" s="166"/>
      <c r="M267" s="167" t="s">
        <v>1</v>
      </c>
      <c r="N267" s="168" t="s">
        <v>48</v>
      </c>
      <c r="P267" s="140">
        <f>O267*H267</f>
        <v>0</v>
      </c>
      <c r="Q267" s="140">
        <v>4.0000000000000001E-3</v>
      </c>
      <c r="R267" s="140">
        <f>Q267*H267</f>
        <v>1.2E-2</v>
      </c>
      <c r="S267" s="140">
        <v>0</v>
      </c>
      <c r="T267" s="141">
        <f>S267*H267</f>
        <v>0</v>
      </c>
      <c r="AR267" s="142" t="s">
        <v>180</v>
      </c>
      <c r="AT267" s="142" t="s">
        <v>234</v>
      </c>
      <c r="AU267" s="142" t="s">
        <v>94</v>
      </c>
      <c r="AY267" s="15" t="s">
        <v>136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5" t="s">
        <v>91</v>
      </c>
      <c r="BK267" s="143">
        <f>ROUND(I267*H267,2)</f>
        <v>0</v>
      </c>
      <c r="BL267" s="15" t="s">
        <v>143</v>
      </c>
      <c r="BM267" s="142" t="s">
        <v>670</v>
      </c>
    </row>
    <row r="268" spans="2:65" s="12" customFormat="1">
      <c r="B268" s="144"/>
      <c r="D268" s="145" t="s">
        <v>145</v>
      </c>
      <c r="E268" s="146" t="s">
        <v>1</v>
      </c>
      <c r="F268" s="147" t="s">
        <v>153</v>
      </c>
      <c r="H268" s="148">
        <v>3</v>
      </c>
      <c r="I268" s="149"/>
      <c r="L268" s="144"/>
      <c r="M268" s="150"/>
      <c r="T268" s="151"/>
      <c r="AT268" s="146" t="s">
        <v>145</v>
      </c>
      <c r="AU268" s="146" t="s">
        <v>94</v>
      </c>
      <c r="AV268" s="12" t="s">
        <v>94</v>
      </c>
      <c r="AW268" s="12" t="s">
        <v>40</v>
      </c>
      <c r="AX268" s="12" t="s">
        <v>91</v>
      </c>
      <c r="AY268" s="146" t="s">
        <v>136</v>
      </c>
    </row>
    <row r="269" spans="2:65" s="1" customFormat="1" ht="16.5" customHeight="1">
      <c r="B269" s="31"/>
      <c r="C269" s="159" t="s">
        <v>431</v>
      </c>
      <c r="D269" s="159" t="s">
        <v>234</v>
      </c>
      <c r="E269" s="160" t="s">
        <v>671</v>
      </c>
      <c r="F269" s="161" t="s">
        <v>672</v>
      </c>
      <c r="G269" s="162" t="s">
        <v>276</v>
      </c>
      <c r="H269" s="163">
        <v>3</v>
      </c>
      <c r="I269" s="164"/>
      <c r="J269" s="165">
        <f>ROUND(I269*H269,2)</f>
        <v>0</v>
      </c>
      <c r="K269" s="161" t="s">
        <v>520</v>
      </c>
      <c r="L269" s="166"/>
      <c r="M269" s="167" t="s">
        <v>1</v>
      </c>
      <c r="N269" s="168" t="s">
        <v>48</v>
      </c>
      <c r="P269" s="140">
        <f>O269*H269</f>
        <v>0</v>
      </c>
      <c r="Q269" s="140">
        <v>2.4500000000000001E-2</v>
      </c>
      <c r="R269" s="140">
        <f>Q269*H269</f>
        <v>7.350000000000001E-2</v>
      </c>
      <c r="S269" s="140">
        <v>0</v>
      </c>
      <c r="T269" s="141">
        <f>S269*H269</f>
        <v>0</v>
      </c>
      <c r="AR269" s="142" t="s">
        <v>180</v>
      </c>
      <c r="AT269" s="142" t="s">
        <v>234</v>
      </c>
      <c r="AU269" s="142" t="s">
        <v>94</v>
      </c>
      <c r="AY269" s="15" t="s">
        <v>136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5" t="s">
        <v>91</v>
      </c>
      <c r="BK269" s="143">
        <f>ROUND(I269*H269,2)</f>
        <v>0</v>
      </c>
      <c r="BL269" s="15" t="s">
        <v>143</v>
      </c>
      <c r="BM269" s="142" t="s">
        <v>673</v>
      </c>
    </row>
    <row r="270" spans="2:65" s="12" customFormat="1">
      <c r="B270" s="144"/>
      <c r="D270" s="145" t="s">
        <v>145</v>
      </c>
      <c r="E270" s="146" t="s">
        <v>1</v>
      </c>
      <c r="F270" s="147" t="s">
        <v>153</v>
      </c>
      <c r="H270" s="148">
        <v>3</v>
      </c>
      <c r="I270" s="149"/>
      <c r="L270" s="144"/>
      <c r="M270" s="150"/>
      <c r="T270" s="151"/>
      <c r="AT270" s="146" t="s">
        <v>145</v>
      </c>
      <c r="AU270" s="146" t="s">
        <v>94</v>
      </c>
      <c r="AV270" s="12" t="s">
        <v>94</v>
      </c>
      <c r="AW270" s="12" t="s">
        <v>40</v>
      </c>
      <c r="AX270" s="12" t="s">
        <v>91</v>
      </c>
      <c r="AY270" s="146" t="s">
        <v>136</v>
      </c>
    </row>
    <row r="271" spans="2:65" s="1" customFormat="1" ht="16.5" customHeight="1">
      <c r="B271" s="31"/>
      <c r="C271" s="131" t="s">
        <v>436</v>
      </c>
      <c r="D271" s="131" t="s">
        <v>138</v>
      </c>
      <c r="E271" s="132" t="s">
        <v>674</v>
      </c>
      <c r="F271" s="133" t="s">
        <v>675</v>
      </c>
      <c r="G271" s="134" t="s">
        <v>276</v>
      </c>
      <c r="H271" s="135">
        <v>2</v>
      </c>
      <c r="I271" s="136"/>
      <c r="J271" s="137">
        <f>ROUND(I271*H271,2)</f>
        <v>0</v>
      </c>
      <c r="K271" s="133" t="s">
        <v>142</v>
      </c>
      <c r="L271" s="31"/>
      <c r="M271" s="138" t="s">
        <v>1</v>
      </c>
      <c r="N271" s="139" t="s">
        <v>48</v>
      </c>
      <c r="P271" s="140">
        <f>O271*H271</f>
        <v>0</v>
      </c>
      <c r="Q271" s="140">
        <v>0</v>
      </c>
      <c r="R271" s="140">
        <f>Q271*H271</f>
        <v>0</v>
      </c>
      <c r="S271" s="140">
        <v>0</v>
      </c>
      <c r="T271" s="141">
        <f>S271*H271</f>
        <v>0</v>
      </c>
      <c r="AR271" s="142" t="s">
        <v>143</v>
      </c>
      <c r="AT271" s="142" t="s">
        <v>138</v>
      </c>
      <c r="AU271" s="142" t="s">
        <v>94</v>
      </c>
      <c r="AY271" s="15" t="s">
        <v>136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5" t="s">
        <v>91</v>
      </c>
      <c r="BK271" s="143">
        <f>ROUND(I271*H271,2)</f>
        <v>0</v>
      </c>
      <c r="BL271" s="15" t="s">
        <v>143</v>
      </c>
      <c r="BM271" s="142" t="s">
        <v>676</v>
      </c>
    </row>
    <row r="272" spans="2:65" s="12" customFormat="1">
      <c r="B272" s="144"/>
      <c r="D272" s="145" t="s">
        <v>145</v>
      </c>
      <c r="E272" s="146" t="s">
        <v>1</v>
      </c>
      <c r="F272" s="147" t="s">
        <v>677</v>
      </c>
      <c r="H272" s="148">
        <v>2</v>
      </c>
      <c r="I272" s="149"/>
      <c r="L272" s="144"/>
      <c r="M272" s="150"/>
      <c r="T272" s="151"/>
      <c r="AT272" s="146" t="s">
        <v>145</v>
      </c>
      <c r="AU272" s="146" t="s">
        <v>94</v>
      </c>
      <c r="AV272" s="12" t="s">
        <v>94</v>
      </c>
      <c r="AW272" s="12" t="s">
        <v>40</v>
      </c>
      <c r="AX272" s="12" t="s">
        <v>91</v>
      </c>
      <c r="AY272" s="146" t="s">
        <v>136</v>
      </c>
    </row>
    <row r="273" spans="2:65" s="1" customFormat="1" ht="16.5" customHeight="1">
      <c r="B273" s="31"/>
      <c r="C273" s="159" t="s">
        <v>441</v>
      </c>
      <c r="D273" s="159" t="s">
        <v>234</v>
      </c>
      <c r="E273" s="160" t="s">
        <v>678</v>
      </c>
      <c r="F273" s="161" t="s">
        <v>679</v>
      </c>
      <c r="G273" s="162" t="s">
        <v>276</v>
      </c>
      <c r="H273" s="163">
        <v>2</v>
      </c>
      <c r="I273" s="164"/>
      <c r="J273" s="165">
        <f>ROUND(I273*H273,2)</f>
        <v>0</v>
      </c>
      <c r="K273" s="161" t="s">
        <v>520</v>
      </c>
      <c r="L273" s="166"/>
      <c r="M273" s="167" t="s">
        <v>1</v>
      </c>
      <c r="N273" s="168" t="s">
        <v>48</v>
      </c>
      <c r="P273" s="140">
        <f>O273*H273</f>
        <v>0</v>
      </c>
      <c r="Q273" s="140">
        <v>1.9E-3</v>
      </c>
      <c r="R273" s="140">
        <f>Q273*H273</f>
        <v>3.8E-3</v>
      </c>
      <c r="S273" s="140">
        <v>0</v>
      </c>
      <c r="T273" s="141">
        <f>S273*H273</f>
        <v>0</v>
      </c>
      <c r="AR273" s="142" t="s">
        <v>180</v>
      </c>
      <c r="AT273" s="142" t="s">
        <v>234</v>
      </c>
      <c r="AU273" s="142" t="s">
        <v>94</v>
      </c>
      <c r="AY273" s="15" t="s">
        <v>136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5" t="s">
        <v>91</v>
      </c>
      <c r="BK273" s="143">
        <f>ROUND(I273*H273,2)</f>
        <v>0</v>
      </c>
      <c r="BL273" s="15" t="s">
        <v>143</v>
      </c>
      <c r="BM273" s="142" t="s">
        <v>680</v>
      </c>
    </row>
    <row r="274" spans="2:65" s="12" customFormat="1">
      <c r="B274" s="144"/>
      <c r="D274" s="145" t="s">
        <v>145</v>
      </c>
      <c r="E274" s="146" t="s">
        <v>1</v>
      </c>
      <c r="F274" s="147" t="s">
        <v>94</v>
      </c>
      <c r="H274" s="148">
        <v>2</v>
      </c>
      <c r="I274" s="149"/>
      <c r="L274" s="144"/>
      <c r="M274" s="150"/>
      <c r="T274" s="151"/>
      <c r="AT274" s="146" t="s">
        <v>145</v>
      </c>
      <c r="AU274" s="146" t="s">
        <v>94</v>
      </c>
      <c r="AV274" s="12" t="s">
        <v>94</v>
      </c>
      <c r="AW274" s="12" t="s">
        <v>40</v>
      </c>
      <c r="AX274" s="12" t="s">
        <v>91</v>
      </c>
      <c r="AY274" s="146" t="s">
        <v>136</v>
      </c>
    </row>
    <row r="275" spans="2:65" s="1" customFormat="1" ht="16.5" customHeight="1">
      <c r="B275" s="31"/>
      <c r="C275" s="131" t="s">
        <v>447</v>
      </c>
      <c r="D275" s="131" t="s">
        <v>138</v>
      </c>
      <c r="E275" s="132" t="s">
        <v>681</v>
      </c>
      <c r="F275" s="133" t="s">
        <v>682</v>
      </c>
      <c r="G275" s="134" t="s">
        <v>172</v>
      </c>
      <c r="H275" s="135">
        <v>226</v>
      </c>
      <c r="I275" s="136"/>
      <c r="J275" s="137">
        <f>ROUND(I275*H275,2)</f>
        <v>0</v>
      </c>
      <c r="K275" s="133" t="s">
        <v>142</v>
      </c>
      <c r="L275" s="31"/>
      <c r="M275" s="138" t="s">
        <v>1</v>
      </c>
      <c r="N275" s="139" t="s">
        <v>48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143</v>
      </c>
      <c r="AT275" s="142" t="s">
        <v>138</v>
      </c>
      <c r="AU275" s="142" t="s">
        <v>94</v>
      </c>
      <c r="AY275" s="15" t="s">
        <v>136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5" t="s">
        <v>91</v>
      </c>
      <c r="BK275" s="143">
        <f>ROUND(I275*H275,2)</f>
        <v>0</v>
      </c>
      <c r="BL275" s="15" t="s">
        <v>143</v>
      </c>
      <c r="BM275" s="142" t="s">
        <v>683</v>
      </c>
    </row>
    <row r="276" spans="2:65" s="12" customFormat="1">
      <c r="B276" s="144"/>
      <c r="D276" s="145" t="s">
        <v>145</v>
      </c>
      <c r="E276" s="146" t="s">
        <v>1</v>
      </c>
      <c r="F276" s="147" t="s">
        <v>684</v>
      </c>
      <c r="H276" s="148">
        <v>226</v>
      </c>
      <c r="I276" s="149"/>
      <c r="L276" s="144"/>
      <c r="M276" s="150"/>
      <c r="T276" s="151"/>
      <c r="AT276" s="146" t="s">
        <v>145</v>
      </c>
      <c r="AU276" s="146" t="s">
        <v>94</v>
      </c>
      <c r="AV276" s="12" t="s">
        <v>94</v>
      </c>
      <c r="AW276" s="12" t="s">
        <v>40</v>
      </c>
      <c r="AX276" s="12" t="s">
        <v>91</v>
      </c>
      <c r="AY276" s="146" t="s">
        <v>136</v>
      </c>
    </row>
    <row r="277" spans="2:65" s="1" customFormat="1" ht="16.5" customHeight="1">
      <c r="B277" s="31"/>
      <c r="C277" s="131" t="s">
        <v>453</v>
      </c>
      <c r="D277" s="131" t="s">
        <v>138</v>
      </c>
      <c r="E277" s="132" t="s">
        <v>685</v>
      </c>
      <c r="F277" s="133" t="s">
        <v>686</v>
      </c>
      <c r="G277" s="134" t="s">
        <v>276</v>
      </c>
      <c r="H277" s="135">
        <v>2</v>
      </c>
      <c r="I277" s="136"/>
      <c r="J277" s="137">
        <f>ROUND(I277*H277,2)</f>
        <v>0</v>
      </c>
      <c r="K277" s="133" t="s">
        <v>142</v>
      </c>
      <c r="L277" s="31"/>
      <c r="M277" s="138" t="s">
        <v>1</v>
      </c>
      <c r="N277" s="139" t="s">
        <v>48</v>
      </c>
      <c r="P277" s="140">
        <f>O277*H277</f>
        <v>0</v>
      </c>
      <c r="Q277" s="140">
        <v>6.3829999999999998E-2</v>
      </c>
      <c r="R277" s="140">
        <f>Q277*H277</f>
        <v>0.12766</v>
      </c>
      <c r="S277" s="140">
        <v>0</v>
      </c>
      <c r="T277" s="141">
        <f>S277*H277</f>
        <v>0</v>
      </c>
      <c r="AR277" s="142" t="s">
        <v>143</v>
      </c>
      <c r="AT277" s="142" t="s">
        <v>138</v>
      </c>
      <c r="AU277" s="142" t="s">
        <v>94</v>
      </c>
      <c r="AY277" s="15" t="s">
        <v>136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5" t="s">
        <v>91</v>
      </c>
      <c r="BK277" s="143">
        <f>ROUND(I277*H277,2)</f>
        <v>0</v>
      </c>
      <c r="BL277" s="15" t="s">
        <v>143</v>
      </c>
      <c r="BM277" s="142" t="s">
        <v>687</v>
      </c>
    </row>
    <row r="278" spans="2:65" s="12" customFormat="1">
      <c r="B278" s="144"/>
      <c r="D278" s="145" t="s">
        <v>145</v>
      </c>
      <c r="E278" s="146" t="s">
        <v>1</v>
      </c>
      <c r="F278" s="147" t="s">
        <v>688</v>
      </c>
      <c r="H278" s="148">
        <v>2</v>
      </c>
      <c r="I278" s="149"/>
      <c r="L278" s="144"/>
      <c r="M278" s="150"/>
      <c r="T278" s="151"/>
      <c r="AT278" s="146" t="s">
        <v>145</v>
      </c>
      <c r="AU278" s="146" t="s">
        <v>94</v>
      </c>
      <c r="AV278" s="12" t="s">
        <v>94</v>
      </c>
      <c r="AW278" s="12" t="s">
        <v>40</v>
      </c>
      <c r="AX278" s="12" t="s">
        <v>91</v>
      </c>
      <c r="AY278" s="146" t="s">
        <v>136</v>
      </c>
    </row>
    <row r="279" spans="2:65" s="1" customFormat="1" ht="16.5" customHeight="1">
      <c r="B279" s="31"/>
      <c r="C279" s="159" t="s">
        <v>458</v>
      </c>
      <c r="D279" s="159" t="s">
        <v>234</v>
      </c>
      <c r="E279" s="160" t="s">
        <v>689</v>
      </c>
      <c r="F279" s="161" t="s">
        <v>690</v>
      </c>
      <c r="G279" s="162" t="s">
        <v>276</v>
      </c>
      <c r="H279" s="163">
        <v>2</v>
      </c>
      <c r="I279" s="164"/>
      <c r="J279" s="165">
        <f>ROUND(I279*H279,2)</f>
        <v>0</v>
      </c>
      <c r="K279" s="161" t="s">
        <v>520</v>
      </c>
      <c r="L279" s="166"/>
      <c r="M279" s="167" t="s">
        <v>1</v>
      </c>
      <c r="N279" s="168" t="s">
        <v>48</v>
      </c>
      <c r="P279" s="140">
        <f>O279*H279</f>
        <v>0</v>
      </c>
      <c r="Q279" s="140">
        <v>7.3000000000000001E-3</v>
      </c>
      <c r="R279" s="140">
        <f>Q279*H279</f>
        <v>1.46E-2</v>
      </c>
      <c r="S279" s="140">
        <v>0</v>
      </c>
      <c r="T279" s="141">
        <f>S279*H279</f>
        <v>0</v>
      </c>
      <c r="AR279" s="142" t="s">
        <v>180</v>
      </c>
      <c r="AT279" s="142" t="s">
        <v>234</v>
      </c>
      <c r="AU279" s="142" t="s">
        <v>94</v>
      </c>
      <c r="AY279" s="15" t="s">
        <v>136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5" t="s">
        <v>91</v>
      </c>
      <c r="BK279" s="143">
        <f>ROUND(I279*H279,2)</f>
        <v>0</v>
      </c>
      <c r="BL279" s="15" t="s">
        <v>143</v>
      </c>
      <c r="BM279" s="142" t="s">
        <v>691</v>
      </c>
    </row>
    <row r="280" spans="2:65" s="12" customFormat="1">
      <c r="B280" s="144"/>
      <c r="D280" s="145" t="s">
        <v>145</v>
      </c>
      <c r="E280" s="146" t="s">
        <v>1</v>
      </c>
      <c r="F280" s="147" t="s">
        <v>94</v>
      </c>
      <c r="H280" s="148">
        <v>2</v>
      </c>
      <c r="I280" s="149"/>
      <c r="L280" s="144"/>
      <c r="M280" s="150"/>
      <c r="T280" s="151"/>
      <c r="AT280" s="146" t="s">
        <v>145</v>
      </c>
      <c r="AU280" s="146" t="s">
        <v>94</v>
      </c>
      <c r="AV280" s="12" t="s">
        <v>94</v>
      </c>
      <c r="AW280" s="12" t="s">
        <v>40</v>
      </c>
      <c r="AX280" s="12" t="s">
        <v>91</v>
      </c>
      <c r="AY280" s="146" t="s">
        <v>136</v>
      </c>
    </row>
    <row r="281" spans="2:65" s="1" customFormat="1" ht="16.5" customHeight="1">
      <c r="B281" s="31"/>
      <c r="C281" s="159" t="s">
        <v>465</v>
      </c>
      <c r="D281" s="159" t="s">
        <v>234</v>
      </c>
      <c r="E281" s="160" t="s">
        <v>692</v>
      </c>
      <c r="F281" s="161" t="s">
        <v>693</v>
      </c>
      <c r="G281" s="162" t="s">
        <v>276</v>
      </c>
      <c r="H281" s="163">
        <v>2</v>
      </c>
      <c r="I281" s="164"/>
      <c r="J281" s="165">
        <f>ROUND(I281*H281,2)</f>
        <v>0</v>
      </c>
      <c r="K281" s="161" t="s">
        <v>520</v>
      </c>
      <c r="L281" s="166"/>
      <c r="M281" s="167" t="s">
        <v>1</v>
      </c>
      <c r="N281" s="168" t="s">
        <v>48</v>
      </c>
      <c r="P281" s="140">
        <f>O281*H281</f>
        <v>0</v>
      </c>
      <c r="Q281" s="140">
        <v>2.9999999999999997E-4</v>
      </c>
      <c r="R281" s="140">
        <f>Q281*H281</f>
        <v>5.9999999999999995E-4</v>
      </c>
      <c r="S281" s="140">
        <v>0</v>
      </c>
      <c r="T281" s="141">
        <f>S281*H281</f>
        <v>0</v>
      </c>
      <c r="AR281" s="142" t="s">
        <v>180</v>
      </c>
      <c r="AT281" s="142" t="s">
        <v>234</v>
      </c>
      <c r="AU281" s="142" t="s">
        <v>94</v>
      </c>
      <c r="AY281" s="15" t="s">
        <v>136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5" t="s">
        <v>91</v>
      </c>
      <c r="BK281" s="143">
        <f>ROUND(I281*H281,2)</f>
        <v>0</v>
      </c>
      <c r="BL281" s="15" t="s">
        <v>143</v>
      </c>
      <c r="BM281" s="142" t="s">
        <v>694</v>
      </c>
    </row>
    <row r="282" spans="2:65" s="12" customFormat="1">
      <c r="B282" s="144"/>
      <c r="D282" s="145" t="s">
        <v>145</v>
      </c>
      <c r="E282" s="146" t="s">
        <v>1</v>
      </c>
      <c r="F282" s="147" t="s">
        <v>94</v>
      </c>
      <c r="H282" s="148">
        <v>2</v>
      </c>
      <c r="I282" s="149"/>
      <c r="L282" s="144"/>
      <c r="M282" s="150"/>
      <c r="T282" s="151"/>
      <c r="AT282" s="146" t="s">
        <v>145</v>
      </c>
      <c r="AU282" s="146" t="s">
        <v>94</v>
      </c>
      <c r="AV282" s="12" t="s">
        <v>94</v>
      </c>
      <c r="AW282" s="12" t="s">
        <v>40</v>
      </c>
      <c r="AX282" s="12" t="s">
        <v>91</v>
      </c>
      <c r="AY282" s="146" t="s">
        <v>136</v>
      </c>
    </row>
    <row r="283" spans="2:65" s="1" customFormat="1" ht="16.5" customHeight="1">
      <c r="B283" s="31"/>
      <c r="C283" s="131" t="s">
        <v>469</v>
      </c>
      <c r="D283" s="131" t="s">
        <v>138</v>
      </c>
      <c r="E283" s="132" t="s">
        <v>695</v>
      </c>
      <c r="F283" s="133" t="s">
        <v>696</v>
      </c>
      <c r="G283" s="134" t="s">
        <v>276</v>
      </c>
      <c r="H283" s="135">
        <v>6</v>
      </c>
      <c r="I283" s="136"/>
      <c r="J283" s="137">
        <f>ROUND(I283*H283,2)</f>
        <v>0</v>
      </c>
      <c r="K283" s="133" t="s">
        <v>142</v>
      </c>
      <c r="L283" s="31"/>
      <c r="M283" s="138" t="s">
        <v>1</v>
      </c>
      <c r="N283" s="139" t="s">
        <v>48</v>
      </c>
      <c r="P283" s="140">
        <f>O283*H283</f>
        <v>0</v>
      </c>
      <c r="Q283" s="140">
        <v>0.12303</v>
      </c>
      <c r="R283" s="140">
        <f>Q283*H283</f>
        <v>0.73818000000000006</v>
      </c>
      <c r="S283" s="140">
        <v>0</v>
      </c>
      <c r="T283" s="141">
        <f>S283*H283</f>
        <v>0</v>
      </c>
      <c r="AR283" s="142" t="s">
        <v>143</v>
      </c>
      <c r="AT283" s="142" t="s">
        <v>138</v>
      </c>
      <c r="AU283" s="142" t="s">
        <v>94</v>
      </c>
      <c r="AY283" s="15" t="s">
        <v>136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5" t="s">
        <v>91</v>
      </c>
      <c r="BK283" s="143">
        <f>ROUND(I283*H283,2)</f>
        <v>0</v>
      </c>
      <c r="BL283" s="15" t="s">
        <v>143</v>
      </c>
      <c r="BM283" s="142" t="s">
        <v>697</v>
      </c>
    </row>
    <row r="284" spans="2:65" s="12" customFormat="1">
      <c r="B284" s="144"/>
      <c r="D284" s="145" t="s">
        <v>145</v>
      </c>
      <c r="E284" s="146" t="s">
        <v>1</v>
      </c>
      <c r="F284" s="147" t="s">
        <v>169</v>
      </c>
      <c r="H284" s="148">
        <v>6</v>
      </c>
      <c r="I284" s="149"/>
      <c r="L284" s="144"/>
      <c r="M284" s="150"/>
      <c r="T284" s="151"/>
      <c r="AT284" s="146" t="s">
        <v>145</v>
      </c>
      <c r="AU284" s="146" t="s">
        <v>94</v>
      </c>
      <c r="AV284" s="12" t="s">
        <v>94</v>
      </c>
      <c r="AW284" s="12" t="s">
        <v>40</v>
      </c>
      <c r="AX284" s="12" t="s">
        <v>91</v>
      </c>
      <c r="AY284" s="146" t="s">
        <v>136</v>
      </c>
    </row>
    <row r="285" spans="2:65" s="1" customFormat="1" ht="16.5" customHeight="1">
      <c r="B285" s="31"/>
      <c r="C285" s="159" t="s">
        <v>474</v>
      </c>
      <c r="D285" s="159" t="s">
        <v>234</v>
      </c>
      <c r="E285" s="160" t="s">
        <v>698</v>
      </c>
      <c r="F285" s="161" t="s">
        <v>699</v>
      </c>
      <c r="G285" s="162" t="s">
        <v>276</v>
      </c>
      <c r="H285" s="163">
        <v>6</v>
      </c>
      <c r="I285" s="164"/>
      <c r="J285" s="165">
        <f>ROUND(I285*H285,2)</f>
        <v>0</v>
      </c>
      <c r="K285" s="161" t="s">
        <v>520</v>
      </c>
      <c r="L285" s="166"/>
      <c r="M285" s="167" t="s">
        <v>1</v>
      </c>
      <c r="N285" s="168" t="s">
        <v>48</v>
      </c>
      <c r="P285" s="140">
        <f>O285*H285</f>
        <v>0</v>
      </c>
      <c r="Q285" s="140">
        <v>1.3299999999999999E-2</v>
      </c>
      <c r="R285" s="140">
        <f>Q285*H285</f>
        <v>7.9799999999999996E-2</v>
      </c>
      <c r="S285" s="140">
        <v>0</v>
      </c>
      <c r="T285" s="141">
        <f>S285*H285</f>
        <v>0</v>
      </c>
      <c r="AR285" s="142" t="s">
        <v>180</v>
      </c>
      <c r="AT285" s="142" t="s">
        <v>234</v>
      </c>
      <c r="AU285" s="142" t="s">
        <v>94</v>
      </c>
      <c r="AY285" s="15" t="s">
        <v>136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5" t="s">
        <v>91</v>
      </c>
      <c r="BK285" s="143">
        <f>ROUND(I285*H285,2)</f>
        <v>0</v>
      </c>
      <c r="BL285" s="15" t="s">
        <v>143</v>
      </c>
      <c r="BM285" s="142" t="s">
        <v>700</v>
      </c>
    </row>
    <row r="286" spans="2:65" s="12" customFormat="1">
      <c r="B286" s="144"/>
      <c r="D286" s="145" t="s">
        <v>145</v>
      </c>
      <c r="E286" s="146" t="s">
        <v>1</v>
      </c>
      <c r="F286" s="147" t="s">
        <v>169</v>
      </c>
      <c r="H286" s="148">
        <v>6</v>
      </c>
      <c r="I286" s="149"/>
      <c r="L286" s="144"/>
      <c r="M286" s="150"/>
      <c r="T286" s="151"/>
      <c r="AT286" s="146" t="s">
        <v>145</v>
      </c>
      <c r="AU286" s="146" t="s">
        <v>94</v>
      </c>
      <c r="AV286" s="12" t="s">
        <v>94</v>
      </c>
      <c r="AW286" s="12" t="s">
        <v>40</v>
      </c>
      <c r="AX286" s="12" t="s">
        <v>91</v>
      </c>
      <c r="AY286" s="146" t="s">
        <v>136</v>
      </c>
    </row>
    <row r="287" spans="2:65" s="1" customFormat="1" ht="16.5" customHeight="1">
      <c r="B287" s="31"/>
      <c r="C287" s="131" t="s">
        <v>701</v>
      </c>
      <c r="D287" s="131" t="s">
        <v>138</v>
      </c>
      <c r="E287" s="132" t="s">
        <v>702</v>
      </c>
      <c r="F287" s="133" t="s">
        <v>703</v>
      </c>
      <c r="G287" s="134" t="s">
        <v>276</v>
      </c>
      <c r="H287" s="135">
        <v>3</v>
      </c>
      <c r="I287" s="136"/>
      <c r="J287" s="137">
        <f>ROUND(I287*H287,2)</f>
        <v>0</v>
      </c>
      <c r="K287" s="133" t="s">
        <v>142</v>
      </c>
      <c r="L287" s="31"/>
      <c r="M287" s="138" t="s">
        <v>1</v>
      </c>
      <c r="N287" s="139" t="s">
        <v>48</v>
      </c>
      <c r="P287" s="140">
        <f>O287*H287</f>
        <v>0</v>
      </c>
      <c r="Q287" s="140">
        <v>0.32906000000000002</v>
      </c>
      <c r="R287" s="140">
        <f>Q287*H287</f>
        <v>0.98718000000000006</v>
      </c>
      <c r="S287" s="140">
        <v>0</v>
      </c>
      <c r="T287" s="141">
        <f>S287*H287</f>
        <v>0</v>
      </c>
      <c r="AR287" s="142" t="s">
        <v>143</v>
      </c>
      <c r="AT287" s="142" t="s">
        <v>138</v>
      </c>
      <c r="AU287" s="142" t="s">
        <v>94</v>
      </c>
      <c r="AY287" s="15" t="s">
        <v>136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5" t="s">
        <v>91</v>
      </c>
      <c r="BK287" s="143">
        <f>ROUND(I287*H287,2)</f>
        <v>0</v>
      </c>
      <c r="BL287" s="15" t="s">
        <v>143</v>
      </c>
      <c r="BM287" s="142" t="s">
        <v>704</v>
      </c>
    </row>
    <row r="288" spans="2:65" s="12" customFormat="1">
      <c r="B288" s="144"/>
      <c r="D288" s="145" t="s">
        <v>145</v>
      </c>
      <c r="E288" s="146" t="s">
        <v>1</v>
      </c>
      <c r="F288" s="147" t="s">
        <v>153</v>
      </c>
      <c r="H288" s="148">
        <v>3</v>
      </c>
      <c r="I288" s="149"/>
      <c r="L288" s="144"/>
      <c r="M288" s="150"/>
      <c r="T288" s="151"/>
      <c r="AT288" s="146" t="s">
        <v>145</v>
      </c>
      <c r="AU288" s="146" t="s">
        <v>94</v>
      </c>
      <c r="AV288" s="12" t="s">
        <v>94</v>
      </c>
      <c r="AW288" s="12" t="s">
        <v>40</v>
      </c>
      <c r="AX288" s="12" t="s">
        <v>91</v>
      </c>
      <c r="AY288" s="146" t="s">
        <v>136</v>
      </c>
    </row>
    <row r="289" spans="2:65" s="1" customFormat="1" ht="16.5" customHeight="1">
      <c r="B289" s="31"/>
      <c r="C289" s="159" t="s">
        <v>705</v>
      </c>
      <c r="D289" s="159" t="s">
        <v>234</v>
      </c>
      <c r="E289" s="160" t="s">
        <v>706</v>
      </c>
      <c r="F289" s="161" t="s">
        <v>707</v>
      </c>
      <c r="G289" s="162" t="s">
        <v>276</v>
      </c>
      <c r="H289" s="163">
        <v>3</v>
      </c>
      <c r="I289" s="164"/>
      <c r="J289" s="165">
        <f>ROUND(I289*H289,2)</f>
        <v>0</v>
      </c>
      <c r="K289" s="161" t="s">
        <v>520</v>
      </c>
      <c r="L289" s="166"/>
      <c r="M289" s="167" t="s">
        <v>1</v>
      </c>
      <c r="N289" s="168" t="s">
        <v>48</v>
      </c>
      <c r="P289" s="140">
        <f>O289*H289</f>
        <v>0</v>
      </c>
      <c r="Q289" s="140">
        <v>2.9499999999999998E-2</v>
      </c>
      <c r="R289" s="140">
        <f>Q289*H289</f>
        <v>8.8499999999999995E-2</v>
      </c>
      <c r="S289" s="140">
        <v>0</v>
      </c>
      <c r="T289" s="141">
        <f>S289*H289</f>
        <v>0</v>
      </c>
      <c r="AR289" s="142" t="s">
        <v>180</v>
      </c>
      <c r="AT289" s="142" t="s">
        <v>234</v>
      </c>
      <c r="AU289" s="142" t="s">
        <v>94</v>
      </c>
      <c r="AY289" s="15" t="s">
        <v>136</v>
      </c>
      <c r="BE289" s="143">
        <f>IF(N289="základní",J289,0)</f>
        <v>0</v>
      </c>
      <c r="BF289" s="143">
        <f>IF(N289="snížená",J289,0)</f>
        <v>0</v>
      </c>
      <c r="BG289" s="143">
        <f>IF(N289="zákl. přenesená",J289,0)</f>
        <v>0</v>
      </c>
      <c r="BH289" s="143">
        <f>IF(N289="sníž. přenesená",J289,0)</f>
        <v>0</v>
      </c>
      <c r="BI289" s="143">
        <f>IF(N289="nulová",J289,0)</f>
        <v>0</v>
      </c>
      <c r="BJ289" s="15" t="s">
        <v>91</v>
      </c>
      <c r="BK289" s="143">
        <f>ROUND(I289*H289,2)</f>
        <v>0</v>
      </c>
      <c r="BL289" s="15" t="s">
        <v>143</v>
      </c>
      <c r="BM289" s="142" t="s">
        <v>708</v>
      </c>
    </row>
    <row r="290" spans="2:65" s="12" customFormat="1">
      <c r="B290" s="144"/>
      <c r="D290" s="145" t="s">
        <v>145</v>
      </c>
      <c r="E290" s="146" t="s">
        <v>1</v>
      </c>
      <c r="F290" s="147" t="s">
        <v>153</v>
      </c>
      <c r="H290" s="148">
        <v>3</v>
      </c>
      <c r="I290" s="149"/>
      <c r="L290" s="144"/>
      <c r="M290" s="150"/>
      <c r="T290" s="151"/>
      <c r="AT290" s="146" t="s">
        <v>145</v>
      </c>
      <c r="AU290" s="146" t="s">
        <v>94</v>
      </c>
      <c r="AV290" s="12" t="s">
        <v>94</v>
      </c>
      <c r="AW290" s="12" t="s">
        <v>40</v>
      </c>
      <c r="AX290" s="12" t="s">
        <v>91</v>
      </c>
      <c r="AY290" s="146" t="s">
        <v>136</v>
      </c>
    </row>
    <row r="291" spans="2:65" s="1" customFormat="1" ht="16.5" customHeight="1">
      <c r="B291" s="31"/>
      <c r="C291" s="131" t="s">
        <v>709</v>
      </c>
      <c r="D291" s="131" t="s">
        <v>138</v>
      </c>
      <c r="E291" s="132" t="s">
        <v>710</v>
      </c>
      <c r="F291" s="133" t="s">
        <v>711</v>
      </c>
      <c r="G291" s="134" t="s">
        <v>172</v>
      </c>
      <c r="H291" s="135">
        <v>240</v>
      </c>
      <c r="I291" s="136"/>
      <c r="J291" s="137">
        <f>ROUND(I291*H291,2)</f>
        <v>0</v>
      </c>
      <c r="K291" s="133" t="s">
        <v>142</v>
      </c>
      <c r="L291" s="31"/>
      <c r="M291" s="138" t="s">
        <v>1</v>
      </c>
      <c r="N291" s="139" t="s">
        <v>48</v>
      </c>
      <c r="P291" s="140">
        <f>O291*H291</f>
        <v>0</v>
      </c>
      <c r="Q291" s="140">
        <v>1.9000000000000001E-4</v>
      </c>
      <c r="R291" s="140">
        <f>Q291*H291</f>
        <v>4.5600000000000002E-2</v>
      </c>
      <c r="S291" s="140">
        <v>0</v>
      </c>
      <c r="T291" s="141">
        <f>S291*H291</f>
        <v>0</v>
      </c>
      <c r="AR291" s="142" t="s">
        <v>143</v>
      </c>
      <c r="AT291" s="142" t="s">
        <v>138</v>
      </c>
      <c r="AU291" s="142" t="s">
        <v>94</v>
      </c>
      <c r="AY291" s="15" t="s">
        <v>136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5" t="s">
        <v>91</v>
      </c>
      <c r="BK291" s="143">
        <f>ROUND(I291*H291,2)</f>
        <v>0</v>
      </c>
      <c r="BL291" s="15" t="s">
        <v>143</v>
      </c>
      <c r="BM291" s="142" t="s">
        <v>712</v>
      </c>
    </row>
    <row r="292" spans="2:65" s="12" customFormat="1">
      <c r="B292" s="144"/>
      <c r="D292" s="145" t="s">
        <v>145</v>
      </c>
      <c r="E292" s="146" t="s">
        <v>1</v>
      </c>
      <c r="F292" s="147" t="s">
        <v>713</v>
      </c>
      <c r="H292" s="148">
        <v>240</v>
      </c>
      <c r="I292" s="149"/>
      <c r="L292" s="144"/>
      <c r="M292" s="150"/>
      <c r="T292" s="151"/>
      <c r="AT292" s="146" t="s">
        <v>145</v>
      </c>
      <c r="AU292" s="146" t="s">
        <v>94</v>
      </c>
      <c r="AV292" s="12" t="s">
        <v>94</v>
      </c>
      <c r="AW292" s="12" t="s">
        <v>40</v>
      </c>
      <c r="AX292" s="12" t="s">
        <v>91</v>
      </c>
      <c r="AY292" s="146" t="s">
        <v>136</v>
      </c>
    </row>
    <row r="293" spans="2:65" s="1" customFormat="1" ht="16.5" customHeight="1">
      <c r="B293" s="31"/>
      <c r="C293" s="159" t="s">
        <v>714</v>
      </c>
      <c r="D293" s="159" t="s">
        <v>234</v>
      </c>
      <c r="E293" s="160" t="s">
        <v>715</v>
      </c>
      <c r="F293" s="161" t="s">
        <v>716</v>
      </c>
      <c r="G293" s="162" t="s">
        <v>172</v>
      </c>
      <c r="H293" s="163">
        <v>252</v>
      </c>
      <c r="I293" s="164"/>
      <c r="J293" s="165">
        <f>ROUND(I293*H293,2)</f>
        <v>0</v>
      </c>
      <c r="K293" s="161" t="s">
        <v>520</v>
      </c>
      <c r="L293" s="166"/>
      <c r="M293" s="167" t="s">
        <v>1</v>
      </c>
      <c r="N293" s="168" t="s">
        <v>48</v>
      </c>
      <c r="P293" s="140">
        <f>O293*H293</f>
        <v>0</v>
      </c>
      <c r="Q293" s="140">
        <v>9.0000000000000006E-5</v>
      </c>
      <c r="R293" s="140">
        <f>Q293*H293</f>
        <v>2.2680000000000002E-2</v>
      </c>
      <c r="S293" s="140">
        <v>0</v>
      </c>
      <c r="T293" s="141">
        <f>S293*H293</f>
        <v>0</v>
      </c>
      <c r="AR293" s="142" t="s">
        <v>180</v>
      </c>
      <c r="AT293" s="142" t="s">
        <v>234</v>
      </c>
      <c r="AU293" s="142" t="s">
        <v>94</v>
      </c>
      <c r="AY293" s="15" t="s">
        <v>136</v>
      </c>
      <c r="BE293" s="143">
        <f>IF(N293="základní",J293,0)</f>
        <v>0</v>
      </c>
      <c r="BF293" s="143">
        <f>IF(N293="snížená",J293,0)</f>
        <v>0</v>
      </c>
      <c r="BG293" s="143">
        <f>IF(N293="zákl. přenesená",J293,0)</f>
        <v>0</v>
      </c>
      <c r="BH293" s="143">
        <f>IF(N293="sníž. přenesená",J293,0)</f>
        <v>0</v>
      </c>
      <c r="BI293" s="143">
        <f>IF(N293="nulová",J293,0)</f>
        <v>0</v>
      </c>
      <c r="BJ293" s="15" t="s">
        <v>91</v>
      </c>
      <c r="BK293" s="143">
        <f>ROUND(I293*H293,2)</f>
        <v>0</v>
      </c>
      <c r="BL293" s="15" t="s">
        <v>143</v>
      </c>
      <c r="BM293" s="142" t="s">
        <v>717</v>
      </c>
    </row>
    <row r="294" spans="2:65" s="12" customFormat="1">
      <c r="B294" s="144"/>
      <c r="D294" s="145" t="s">
        <v>145</v>
      </c>
      <c r="E294" s="146" t="s">
        <v>1</v>
      </c>
      <c r="F294" s="147" t="s">
        <v>713</v>
      </c>
      <c r="H294" s="148">
        <v>240</v>
      </c>
      <c r="I294" s="149"/>
      <c r="L294" s="144"/>
      <c r="M294" s="150"/>
      <c r="T294" s="151"/>
      <c r="AT294" s="146" t="s">
        <v>145</v>
      </c>
      <c r="AU294" s="146" t="s">
        <v>94</v>
      </c>
      <c r="AV294" s="12" t="s">
        <v>94</v>
      </c>
      <c r="AW294" s="12" t="s">
        <v>40</v>
      </c>
      <c r="AX294" s="12" t="s">
        <v>91</v>
      </c>
      <c r="AY294" s="146" t="s">
        <v>136</v>
      </c>
    </row>
    <row r="295" spans="2:65" s="12" customFormat="1">
      <c r="B295" s="144"/>
      <c r="D295" s="145" t="s">
        <v>145</v>
      </c>
      <c r="F295" s="147" t="s">
        <v>718</v>
      </c>
      <c r="H295" s="148">
        <v>252</v>
      </c>
      <c r="I295" s="149"/>
      <c r="L295" s="144"/>
      <c r="M295" s="150"/>
      <c r="T295" s="151"/>
      <c r="AT295" s="146" t="s">
        <v>145</v>
      </c>
      <c r="AU295" s="146" t="s">
        <v>94</v>
      </c>
      <c r="AV295" s="12" t="s">
        <v>94</v>
      </c>
      <c r="AW295" s="12" t="s">
        <v>4</v>
      </c>
      <c r="AX295" s="12" t="s">
        <v>91</v>
      </c>
      <c r="AY295" s="146" t="s">
        <v>136</v>
      </c>
    </row>
    <row r="296" spans="2:65" s="1" customFormat="1" ht="16.5" customHeight="1">
      <c r="B296" s="31"/>
      <c r="C296" s="131" t="s">
        <v>719</v>
      </c>
      <c r="D296" s="131" t="s">
        <v>138</v>
      </c>
      <c r="E296" s="132" t="s">
        <v>720</v>
      </c>
      <c r="F296" s="133" t="s">
        <v>721</v>
      </c>
      <c r="G296" s="134" t="s">
        <v>172</v>
      </c>
      <c r="H296" s="135">
        <v>230</v>
      </c>
      <c r="I296" s="136"/>
      <c r="J296" s="137">
        <f>ROUND(I296*H296,2)</f>
        <v>0</v>
      </c>
      <c r="K296" s="133" t="s">
        <v>142</v>
      </c>
      <c r="L296" s="31"/>
      <c r="M296" s="138" t="s">
        <v>1</v>
      </c>
      <c r="N296" s="139" t="s">
        <v>48</v>
      </c>
      <c r="P296" s="140">
        <f>O296*H296</f>
        <v>0</v>
      </c>
      <c r="Q296" s="140">
        <v>1.2999999999999999E-4</v>
      </c>
      <c r="R296" s="140">
        <f>Q296*H296</f>
        <v>2.9899999999999996E-2</v>
      </c>
      <c r="S296" s="140">
        <v>0</v>
      </c>
      <c r="T296" s="141">
        <f>S296*H296</f>
        <v>0</v>
      </c>
      <c r="AR296" s="142" t="s">
        <v>143</v>
      </c>
      <c r="AT296" s="142" t="s">
        <v>138</v>
      </c>
      <c r="AU296" s="142" t="s">
        <v>94</v>
      </c>
      <c r="AY296" s="15" t="s">
        <v>136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5" t="s">
        <v>91</v>
      </c>
      <c r="BK296" s="143">
        <f>ROUND(I296*H296,2)</f>
        <v>0</v>
      </c>
      <c r="BL296" s="15" t="s">
        <v>143</v>
      </c>
      <c r="BM296" s="142" t="s">
        <v>722</v>
      </c>
    </row>
    <row r="297" spans="2:65" s="12" customFormat="1">
      <c r="B297" s="144"/>
      <c r="D297" s="145" t="s">
        <v>145</v>
      </c>
      <c r="E297" s="146" t="s">
        <v>1</v>
      </c>
      <c r="F297" s="147" t="s">
        <v>723</v>
      </c>
      <c r="H297" s="148">
        <v>230</v>
      </c>
      <c r="I297" s="149"/>
      <c r="L297" s="144"/>
      <c r="M297" s="150"/>
      <c r="T297" s="151"/>
      <c r="AT297" s="146" t="s">
        <v>145</v>
      </c>
      <c r="AU297" s="146" t="s">
        <v>94</v>
      </c>
      <c r="AV297" s="12" t="s">
        <v>94</v>
      </c>
      <c r="AW297" s="12" t="s">
        <v>40</v>
      </c>
      <c r="AX297" s="12" t="s">
        <v>91</v>
      </c>
      <c r="AY297" s="146" t="s">
        <v>136</v>
      </c>
    </row>
    <row r="298" spans="2:65" s="1" customFormat="1" ht="16.5" customHeight="1">
      <c r="B298" s="31"/>
      <c r="C298" s="159" t="s">
        <v>724</v>
      </c>
      <c r="D298" s="159" t="s">
        <v>234</v>
      </c>
      <c r="E298" s="160" t="s">
        <v>725</v>
      </c>
      <c r="F298" s="161" t="s">
        <v>726</v>
      </c>
      <c r="G298" s="162" t="s">
        <v>172</v>
      </c>
      <c r="H298" s="163">
        <v>230</v>
      </c>
      <c r="I298" s="164"/>
      <c r="J298" s="165">
        <f>ROUND(I298*H298,2)</f>
        <v>0</v>
      </c>
      <c r="K298" s="161" t="s">
        <v>520</v>
      </c>
      <c r="L298" s="166"/>
      <c r="M298" s="167" t="s">
        <v>1</v>
      </c>
      <c r="N298" s="168" t="s">
        <v>48</v>
      </c>
      <c r="P298" s="140">
        <f>O298*H298</f>
        <v>0</v>
      </c>
      <c r="Q298" s="140">
        <v>1.2E-4</v>
      </c>
      <c r="R298" s="140">
        <f>Q298*H298</f>
        <v>2.76E-2</v>
      </c>
      <c r="S298" s="140">
        <v>0</v>
      </c>
      <c r="T298" s="141">
        <f>S298*H298</f>
        <v>0</v>
      </c>
      <c r="AR298" s="142" t="s">
        <v>180</v>
      </c>
      <c r="AT298" s="142" t="s">
        <v>234</v>
      </c>
      <c r="AU298" s="142" t="s">
        <v>94</v>
      </c>
      <c r="AY298" s="15" t="s">
        <v>136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5" t="s">
        <v>91</v>
      </c>
      <c r="BK298" s="143">
        <f>ROUND(I298*H298,2)</f>
        <v>0</v>
      </c>
      <c r="BL298" s="15" t="s">
        <v>143</v>
      </c>
      <c r="BM298" s="142" t="s">
        <v>727</v>
      </c>
    </row>
    <row r="299" spans="2:65" s="12" customFormat="1">
      <c r="B299" s="144"/>
      <c r="D299" s="145" t="s">
        <v>145</v>
      </c>
      <c r="E299" s="146" t="s">
        <v>1</v>
      </c>
      <c r="F299" s="147" t="s">
        <v>723</v>
      </c>
      <c r="H299" s="148">
        <v>230</v>
      </c>
      <c r="I299" s="149"/>
      <c r="L299" s="144"/>
      <c r="M299" s="150"/>
      <c r="T299" s="151"/>
      <c r="AT299" s="146" t="s">
        <v>145</v>
      </c>
      <c r="AU299" s="146" t="s">
        <v>94</v>
      </c>
      <c r="AV299" s="12" t="s">
        <v>94</v>
      </c>
      <c r="AW299" s="12" t="s">
        <v>40</v>
      </c>
      <c r="AX299" s="12" t="s">
        <v>91</v>
      </c>
      <c r="AY299" s="146" t="s">
        <v>136</v>
      </c>
    </row>
    <row r="300" spans="2:65" s="11" customFormat="1" ht="22.9" customHeight="1">
      <c r="B300" s="119"/>
      <c r="D300" s="120" t="s">
        <v>82</v>
      </c>
      <c r="E300" s="129" t="s">
        <v>186</v>
      </c>
      <c r="F300" s="129" t="s">
        <v>435</v>
      </c>
      <c r="I300" s="122"/>
      <c r="J300" s="130">
        <f>BK300</f>
        <v>0</v>
      </c>
      <c r="L300" s="119"/>
      <c r="M300" s="124"/>
      <c r="P300" s="125">
        <f>P301+SUM(P302:P305)</f>
        <v>0</v>
      </c>
      <c r="R300" s="125">
        <f>R301+SUM(R302:R305)</f>
        <v>0</v>
      </c>
      <c r="T300" s="126">
        <f>T301+SUM(T302:T305)</f>
        <v>8.6219999999999999</v>
      </c>
      <c r="AR300" s="120" t="s">
        <v>91</v>
      </c>
      <c r="AT300" s="127" t="s">
        <v>82</v>
      </c>
      <c r="AU300" s="127" t="s">
        <v>91</v>
      </c>
      <c r="AY300" s="120" t="s">
        <v>136</v>
      </c>
      <c r="BK300" s="128">
        <f>BK301+SUM(BK302:BK305)</f>
        <v>0</v>
      </c>
    </row>
    <row r="301" spans="2:65" s="1" customFormat="1" ht="16.5" customHeight="1">
      <c r="B301" s="31"/>
      <c r="C301" s="131" t="s">
        <v>728</v>
      </c>
      <c r="D301" s="131" t="s">
        <v>138</v>
      </c>
      <c r="E301" s="132" t="s">
        <v>729</v>
      </c>
      <c r="F301" s="133" t="s">
        <v>730</v>
      </c>
      <c r="G301" s="134" t="s">
        <v>276</v>
      </c>
      <c r="H301" s="135">
        <v>50</v>
      </c>
      <c r="I301" s="136"/>
      <c r="J301" s="137">
        <f>ROUND(I301*H301,2)</f>
        <v>0</v>
      </c>
      <c r="K301" s="133" t="s">
        <v>142</v>
      </c>
      <c r="L301" s="31"/>
      <c r="M301" s="138" t="s">
        <v>1</v>
      </c>
      <c r="N301" s="139" t="s">
        <v>48</v>
      </c>
      <c r="P301" s="140">
        <f>O301*H301</f>
        <v>0</v>
      </c>
      <c r="Q301" s="140">
        <v>0</v>
      </c>
      <c r="R301" s="140">
        <f>Q301*H301</f>
        <v>0</v>
      </c>
      <c r="S301" s="140">
        <v>0.16500000000000001</v>
      </c>
      <c r="T301" s="141">
        <f>S301*H301</f>
        <v>8.25</v>
      </c>
      <c r="AR301" s="142" t="s">
        <v>143</v>
      </c>
      <c r="AT301" s="142" t="s">
        <v>138</v>
      </c>
      <c r="AU301" s="142" t="s">
        <v>94</v>
      </c>
      <c r="AY301" s="15" t="s">
        <v>136</v>
      </c>
      <c r="BE301" s="143">
        <f>IF(N301="základní",J301,0)</f>
        <v>0</v>
      </c>
      <c r="BF301" s="143">
        <f>IF(N301="snížená",J301,0)</f>
        <v>0</v>
      </c>
      <c r="BG301" s="143">
        <f>IF(N301="zákl. přenesená",J301,0)</f>
        <v>0</v>
      </c>
      <c r="BH301" s="143">
        <f>IF(N301="sníž. přenesená",J301,0)</f>
        <v>0</v>
      </c>
      <c r="BI301" s="143">
        <f>IF(N301="nulová",J301,0)</f>
        <v>0</v>
      </c>
      <c r="BJ301" s="15" t="s">
        <v>91</v>
      </c>
      <c r="BK301" s="143">
        <f>ROUND(I301*H301,2)</f>
        <v>0</v>
      </c>
      <c r="BL301" s="15" t="s">
        <v>143</v>
      </c>
      <c r="BM301" s="142" t="s">
        <v>731</v>
      </c>
    </row>
    <row r="302" spans="2:65" s="12" customFormat="1">
      <c r="B302" s="144"/>
      <c r="D302" s="145" t="s">
        <v>145</v>
      </c>
      <c r="E302" s="146" t="s">
        <v>1</v>
      </c>
      <c r="F302" s="147" t="s">
        <v>732</v>
      </c>
      <c r="H302" s="148">
        <v>50</v>
      </c>
      <c r="I302" s="149"/>
      <c r="L302" s="144"/>
      <c r="M302" s="150"/>
      <c r="T302" s="151"/>
      <c r="AT302" s="146" t="s">
        <v>145</v>
      </c>
      <c r="AU302" s="146" t="s">
        <v>94</v>
      </c>
      <c r="AV302" s="12" t="s">
        <v>94</v>
      </c>
      <c r="AW302" s="12" t="s">
        <v>40</v>
      </c>
      <c r="AX302" s="12" t="s">
        <v>91</v>
      </c>
      <c r="AY302" s="146" t="s">
        <v>136</v>
      </c>
    </row>
    <row r="303" spans="2:65" s="1" customFormat="1" ht="16.5" customHeight="1">
      <c r="B303" s="31"/>
      <c r="C303" s="131" t="s">
        <v>733</v>
      </c>
      <c r="D303" s="131" t="s">
        <v>138</v>
      </c>
      <c r="E303" s="132" t="s">
        <v>734</v>
      </c>
      <c r="F303" s="133" t="s">
        <v>735</v>
      </c>
      <c r="G303" s="134" t="s">
        <v>172</v>
      </c>
      <c r="H303" s="135">
        <v>150</v>
      </c>
      <c r="I303" s="136"/>
      <c r="J303" s="137">
        <f>ROUND(I303*H303,2)</f>
        <v>0</v>
      </c>
      <c r="K303" s="133" t="s">
        <v>142</v>
      </c>
      <c r="L303" s="31"/>
      <c r="M303" s="138" t="s">
        <v>1</v>
      </c>
      <c r="N303" s="139" t="s">
        <v>48</v>
      </c>
      <c r="P303" s="140">
        <f>O303*H303</f>
        <v>0</v>
      </c>
      <c r="Q303" s="140">
        <v>0</v>
      </c>
      <c r="R303" s="140">
        <f>Q303*H303</f>
        <v>0</v>
      </c>
      <c r="S303" s="140">
        <v>2.48E-3</v>
      </c>
      <c r="T303" s="141">
        <f>S303*H303</f>
        <v>0.372</v>
      </c>
      <c r="AR303" s="142" t="s">
        <v>143</v>
      </c>
      <c r="AT303" s="142" t="s">
        <v>138</v>
      </c>
      <c r="AU303" s="142" t="s">
        <v>94</v>
      </c>
      <c r="AY303" s="15" t="s">
        <v>136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5" t="s">
        <v>91</v>
      </c>
      <c r="BK303" s="143">
        <f>ROUND(I303*H303,2)</f>
        <v>0</v>
      </c>
      <c r="BL303" s="15" t="s">
        <v>143</v>
      </c>
      <c r="BM303" s="142" t="s">
        <v>736</v>
      </c>
    </row>
    <row r="304" spans="2:65" s="12" customFormat="1">
      <c r="B304" s="144"/>
      <c r="D304" s="145" t="s">
        <v>145</v>
      </c>
      <c r="E304" s="146" t="s">
        <v>1</v>
      </c>
      <c r="F304" s="147" t="s">
        <v>737</v>
      </c>
      <c r="H304" s="148">
        <v>150</v>
      </c>
      <c r="I304" s="149"/>
      <c r="L304" s="144"/>
      <c r="M304" s="150"/>
      <c r="T304" s="151"/>
      <c r="AT304" s="146" t="s">
        <v>145</v>
      </c>
      <c r="AU304" s="146" t="s">
        <v>94</v>
      </c>
      <c r="AV304" s="12" t="s">
        <v>94</v>
      </c>
      <c r="AW304" s="12" t="s">
        <v>40</v>
      </c>
      <c r="AX304" s="12" t="s">
        <v>91</v>
      </c>
      <c r="AY304" s="146" t="s">
        <v>136</v>
      </c>
    </row>
    <row r="305" spans="2:65" s="11" customFormat="1" ht="20.85" customHeight="1">
      <c r="B305" s="119"/>
      <c r="D305" s="120" t="s">
        <v>82</v>
      </c>
      <c r="E305" s="129" t="s">
        <v>445</v>
      </c>
      <c r="F305" s="129" t="s">
        <v>446</v>
      </c>
      <c r="I305" s="122"/>
      <c r="J305" s="130">
        <f>BK305</f>
        <v>0</v>
      </c>
      <c r="L305" s="119"/>
      <c r="M305" s="124"/>
      <c r="P305" s="125">
        <f>SUM(P306:P313)</f>
        <v>0</v>
      </c>
      <c r="R305" s="125">
        <f>SUM(R306:R313)</f>
        <v>0</v>
      </c>
      <c r="T305" s="126">
        <f>SUM(T306:T313)</f>
        <v>0</v>
      </c>
      <c r="AR305" s="120" t="s">
        <v>91</v>
      </c>
      <c r="AT305" s="127" t="s">
        <v>82</v>
      </c>
      <c r="AU305" s="127" t="s">
        <v>94</v>
      </c>
      <c r="AY305" s="120" t="s">
        <v>136</v>
      </c>
      <c r="BK305" s="128">
        <f>SUM(BK306:BK313)</f>
        <v>0</v>
      </c>
    </row>
    <row r="306" spans="2:65" s="1" customFormat="1" ht="16.5" customHeight="1">
      <c r="B306" s="31"/>
      <c r="C306" s="131" t="s">
        <v>738</v>
      </c>
      <c r="D306" s="131" t="s">
        <v>138</v>
      </c>
      <c r="E306" s="132" t="s">
        <v>448</v>
      </c>
      <c r="F306" s="133" t="s">
        <v>449</v>
      </c>
      <c r="G306" s="134" t="s">
        <v>222</v>
      </c>
      <c r="H306" s="135">
        <v>123</v>
      </c>
      <c r="I306" s="136"/>
      <c r="J306" s="137">
        <f>ROUND(I306*H306,2)</f>
        <v>0</v>
      </c>
      <c r="K306" s="133" t="s">
        <v>142</v>
      </c>
      <c r="L306" s="31"/>
      <c r="M306" s="138" t="s">
        <v>1</v>
      </c>
      <c r="N306" s="139" t="s">
        <v>48</v>
      </c>
      <c r="P306" s="140">
        <f>O306*H306</f>
        <v>0</v>
      </c>
      <c r="Q306" s="140">
        <v>0</v>
      </c>
      <c r="R306" s="140">
        <f>Q306*H306</f>
        <v>0</v>
      </c>
      <c r="S306" s="140">
        <v>0</v>
      </c>
      <c r="T306" s="141">
        <f>S306*H306</f>
        <v>0</v>
      </c>
      <c r="AR306" s="142" t="s">
        <v>143</v>
      </c>
      <c r="AT306" s="142" t="s">
        <v>138</v>
      </c>
      <c r="AU306" s="142" t="s">
        <v>153</v>
      </c>
      <c r="AY306" s="15" t="s">
        <v>136</v>
      </c>
      <c r="BE306" s="143">
        <f>IF(N306="základní",J306,0)</f>
        <v>0</v>
      </c>
      <c r="BF306" s="143">
        <f>IF(N306="snížená",J306,0)</f>
        <v>0</v>
      </c>
      <c r="BG306" s="143">
        <f>IF(N306="zákl. přenesená",J306,0)</f>
        <v>0</v>
      </c>
      <c r="BH306" s="143">
        <f>IF(N306="sníž. přenesená",J306,0)</f>
        <v>0</v>
      </c>
      <c r="BI306" s="143">
        <f>IF(N306="nulová",J306,0)</f>
        <v>0</v>
      </c>
      <c r="BJ306" s="15" t="s">
        <v>91</v>
      </c>
      <c r="BK306" s="143">
        <f>ROUND(I306*H306,2)</f>
        <v>0</v>
      </c>
      <c r="BL306" s="15" t="s">
        <v>143</v>
      </c>
      <c r="BM306" s="142" t="s">
        <v>739</v>
      </c>
    </row>
    <row r="307" spans="2:65" s="12" customFormat="1">
      <c r="B307" s="144"/>
      <c r="D307" s="145" t="s">
        <v>145</v>
      </c>
      <c r="E307" s="146" t="s">
        <v>1</v>
      </c>
      <c r="F307" s="147" t="s">
        <v>740</v>
      </c>
      <c r="H307" s="148">
        <v>29.4</v>
      </c>
      <c r="I307" s="149"/>
      <c r="L307" s="144"/>
      <c r="M307" s="150"/>
      <c r="T307" s="151"/>
      <c r="AT307" s="146" t="s">
        <v>145</v>
      </c>
      <c r="AU307" s="146" t="s">
        <v>153</v>
      </c>
      <c r="AV307" s="12" t="s">
        <v>94</v>
      </c>
      <c r="AW307" s="12" t="s">
        <v>40</v>
      </c>
      <c r="AX307" s="12" t="s">
        <v>83</v>
      </c>
      <c r="AY307" s="146" t="s">
        <v>136</v>
      </c>
    </row>
    <row r="308" spans="2:65" s="12" customFormat="1">
      <c r="B308" s="144"/>
      <c r="D308" s="145" t="s">
        <v>145</v>
      </c>
      <c r="E308" s="146" t="s">
        <v>1</v>
      </c>
      <c r="F308" s="147" t="s">
        <v>741</v>
      </c>
      <c r="H308" s="148">
        <v>93.6</v>
      </c>
      <c r="I308" s="149"/>
      <c r="L308" s="144"/>
      <c r="M308" s="150"/>
      <c r="T308" s="151"/>
      <c r="AT308" s="146" t="s">
        <v>145</v>
      </c>
      <c r="AU308" s="146" t="s">
        <v>153</v>
      </c>
      <c r="AV308" s="12" t="s">
        <v>94</v>
      </c>
      <c r="AW308" s="12" t="s">
        <v>40</v>
      </c>
      <c r="AX308" s="12" t="s">
        <v>83</v>
      </c>
      <c r="AY308" s="146" t="s">
        <v>136</v>
      </c>
    </row>
    <row r="309" spans="2:65" s="13" customFormat="1">
      <c r="B309" s="152"/>
      <c r="D309" s="145" t="s">
        <v>145</v>
      </c>
      <c r="E309" s="153" t="s">
        <v>1</v>
      </c>
      <c r="F309" s="154" t="s">
        <v>148</v>
      </c>
      <c r="H309" s="155">
        <v>123</v>
      </c>
      <c r="I309" s="156"/>
      <c r="L309" s="152"/>
      <c r="M309" s="157"/>
      <c r="T309" s="158"/>
      <c r="AT309" s="153" t="s">
        <v>145</v>
      </c>
      <c r="AU309" s="153" t="s">
        <v>153</v>
      </c>
      <c r="AV309" s="13" t="s">
        <v>143</v>
      </c>
      <c r="AW309" s="13" t="s">
        <v>40</v>
      </c>
      <c r="AX309" s="13" t="s">
        <v>91</v>
      </c>
      <c r="AY309" s="153" t="s">
        <v>136</v>
      </c>
    </row>
    <row r="310" spans="2:65" s="1" customFormat="1" ht="16.5" customHeight="1">
      <c r="B310" s="31"/>
      <c r="C310" s="131" t="s">
        <v>742</v>
      </c>
      <c r="D310" s="131" t="s">
        <v>138</v>
      </c>
      <c r="E310" s="132" t="s">
        <v>454</v>
      </c>
      <c r="F310" s="133" t="s">
        <v>455</v>
      </c>
      <c r="G310" s="134" t="s">
        <v>222</v>
      </c>
      <c r="H310" s="135">
        <v>123</v>
      </c>
      <c r="I310" s="136"/>
      <c r="J310" s="137">
        <f>ROUND(I310*H310,2)</f>
        <v>0</v>
      </c>
      <c r="K310" s="133" t="s">
        <v>142</v>
      </c>
      <c r="L310" s="31"/>
      <c r="M310" s="138" t="s">
        <v>1</v>
      </c>
      <c r="N310" s="139" t="s">
        <v>48</v>
      </c>
      <c r="P310" s="140">
        <f>O310*H310</f>
        <v>0</v>
      </c>
      <c r="Q310" s="140">
        <v>0</v>
      </c>
      <c r="R310" s="140">
        <f>Q310*H310</f>
        <v>0</v>
      </c>
      <c r="S310" s="140">
        <v>0</v>
      </c>
      <c r="T310" s="141">
        <f>S310*H310</f>
        <v>0</v>
      </c>
      <c r="AR310" s="142" t="s">
        <v>143</v>
      </c>
      <c r="AT310" s="142" t="s">
        <v>138</v>
      </c>
      <c r="AU310" s="142" t="s">
        <v>153</v>
      </c>
      <c r="AY310" s="15" t="s">
        <v>136</v>
      </c>
      <c r="BE310" s="143">
        <f>IF(N310="základní",J310,0)</f>
        <v>0</v>
      </c>
      <c r="BF310" s="143">
        <f>IF(N310="snížená",J310,0)</f>
        <v>0</v>
      </c>
      <c r="BG310" s="143">
        <f>IF(N310="zákl. přenesená",J310,0)</f>
        <v>0</v>
      </c>
      <c r="BH310" s="143">
        <f>IF(N310="sníž. přenesená",J310,0)</f>
        <v>0</v>
      </c>
      <c r="BI310" s="143">
        <f>IF(N310="nulová",J310,0)</f>
        <v>0</v>
      </c>
      <c r="BJ310" s="15" t="s">
        <v>91</v>
      </c>
      <c r="BK310" s="143">
        <f>ROUND(I310*H310,2)</f>
        <v>0</v>
      </c>
      <c r="BL310" s="15" t="s">
        <v>143</v>
      </c>
      <c r="BM310" s="142" t="s">
        <v>743</v>
      </c>
    </row>
    <row r="311" spans="2:65" s="12" customFormat="1">
      <c r="B311" s="144"/>
      <c r="D311" s="145" t="s">
        <v>145</v>
      </c>
      <c r="E311" s="146" t="s">
        <v>1</v>
      </c>
      <c r="F311" s="147" t="s">
        <v>744</v>
      </c>
      <c r="H311" s="148">
        <v>123</v>
      </c>
      <c r="I311" s="149"/>
      <c r="L311" s="144"/>
      <c r="M311" s="150"/>
      <c r="T311" s="151"/>
      <c r="AT311" s="146" t="s">
        <v>145</v>
      </c>
      <c r="AU311" s="146" t="s">
        <v>153</v>
      </c>
      <c r="AV311" s="12" t="s">
        <v>94</v>
      </c>
      <c r="AW311" s="12" t="s">
        <v>40</v>
      </c>
      <c r="AX311" s="12" t="s">
        <v>91</v>
      </c>
      <c r="AY311" s="146" t="s">
        <v>136</v>
      </c>
    </row>
    <row r="312" spans="2:65" s="1" customFormat="1" ht="16.5" customHeight="1">
      <c r="B312" s="31"/>
      <c r="C312" s="131" t="s">
        <v>745</v>
      </c>
      <c r="D312" s="131" t="s">
        <v>138</v>
      </c>
      <c r="E312" s="132" t="s">
        <v>459</v>
      </c>
      <c r="F312" s="133" t="s">
        <v>460</v>
      </c>
      <c r="G312" s="134" t="s">
        <v>222</v>
      </c>
      <c r="H312" s="135">
        <v>1107</v>
      </c>
      <c r="I312" s="136"/>
      <c r="J312" s="137">
        <f>ROUND(I312*H312,2)</f>
        <v>0</v>
      </c>
      <c r="K312" s="133" t="s">
        <v>142</v>
      </c>
      <c r="L312" s="31"/>
      <c r="M312" s="138" t="s">
        <v>1</v>
      </c>
      <c r="N312" s="139" t="s">
        <v>48</v>
      </c>
      <c r="P312" s="140">
        <f>O312*H312</f>
        <v>0</v>
      </c>
      <c r="Q312" s="140">
        <v>0</v>
      </c>
      <c r="R312" s="140">
        <f>Q312*H312</f>
        <v>0</v>
      </c>
      <c r="S312" s="140">
        <v>0</v>
      </c>
      <c r="T312" s="141">
        <f>S312*H312</f>
        <v>0</v>
      </c>
      <c r="AR312" s="142" t="s">
        <v>143</v>
      </c>
      <c r="AT312" s="142" t="s">
        <v>138</v>
      </c>
      <c r="AU312" s="142" t="s">
        <v>153</v>
      </c>
      <c r="AY312" s="15" t="s">
        <v>136</v>
      </c>
      <c r="BE312" s="143">
        <f>IF(N312="základní",J312,0)</f>
        <v>0</v>
      </c>
      <c r="BF312" s="143">
        <f>IF(N312="snížená",J312,0)</f>
        <v>0</v>
      </c>
      <c r="BG312" s="143">
        <f>IF(N312="zákl. přenesená",J312,0)</f>
        <v>0</v>
      </c>
      <c r="BH312" s="143">
        <f>IF(N312="sníž. přenesená",J312,0)</f>
        <v>0</v>
      </c>
      <c r="BI312" s="143">
        <f>IF(N312="nulová",J312,0)</f>
        <v>0</v>
      </c>
      <c r="BJ312" s="15" t="s">
        <v>91</v>
      </c>
      <c r="BK312" s="143">
        <f>ROUND(I312*H312,2)</f>
        <v>0</v>
      </c>
      <c r="BL312" s="15" t="s">
        <v>143</v>
      </c>
      <c r="BM312" s="142" t="s">
        <v>746</v>
      </c>
    </row>
    <row r="313" spans="2:65" s="12" customFormat="1">
      <c r="B313" s="144"/>
      <c r="D313" s="145" t="s">
        <v>145</v>
      </c>
      <c r="E313" s="146" t="s">
        <v>1</v>
      </c>
      <c r="F313" s="147" t="s">
        <v>747</v>
      </c>
      <c r="H313" s="148">
        <v>1107</v>
      </c>
      <c r="I313" s="149"/>
      <c r="L313" s="144"/>
      <c r="M313" s="150"/>
      <c r="T313" s="151"/>
      <c r="AT313" s="146" t="s">
        <v>145</v>
      </c>
      <c r="AU313" s="146" t="s">
        <v>153</v>
      </c>
      <c r="AV313" s="12" t="s">
        <v>94</v>
      </c>
      <c r="AW313" s="12" t="s">
        <v>40</v>
      </c>
      <c r="AX313" s="12" t="s">
        <v>91</v>
      </c>
      <c r="AY313" s="146" t="s">
        <v>136</v>
      </c>
    </row>
    <row r="314" spans="2:65" s="11" customFormat="1" ht="22.9" customHeight="1">
      <c r="B314" s="119"/>
      <c r="D314" s="120" t="s">
        <v>82</v>
      </c>
      <c r="E314" s="129" t="s">
        <v>463</v>
      </c>
      <c r="F314" s="129" t="s">
        <v>464</v>
      </c>
      <c r="I314" s="122"/>
      <c r="J314" s="130">
        <f>BK314</f>
        <v>0</v>
      </c>
      <c r="L314" s="119"/>
      <c r="M314" s="124"/>
      <c r="P314" s="125">
        <f>SUM(P315:P318)</f>
        <v>0</v>
      </c>
      <c r="R314" s="125">
        <f>SUM(R315:R318)</f>
        <v>0</v>
      </c>
      <c r="T314" s="126">
        <f>SUM(T315:T318)</f>
        <v>0</v>
      </c>
      <c r="AR314" s="120" t="s">
        <v>91</v>
      </c>
      <c r="AT314" s="127" t="s">
        <v>82</v>
      </c>
      <c r="AU314" s="127" t="s">
        <v>91</v>
      </c>
      <c r="AY314" s="120" t="s">
        <v>136</v>
      </c>
      <c r="BK314" s="128">
        <f>SUM(BK315:BK318)</f>
        <v>0</v>
      </c>
    </row>
    <row r="315" spans="2:65" s="1" customFormat="1" ht="24.2" customHeight="1">
      <c r="B315" s="31"/>
      <c r="C315" s="131" t="s">
        <v>748</v>
      </c>
      <c r="D315" s="131" t="s">
        <v>138</v>
      </c>
      <c r="E315" s="132" t="s">
        <v>466</v>
      </c>
      <c r="F315" s="133" t="s">
        <v>467</v>
      </c>
      <c r="G315" s="134" t="s">
        <v>222</v>
      </c>
      <c r="H315" s="135">
        <v>123</v>
      </c>
      <c r="I315" s="136"/>
      <c r="J315" s="137">
        <f>ROUND(I315*H315,2)</f>
        <v>0</v>
      </c>
      <c r="K315" s="133" t="s">
        <v>142</v>
      </c>
      <c r="L315" s="31"/>
      <c r="M315" s="138" t="s">
        <v>1</v>
      </c>
      <c r="N315" s="139" t="s">
        <v>48</v>
      </c>
      <c r="P315" s="140">
        <f>O315*H315</f>
        <v>0</v>
      </c>
      <c r="Q315" s="140">
        <v>0</v>
      </c>
      <c r="R315" s="140">
        <f>Q315*H315</f>
        <v>0</v>
      </c>
      <c r="S315" s="140">
        <v>0</v>
      </c>
      <c r="T315" s="141">
        <f>S315*H315</f>
        <v>0</v>
      </c>
      <c r="AR315" s="142" t="s">
        <v>143</v>
      </c>
      <c r="AT315" s="142" t="s">
        <v>138</v>
      </c>
      <c r="AU315" s="142" t="s">
        <v>94</v>
      </c>
      <c r="AY315" s="15" t="s">
        <v>136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5" t="s">
        <v>91</v>
      </c>
      <c r="BK315" s="143">
        <f>ROUND(I315*H315,2)</f>
        <v>0</v>
      </c>
      <c r="BL315" s="15" t="s">
        <v>143</v>
      </c>
      <c r="BM315" s="142" t="s">
        <v>749</v>
      </c>
    </row>
    <row r="316" spans="2:65" s="12" customFormat="1">
      <c r="B316" s="144"/>
      <c r="D316" s="145" t="s">
        <v>145</v>
      </c>
      <c r="E316" s="146" t="s">
        <v>1</v>
      </c>
      <c r="F316" s="147" t="s">
        <v>740</v>
      </c>
      <c r="H316" s="148">
        <v>29.4</v>
      </c>
      <c r="I316" s="149"/>
      <c r="L316" s="144"/>
      <c r="M316" s="150"/>
      <c r="T316" s="151"/>
      <c r="AT316" s="146" t="s">
        <v>145</v>
      </c>
      <c r="AU316" s="146" t="s">
        <v>94</v>
      </c>
      <c r="AV316" s="12" t="s">
        <v>94</v>
      </c>
      <c r="AW316" s="12" t="s">
        <v>40</v>
      </c>
      <c r="AX316" s="12" t="s">
        <v>83</v>
      </c>
      <c r="AY316" s="146" t="s">
        <v>136</v>
      </c>
    </row>
    <row r="317" spans="2:65" s="12" customFormat="1">
      <c r="B317" s="144"/>
      <c r="D317" s="145" t="s">
        <v>145</v>
      </c>
      <c r="E317" s="146" t="s">
        <v>1</v>
      </c>
      <c r="F317" s="147" t="s">
        <v>741</v>
      </c>
      <c r="H317" s="148">
        <v>93.6</v>
      </c>
      <c r="I317" s="149"/>
      <c r="L317" s="144"/>
      <c r="M317" s="150"/>
      <c r="T317" s="151"/>
      <c r="AT317" s="146" t="s">
        <v>145</v>
      </c>
      <c r="AU317" s="146" t="s">
        <v>94</v>
      </c>
      <c r="AV317" s="12" t="s">
        <v>94</v>
      </c>
      <c r="AW317" s="12" t="s">
        <v>40</v>
      </c>
      <c r="AX317" s="12" t="s">
        <v>83</v>
      </c>
      <c r="AY317" s="146" t="s">
        <v>136</v>
      </c>
    </row>
    <row r="318" spans="2:65" s="13" customFormat="1">
      <c r="B318" s="152"/>
      <c r="D318" s="145" t="s">
        <v>145</v>
      </c>
      <c r="E318" s="153" t="s">
        <v>1</v>
      </c>
      <c r="F318" s="154" t="s">
        <v>148</v>
      </c>
      <c r="H318" s="155">
        <v>123</v>
      </c>
      <c r="I318" s="156"/>
      <c r="L318" s="152"/>
      <c r="M318" s="157"/>
      <c r="T318" s="158"/>
      <c r="AT318" s="153" t="s">
        <v>145</v>
      </c>
      <c r="AU318" s="153" t="s">
        <v>94</v>
      </c>
      <c r="AV318" s="13" t="s">
        <v>143</v>
      </c>
      <c r="AW318" s="13" t="s">
        <v>40</v>
      </c>
      <c r="AX318" s="13" t="s">
        <v>91</v>
      </c>
      <c r="AY318" s="153" t="s">
        <v>136</v>
      </c>
    </row>
    <row r="319" spans="2:65" s="11" customFormat="1" ht="22.9" customHeight="1">
      <c r="B319" s="119"/>
      <c r="D319" s="120" t="s">
        <v>82</v>
      </c>
      <c r="E319" s="129" t="s">
        <v>473</v>
      </c>
      <c r="F319" s="129" t="s">
        <v>446</v>
      </c>
      <c r="I319" s="122"/>
      <c r="J319" s="130">
        <f>BK319</f>
        <v>0</v>
      </c>
      <c r="L319" s="119"/>
      <c r="M319" s="124"/>
      <c r="P319" s="125">
        <f>P320</f>
        <v>0</v>
      </c>
      <c r="R319" s="125">
        <f>R320</f>
        <v>0</v>
      </c>
      <c r="T319" s="126">
        <f>T320</f>
        <v>0</v>
      </c>
      <c r="AR319" s="120" t="s">
        <v>91</v>
      </c>
      <c r="AT319" s="127" t="s">
        <v>82</v>
      </c>
      <c r="AU319" s="127" t="s">
        <v>91</v>
      </c>
      <c r="AY319" s="120" t="s">
        <v>136</v>
      </c>
      <c r="BK319" s="128">
        <f>BK320</f>
        <v>0</v>
      </c>
    </row>
    <row r="320" spans="2:65" s="1" customFormat="1" ht="16.5" customHeight="1">
      <c r="B320" s="31"/>
      <c r="C320" s="131" t="s">
        <v>750</v>
      </c>
      <c r="D320" s="131" t="s">
        <v>138</v>
      </c>
      <c r="E320" s="132" t="s">
        <v>475</v>
      </c>
      <c r="F320" s="133" t="s">
        <v>476</v>
      </c>
      <c r="G320" s="134" t="s">
        <v>222</v>
      </c>
      <c r="H320" s="135">
        <v>790.33399999999995</v>
      </c>
      <c r="I320" s="136"/>
      <c r="J320" s="137">
        <f>ROUND(I320*H320,2)</f>
        <v>0</v>
      </c>
      <c r="K320" s="133" t="s">
        <v>142</v>
      </c>
      <c r="L320" s="31"/>
      <c r="M320" s="138" t="s">
        <v>1</v>
      </c>
      <c r="N320" s="139" t="s">
        <v>48</v>
      </c>
      <c r="P320" s="140">
        <f>O320*H320</f>
        <v>0</v>
      </c>
      <c r="Q320" s="140">
        <v>0</v>
      </c>
      <c r="R320" s="140">
        <f>Q320*H320</f>
        <v>0</v>
      </c>
      <c r="S320" s="140">
        <v>0</v>
      </c>
      <c r="T320" s="141">
        <f>S320*H320</f>
        <v>0</v>
      </c>
      <c r="AR320" s="142" t="s">
        <v>143</v>
      </c>
      <c r="AT320" s="142" t="s">
        <v>138</v>
      </c>
      <c r="AU320" s="142" t="s">
        <v>94</v>
      </c>
      <c r="AY320" s="15" t="s">
        <v>136</v>
      </c>
      <c r="BE320" s="143">
        <f>IF(N320="základní",J320,0)</f>
        <v>0</v>
      </c>
      <c r="BF320" s="143">
        <f>IF(N320="snížená",J320,0)</f>
        <v>0</v>
      </c>
      <c r="BG320" s="143">
        <f>IF(N320="zákl. přenesená",J320,0)</f>
        <v>0</v>
      </c>
      <c r="BH320" s="143">
        <f>IF(N320="sníž. přenesená",J320,0)</f>
        <v>0</v>
      </c>
      <c r="BI320" s="143">
        <f>IF(N320="nulová",J320,0)</f>
        <v>0</v>
      </c>
      <c r="BJ320" s="15" t="s">
        <v>91</v>
      </c>
      <c r="BK320" s="143">
        <f>ROUND(I320*H320,2)</f>
        <v>0</v>
      </c>
      <c r="BL320" s="15" t="s">
        <v>143</v>
      </c>
      <c r="BM320" s="142" t="s">
        <v>751</v>
      </c>
    </row>
    <row r="321" spans="2:65" s="11" customFormat="1" ht="25.9" customHeight="1">
      <c r="B321" s="119"/>
      <c r="D321" s="120" t="s">
        <v>82</v>
      </c>
      <c r="E321" s="121" t="s">
        <v>234</v>
      </c>
      <c r="F321" s="121" t="s">
        <v>752</v>
      </c>
      <c r="I321" s="122"/>
      <c r="J321" s="123">
        <f>BK321</f>
        <v>0</v>
      </c>
      <c r="L321" s="119"/>
      <c r="M321" s="124"/>
      <c r="P321" s="125">
        <f>P322</f>
        <v>0</v>
      </c>
      <c r="R321" s="125">
        <f>R322</f>
        <v>0</v>
      </c>
      <c r="T321" s="126">
        <f>T322</f>
        <v>0</v>
      </c>
      <c r="AR321" s="120" t="s">
        <v>153</v>
      </c>
      <c r="AT321" s="127" t="s">
        <v>82</v>
      </c>
      <c r="AU321" s="127" t="s">
        <v>83</v>
      </c>
      <c r="AY321" s="120" t="s">
        <v>136</v>
      </c>
      <c r="BK321" s="128">
        <f>BK322</f>
        <v>0</v>
      </c>
    </row>
    <row r="322" spans="2:65" s="11" customFormat="1" ht="22.9" customHeight="1">
      <c r="B322" s="119"/>
      <c r="D322" s="120" t="s">
        <v>82</v>
      </c>
      <c r="E322" s="129" t="s">
        <v>753</v>
      </c>
      <c r="F322" s="129" t="s">
        <v>754</v>
      </c>
      <c r="I322" s="122"/>
      <c r="J322" s="130">
        <f>BK322</f>
        <v>0</v>
      </c>
      <c r="L322" s="119"/>
      <c r="M322" s="124"/>
      <c r="P322" s="125">
        <f>SUM(P323:P326)</f>
        <v>0</v>
      </c>
      <c r="R322" s="125">
        <f>SUM(R323:R326)</f>
        <v>0</v>
      </c>
      <c r="T322" s="126">
        <f>SUM(T323:T326)</f>
        <v>0</v>
      </c>
      <c r="AR322" s="120" t="s">
        <v>153</v>
      </c>
      <c r="AT322" s="127" t="s">
        <v>82</v>
      </c>
      <c r="AU322" s="127" t="s">
        <v>91</v>
      </c>
      <c r="AY322" s="120" t="s">
        <v>136</v>
      </c>
      <c r="BK322" s="128">
        <f>SUM(BK323:BK326)</f>
        <v>0</v>
      </c>
    </row>
    <row r="323" spans="2:65" s="1" customFormat="1" ht="16.5" customHeight="1">
      <c r="B323" s="31"/>
      <c r="C323" s="131" t="s">
        <v>755</v>
      </c>
      <c r="D323" s="131" t="s">
        <v>138</v>
      </c>
      <c r="E323" s="132" t="s">
        <v>756</v>
      </c>
      <c r="F323" s="133" t="s">
        <v>757</v>
      </c>
      <c r="G323" s="134" t="s">
        <v>758</v>
      </c>
      <c r="H323" s="135">
        <v>2</v>
      </c>
      <c r="I323" s="136"/>
      <c r="J323" s="137">
        <f>ROUND(I323*H323,2)</f>
        <v>0</v>
      </c>
      <c r="K323" s="133" t="s">
        <v>142</v>
      </c>
      <c r="L323" s="31"/>
      <c r="M323" s="138" t="s">
        <v>1</v>
      </c>
      <c r="N323" s="139" t="s">
        <v>48</v>
      </c>
      <c r="P323" s="140">
        <f>O323*H323</f>
        <v>0</v>
      </c>
      <c r="Q323" s="140">
        <v>0</v>
      </c>
      <c r="R323" s="140">
        <f>Q323*H323</f>
        <v>0</v>
      </c>
      <c r="S323" s="140">
        <v>0</v>
      </c>
      <c r="T323" s="141">
        <f>S323*H323</f>
        <v>0</v>
      </c>
      <c r="AR323" s="142" t="s">
        <v>447</v>
      </c>
      <c r="AT323" s="142" t="s">
        <v>138</v>
      </c>
      <c r="AU323" s="142" t="s">
        <v>94</v>
      </c>
      <c r="AY323" s="15" t="s">
        <v>136</v>
      </c>
      <c r="BE323" s="143">
        <f>IF(N323="základní",J323,0)</f>
        <v>0</v>
      </c>
      <c r="BF323" s="143">
        <f>IF(N323="snížená",J323,0)</f>
        <v>0</v>
      </c>
      <c r="BG323" s="143">
        <f>IF(N323="zákl. přenesená",J323,0)</f>
        <v>0</v>
      </c>
      <c r="BH323" s="143">
        <f>IF(N323="sníž. přenesená",J323,0)</f>
        <v>0</v>
      </c>
      <c r="BI323" s="143">
        <f>IF(N323="nulová",J323,0)</f>
        <v>0</v>
      </c>
      <c r="BJ323" s="15" t="s">
        <v>91</v>
      </c>
      <c r="BK323" s="143">
        <f>ROUND(I323*H323,2)</f>
        <v>0</v>
      </c>
      <c r="BL323" s="15" t="s">
        <v>447</v>
      </c>
      <c r="BM323" s="142" t="s">
        <v>759</v>
      </c>
    </row>
    <row r="324" spans="2:65" s="12" customFormat="1">
      <c r="B324" s="144"/>
      <c r="D324" s="145" t="s">
        <v>145</v>
      </c>
      <c r="E324" s="146" t="s">
        <v>1</v>
      </c>
      <c r="F324" s="147" t="s">
        <v>94</v>
      </c>
      <c r="H324" s="148">
        <v>2</v>
      </c>
      <c r="I324" s="149"/>
      <c r="L324" s="144"/>
      <c r="M324" s="150"/>
      <c r="T324" s="151"/>
      <c r="AT324" s="146" t="s">
        <v>145</v>
      </c>
      <c r="AU324" s="146" t="s">
        <v>94</v>
      </c>
      <c r="AV324" s="12" t="s">
        <v>94</v>
      </c>
      <c r="AW324" s="12" t="s">
        <v>40</v>
      </c>
      <c r="AX324" s="12" t="s">
        <v>91</v>
      </c>
      <c r="AY324" s="146" t="s">
        <v>136</v>
      </c>
    </row>
    <row r="325" spans="2:65" s="1" customFormat="1" ht="16.5" customHeight="1">
      <c r="B325" s="31"/>
      <c r="C325" s="131" t="s">
        <v>760</v>
      </c>
      <c r="D325" s="131" t="s">
        <v>138</v>
      </c>
      <c r="E325" s="132" t="s">
        <v>761</v>
      </c>
      <c r="F325" s="133" t="s">
        <v>762</v>
      </c>
      <c r="G325" s="134" t="s">
        <v>172</v>
      </c>
      <c r="H325" s="135">
        <v>226</v>
      </c>
      <c r="I325" s="136"/>
      <c r="J325" s="137">
        <f>ROUND(I325*H325,2)</f>
        <v>0</v>
      </c>
      <c r="K325" s="133" t="s">
        <v>142</v>
      </c>
      <c r="L325" s="31"/>
      <c r="M325" s="138" t="s">
        <v>1</v>
      </c>
      <c r="N325" s="139" t="s">
        <v>48</v>
      </c>
      <c r="P325" s="140">
        <f>O325*H325</f>
        <v>0</v>
      </c>
      <c r="Q325" s="140">
        <v>0</v>
      </c>
      <c r="R325" s="140">
        <f>Q325*H325</f>
        <v>0</v>
      </c>
      <c r="S325" s="140">
        <v>0</v>
      </c>
      <c r="T325" s="141">
        <f>S325*H325</f>
        <v>0</v>
      </c>
      <c r="AR325" s="142" t="s">
        <v>447</v>
      </c>
      <c r="AT325" s="142" t="s">
        <v>138</v>
      </c>
      <c r="AU325" s="142" t="s">
        <v>94</v>
      </c>
      <c r="AY325" s="15" t="s">
        <v>136</v>
      </c>
      <c r="BE325" s="143">
        <f>IF(N325="základní",J325,0)</f>
        <v>0</v>
      </c>
      <c r="BF325" s="143">
        <f>IF(N325="snížená",J325,0)</f>
        <v>0</v>
      </c>
      <c r="BG325" s="143">
        <f>IF(N325="zákl. přenesená",J325,0)</f>
        <v>0</v>
      </c>
      <c r="BH325" s="143">
        <f>IF(N325="sníž. přenesená",J325,0)</f>
        <v>0</v>
      </c>
      <c r="BI325" s="143">
        <f>IF(N325="nulová",J325,0)</f>
        <v>0</v>
      </c>
      <c r="BJ325" s="15" t="s">
        <v>91</v>
      </c>
      <c r="BK325" s="143">
        <f>ROUND(I325*H325,2)</f>
        <v>0</v>
      </c>
      <c r="BL325" s="15" t="s">
        <v>447</v>
      </c>
      <c r="BM325" s="142" t="s">
        <v>763</v>
      </c>
    </row>
    <row r="326" spans="2:65" s="12" customFormat="1">
      <c r="B326" s="144"/>
      <c r="D326" s="145" t="s">
        <v>145</v>
      </c>
      <c r="E326" s="146" t="s">
        <v>1</v>
      </c>
      <c r="F326" s="147" t="s">
        <v>582</v>
      </c>
      <c r="H326" s="148">
        <v>226</v>
      </c>
      <c r="I326" s="149"/>
      <c r="L326" s="144"/>
      <c r="M326" s="150"/>
      <c r="T326" s="151"/>
      <c r="AT326" s="146" t="s">
        <v>145</v>
      </c>
      <c r="AU326" s="146" t="s">
        <v>94</v>
      </c>
      <c r="AV326" s="12" t="s">
        <v>94</v>
      </c>
      <c r="AW326" s="12" t="s">
        <v>40</v>
      </c>
      <c r="AX326" s="12" t="s">
        <v>91</v>
      </c>
      <c r="AY326" s="146" t="s">
        <v>136</v>
      </c>
    </row>
    <row r="327" spans="2:65" s="11" customFormat="1" ht="25.9" customHeight="1">
      <c r="B327" s="119"/>
      <c r="D327" s="120" t="s">
        <v>82</v>
      </c>
      <c r="E327" s="121" t="s">
        <v>764</v>
      </c>
      <c r="F327" s="121" t="s">
        <v>765</v>
      </c>
      <c r="I327" s="122"/>
      <c r="J327" s="123">
        <f>BK327</f>
        <v>0</v>
      </c>
      <c r="L327" s="119"/>
      <c r="M327" s="124"/>
      <c r="P327" s="125">
        <f>SUM(P328:P329)</f>
        <v>0</v>
      </c>
      <c r="R327" s="125">
        <f>SUM(R328:R329)</f>
        <v>0</v>
      </c>
      <c r="T327" s="126">
        <f>SUM(T328:T329)</f>
        <v>0</v>
      </c>
      <c r="AR327" s="120" t="s">
        <v>143</v>
      </c>
      <c r="AT327" s="127" t="s">
        <v>82</v>
      </c>
      <c r="AU327" s="127" t="s">
        <v>83</v>
      </c>
      <c r="AY327" s="120" t="s">
        <v>136</v>
      </c>
      <c r="BK327" s="128">
        <f>SUM(BK328:BK329)</f>
        <v>0</v>
      </c>
    </row>
    <row r="328" spans="2:65" s="1" customFormat="1" ht="16.5" customHeight="1">
      <c r="B328" s="31"/>
      <c r="C328" s="131" t="s">
        <v>766</v>
      </c>
      <c r="D328" s="131" t="s">
        <v>138</v>
      </c>
      <c r="E328" s="132" t="s">
        <v>767</v>
      </c>
      <c r="F328" s="133" t="s">
        <v>768</v>
      </c>
      <c r="G328" s="134" t="s">
        <v>160</v>
      </c>
      <c r="H328" s="135">
        <v>24</v>
      </c>
      <c r="I328" s="136"/>
      <c r="J328" s="137">
        <f>ROUND(I328*H328,2)</f>
        <v>0</v>
      </c>
      <c r="K328" s="133" t="s">
        <v>142</v>
      </c>
      <c r="L328" s="31"/>
      <c r="M328" s="138" t="s">
        <v>1</v>
      </c>
      <c r="N328" s="139" t="s">
        <v>48</v>
      </c>
      <c r="P328" s="140">
        <f>O328*H328</f>
        <v>0</v>
      </c>
      <c r="Q328" s="140">
        <v>0</v>
      </c>
      <c r="R328" s="140">
        <f>Q328*H328</f>
        <v>0</v>
      </c>
      <c r="S328" s="140">
        <v>0</v>
      </c>
      <c r="T328" s="141">
        <f>S328*H328</f>
        <v>0</v>
      </c>
      <c r="AR328" s="142" t="s">
        <v>769</v>
      </c>
      <c r="AT328" s="142" t="s">
        <v>138</v>
      </c>
      <c r="AU328" s="142" t="s">
        <v>91</v>
      </c>
      <c r="AY328" s="15" t="s">
        <v>136</v>
      </c>
      <c r="BE328" s="143">
        <f>IF(N328="základní",J328,0)</f>
        <v>0</v>
      </c>
      <c r="BF328" s="143">
        <f>IF(N328="snížená",J328,0)</f>
        <v>0</v>
      </c>
      <c r="BG328" s="143">
        <f>IF(N328="zákl. přenesená",J328,0)</f>
        <v>0</v>
      </c>
      <c r="BH328" s="143">
        <f>IF(N328="sníž. přenesená",J328,0)</f>
        <v>0</v>
      </c>
      <c r="BI328" s="143">
        <f>IF(N328="nulová",J328,0)</f>
        <v>0</v>
      </c>
      <c r="BJ328" s="15" t="s">
        <v>91</v>
      </c>
      <c r="BK328" s="143">
        <f>ROUND(I328*H328,2)</f>
        <v>0</v>
      </c>
      <c r="BL328" s="15" t="s">
        <v>769</v>
      </c>
      <c r="BM328" s="142" t="s">
        <v>770</v>
      </c>
    </row>
    <row r="329" spans="2:65" s="12" customFormat="1">
      <c r="B329" s="144"/>
      <c r="D329" s="145" t="s">
        <v>145</v>
      </c>
      <c r="E329" s="146" t="s">
        <v>1</v>
      </c>
      <c r="F329" s="147" t="s">
        <v>771</v>
      </c>
      <c r="H329" s="148">
        <v>24</v>
      </c>
      <c r="I329" s="149"/>
      <c r="L329" s="144"/>
      <c r="M329" s="174"/>
      <c r="N329" s="175"/>
      <c r="O329" s="175"/>
      <c r="P329" s="175"/>
      <c r="Q329" s="175"/>
      <c r="R329" s="175"/>
      <c r="S329" s="175"/>
      <c r="T329" s="176"/>
      <c r="AT329" s="146" t="s">
        <v>145</v>
      </c>
      <c r="AU329" s="146" t="s">
        <v>91</v>
      </c>
      <c r="AV329" s="12" t="s">
        <v>94</v>
      </c>
      <c r="AW329" s="12" t="s">
        <v>40</v>
      </c>
      <c r="AX329" s="12" t="s">
        <v>91</v>
      </c>
      <c r="AY329" s="146" t="s">
        <v>136</v>
      </c>
    </row>
    <row r="330" spans="2:65" s="1" customFormat="1" ht="6.95" customHeight="1">
      <c r="B330" s="42"/>
      <c r="C330" s="43"/>
      <c r="D330" s="43"/>
      <c r="E330" s="43"/>
      <c r="F330" s="43"/>
      <c r="G330" s="43"/>
      <c r="H330" s="43"/>
      <c r="I330" s="43"/>
      <c r="J330" s="43"/>
      <c r="K330" s="43"/>
      <c r="L330" s="31"/>
    </row>
  </sheetData>
  <sheetProtection password="CCA7" sheet="1" objects="1" scenarios="1" formatColumns="0" formatRows="0" autoFilter="0"/>
  <autoFilter ref="C126:K329" xr:uid="{00000000-0009-0000-0000-000002000000}"/>
  <mergeCells count="9">
    <mergeCell ref="E86:H86"/>
    <mergeCell ref="E117:H117"/>
    <mergeCell ref="E119:H119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8"/>
  <sheetViews>
    <sheetView showGridLines="0" topLeftCell="A131" workbookViewId="0">
      <selection activeCell="F170" sqref="F17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5" t="s">
        <v>101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94</v>
      </c>
    </row>
    <row r="4" spans="2:46" ht="24.95" customHeight="1">
      <c r="B4" s="18"/>
      <c r="D4" s="19" t="s">
        <v>102</v>
      </c>
      <c r="L4" s="18"/>
      <c r="M4" s="85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26.25" customHeight="1">
      <c r="B7" s="18"/>
      <c r="E7" s="257" t="str">
        <f>'Rekapitulace stavby'!K6</f>
        <v>PODIVÍN – ul. Hřbitovní, dopravní a technická infrastruktura, SO 301 – KANALIZACE, SO 302 - VODOVOD</v>
      </c>
      <c r="F7" s="258"/>
      <c r="G7" s="258"/>
      <c r="H7" s="258"/>
      <c r="L7" s="18"/>
    </row>
    <row r="8" spans="2:46" s="1" customFormat="1" ht="12" customHeight="1">
      <c r="B8" s="31"/>
      <c r="D8" s="25" t="s">
        <v>103</v>
      </c>
      <c r="L8" s="31"/>
    </row>
    <row r="9" spans="2:46" s="1" customFormat="1" ht="16.5" customHeight="1">
      <c r="B9" s="31"/>
      <c r="E9" s="243" t="s">
        <v>772</v>
      </c>
      <c r="F9" s="256"/>
      <c r="G9" s="256"/>
      <c r="H9" s="25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5" t="s">
        <v>18</v>
      </c>
      <c r="F11" s="23" t="s">
        <v>19</v>
      </c>
      <c r="I11" s="25" t="s">
        <v>20</v>
      </c>
      <c r="J11" s="23" t="s">
        <v>21</v>
      </c>
      <c r="L11" s="31"/>
    </row>
    <row r="12" spans="2:46" s="1" customFormat="1" ht="12" customHeight="1">
      <c r="B12" s="31"/>
      <c r="D12" s="25" t="s">
        <v>22</v>
      </c>
      <c r="F12" s="23" t="s">
        <v>23</v>
      </c>
      <c r="I12" s="25" t="s">
        <v>24</v>
      </c>
      <c r="J12" s="50" t="str">
        <f>'Rekapitulace stavby'!AN8</f>
        <v>10. 11. 2025</v>
      </c>
      <c r="L12" s="31"/>
    </row>
    <row r="13" spans="2:46" s="1" customFormat="1" ht="21.75" customHeight="1">
      <c r="B13" s="31"/>
      <c r="D13" s="22" t="s">
        <v>26</v>
      </c>
      <c r="F13" s="27" t="s">
        <v>27</v>
      </c>
      <c r="I13" s="22" t="s">
        <v>28</v>
      </c>
      <c r="J13" s="27" t="s">
        <v>773</v>
      </c>
      <c r="L13" s="31"/>
    </row>
    <row r="14" spans="2:46" s="1" customFormat="1" ht="12" customHeight="1">
      <c r="B14" s="31"/>
      <c r="D14" s="25" t="s">
        <v>30</v>
      </c>
      <c r="I14" s="25" t="s">
        <v>31</v>
      </c>
      <c r="J14" s="23" t="s">
        <v>32</v>
      </c>
      <c r="L14" s="31"/>
    </row>
    <row r="15" spans="2:46" s="1" customFormat="1" ht="18" customHeight="1">
      <c r="B15" s="31"/>
      <c r="E15" s="23" t="s">
        <v>33</v>
      </c>
      <c r="I15" s="25" t="s">
        <v>34</v>
      </c>
      <c r="J15" s="23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5" t="s">
        <v>35</v>
      </c>
      <c r="I17" s="25" t="s">
        <v>31</v>
      </c>
      <c r="J17" s="26" t="str">
        <f>'Rekapitulace stavby'!AN13</f>
        <v>Vyplň údaj</v>
      </c>
      <c r="L17" s="31"/>
    </row>
    <row r="18" spans="2:12" s="1" customFormat="1" ht="18" customHeight="1">
      <c r="B18" s="31"/>
      <c r="E18" s="259" t="str">
        <f>'Rekapitulace stavby'!E14</f>
        <v>Vyplň údaj</v>
      </c>
      <c r="F18" s="225"/>
      <c r="G18" s="225"/>
      <c r="H18" s="225"/>
      <c r="I18" s="25" t="s">
        <v>34</v>
      </c>
      <c r="J18" s="26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5" t="s">
        <v>37</v>
      </c>
      <c r="I20" s="25" t="s">
        <v>31</v>
      </c>
      <c r="J20" s="23" t="s">
        <v>38</v>
      </c>
      <c r="L20" s="31"/>
    </row>
    <row r="21" spans="2:12" s="1" customFormat="1" ht="18" customHeight="1">
      <c r="B21" s="31"/>
      <c r="E21" s="23" t="s">
        <v>39</v>
      </c>
      <c r="I21" s="25" t="s">
        <v>34</v>
      </c>
      <c r="J21" s="23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5" t="s">
        <v>41</v>
      </c>
      <c r="I23" s="25" t="s">
        <v>31</v>
      </c>
      <c r="J23" s="23" t="s">
        <v>38</v>
      </c>
      <c r="L23" s="31"/>
    </row>
    <row r="24" spans="2:12" s="1" customFormat="1" ht="18" customHeight="1">
      <c r="B24" s="31"/>
      <c r="E24" s="23" t="s">
        <v>39</v>
      </c>
      <c r="I24" s="25" t="s">
        <v>34</v>
      </c>
      <c r="J24" s="23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5" t="s">
        <v>42</v>
      </c>
      <c r="L26" s="31"/>
    </row>
    <row r="27" spans="2:12" s="7" customFormat="1" ht="16.5" customHeight="1">
      <c r="B27" s="86"/>
      <c r="E27" s="229" t="s">
        <v>1</v>
      </c>
      <c r="F27" s="229"/>
      <c r="G27" s="229"/>
      <c r="H27" s="229"/>
      <c r="L27" s="86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1"/>
      <c r="E29" s="51"/>
      <c r="F29" s="51"/>
      <c r="G29" s="51"/>
      <c r="H29" s="51"/>
      <c r="I29" s="51"/>
      <c r="J29" s="51"/>
      <c r="K29" s="51"/>
      <c r="L29" s="31"/>
    </row>
    <row r="30" spans="2:12" s="1" customFormat="1" ht="25.35" customHeight="1">
      <c r="B30" s="31"/>
      <c r="D30" s="87" t="s">
        <v>43</v>
      </c>
      <c r="J30" s="63">
        <f>ROUND(J120, 2)</f>
        <v>0</v>
      </c>
      <c r="L30" s="31"/>
    </row>
    <row r="31" spans="2:12" s="1" customFormat="1" ht="6.95" customHeight="1">
      <c r="B31" s="31"/>
      <c r="D31" s="51"/>
      <c r="E31" s="51"/>
      <c r="F31" s="51"/>
      <c r="G31" s="51"/>
      <c r="H31" s="51"/>
      <c r="I31" s="51"/>
      <c r="J31" s="51"/>
      <c r="K31" s="51"/>
      <c r="L31" s="31"/>
    </row>
    <row r="32" spans="2:12" s="1" customFormat="1" ht="14.45" customHeight="1">
      <c r="B32" s="31"/>
      <c r="F32" s="88" t="s">
        <v>45</v>
      </c>
      <c r="I32" s="88" t="s">
        <v>44</v>
      </c>
      <c r="J32" s="88" t="s">
        <v>46</v>
      </c>
      <c r="L32" s="31"/>
    </row>
    <row r="33" spans="2:12" s="1" customFormat="1" ht="14.45" customHeight="1">
      <c r="B33" s="31"/>
      <c r="D33" s="89" t="s">
        <v>47</v>
      </c>
      <c r="E33" s="25" t="s">
        <v>48</v>
      </c>
      <c r="F33" s="90">
        <f>ROUND((SUM(BE120:BE157)),  2)</f>
        <v>0</v>
      </c>
      <c r="I33" s="91">
        <v>0.21</v>
      </c>
      <c r="J33" s="90">
        <f>ROUND(((SUM(BE120:BE157))*I33),  2)</f>
        <v>0</v>
      </c>
      <c r="L33" s="31"/>
    </row>
    <row r="34" spans="2:12" s="1" customFormat="1" ht="14.45" customHeight="1">
      <c r="B34" s="31"/>
      <c r="E34" s="25" t="s">
        <v>49</v>
      </c>
      <c r="F34" s="90">
        <f>ROUND((SUM(BF120:BF157)),  2)</f>
        <v>0</v>
      </c>
      <c r="I34" s="91">
        <v>0.12</v>
      </c>
      <c r="J34" s="90">
        <f>ROUND(((SUM(BF120:BF157))*I34),  2)</f>
        <v>0</v>
      </c>
      <c r="L34" s="31"/>
    </row>
    <row r="35" spans="2:12" s="1" customFormat="1" ht="14.45" hidden="1" customHeight="1">
      <c r="B35" s="31"/>
      <c r="E35" s="25" t="s">
        <v>50</v>
      </c>
      <c r="F35" s="90">
        <f>ROUND((SUM(BG120:BG157)),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5" t="s">
        <v>51</v>
      </c>
      <c r="F36" s="90">
        <f>ROUND((SUM(BH120:BH157)),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5" t="s">
        <v>52</v>
      </c>
      <c r="F37" s="90">
        <f>ROUND((SUM(BI120:BI157)),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53</v>
      </c>
      <c r="E39" s="54"/>
      <c r="F39" s="54"/>
      <c r="G39" s="94" t="s">
        <v>54</v>
      </c>
      <c r="H39" s="95" t="s">
        <v>55</v>
      </c>
      <c r="I39" s="54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s="1" customFormat="1" ht="14.45" customHeight="1">
      <c r="B49" s="31"/>
      <c r="D49" s="39" t="s">
        <v>56</v>
      </c>
      <c r="E49" s="40"/>
      <c r="F49" s="40"/>
      <c r="G49" s="39" t="s">
        <v>57</v>
      </c>
      <c r="H49" s="40"/>
      <c r="I49" s="40"/>
      <c r="J49" s="40"/>
      <c r="K49" s="40"/>
      <c r="L49" s="31"/>
    </row>
    <row r="50" spans="2:12">
      <c r="B50" s="18"/>
      <c r="L50" s="18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 s="1" customFormat="1" ht="12.75">
      <c r="B60" s="31"/>
      <c r="D60" s="41" t="s">
        <v>58</v>
      </c>
      <c r="E60" s="33"/>
      <c r="F60" s="98" t="s">
        <v>59</v>
      </c>
      <c r="G60" s="41" t="s">
        <v>58</v>
      </c>
      <c r="H60" s="33"/>
      <c r="I60" s="33"/>
      <c r="J60" s="99" t="s">
        <v>59</v>
      </c>
      <c r="K60" s="33"/>
      <c r="L60" s="31"/>
    </row>
    <row r="61" spans="2:12">
      <c r="B61" s="18"/>
      <c r="L61" s="18"/>
    </row>
    <row r="62" spans="2:12">
      <c r="B62" s="18"/>
      <c r="L62" s="18"/>
    </row>
    <row r="63" spans="2:12">
      <c r="B63" s="18"/>
      <c r="L63" s="18"/>
    </row>
    <row r="64" spans="2:12" s="1" customFormat="1" ht="12.75">
      <c r="B64" s="31"/>
      <c r="D64" s="39" t="s">
        <v>60</v>
      </c>
      <c r="E64" s="40"/>
      <c r="F64" s="40"/>
      <c r="G64" s="39" t="s">
        <v>61</v>
      </c>
      <c r="H64" s="40"/>
      <c r="I64" s="40"/>
      <c r="J64" s="40"/>
      <c r="K64" s="40"/>
      <c r="L64" s="31"/>
    </row>
    <row r="65" spans="2:12">
      <c r="B65" s="18"/>
      <c r="L65" s="18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 s="1" customFormat="1" ht="12.75">
      <c r="B75" s="31"/>
      <c r="D75" s="41" t="s">
        <v>58</v>
      </c>
      <c r="E75" s="33"/>
      <c r="F75" s="98" t="s">
        <v>59</v>
      </c>
      <c r="G75" s="41" t="s">
        <v>58</v>
      </c>
      <c r="H75" s="33"/>
      <c r="I75" s="33"/>
      <c r="J75" s="99" t="s">
        <v>59</v>
      </c>
      <c r="K75" s="33"/>
      <c r="L75" s="31"/>
    </row>
    <row r="76" spans="2:12" s="1" customFormat="1" ht="14.45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1"/>
    </row>
    <row r="80" spans="2:12" s="1" customFormat="1" ht="6.95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1"/>
    </row>
    <row r="81" spans="2:47" s="1" customFormat="1" ht="24.95" customHeight="1">
      <c r="B81" s="31"/>
      <c r="C81" s="19" t="s">
        <v>106</v>
      </c>
      <c r="L81" s="31"/>
    </row>
    <row r="82" spans="2:47" s="1" customFormat="1" ht="6.95" customHeight="1">
      <c r="B82" s="31"/>
      <c r="L82" s="31"/>
    </row>
    <row r="83" spans="2:47" s="1" customFormat="1" ht="12" customHeight="1">
      <c r="B83" s="31"/>
      <c r="C83" s="25" t="s">
        <v>16</v>
      </c>
      <c r="L83" s="31"/>
    </row>
    <row r="84" spans="2:47" s="1" customFormat="1" ht="26.25" customHeight="1">
      <c r="B84" s="31"/>
      <c r="E84" s="257" t="str">
        <f>E7</f>
        <v>PODIVÍN – ul. Hřbitovní, dopravní a technická infrastruktura, SO 301 – KANALIZACE, SO 302 - VODOVOD</v>
      </c>
      <c r="F84" s="258"/>
      <c r="G84" s="258"/>
      <c r="H84" s="258"/>
      <c r="L84" s="31"/>
    </row>
    <row r="85" spans="2:47" s="1" customFormat="1" ht="12" customHeight="1">
      <c r="B85" s="31"/>
      <c r="C85" s="25" t="s">
        <v>103</v>
      </c>
      <c r="L85" s="31"/>
    </row>
    <row r="86" spans="2:47" s="1" customFormat="1" ht="16.5" customHeight="1">
      <c r="B86" s="31"/>
      <c r="E86" s="243" t="str">
        <f>E9</f>
        <v>VRN - Vedlejší rozpočtové náklady</v>
      </c>
      <c r="F86" s="256"/>
      <c r="G86" s="256"/>
      <c r="H86" s="256"/>
      <c r="L86" s="31"/>
    </row>
    <row r="87" spans="2:47" s="1" customFormat="1" ht="6.95" customHeight="1">
      <c r="B87" s="31"/>
      <c r="L87" s="31"/>
    </row>
    <row r="88" spans="2:47" s="1" customFormat="1" ht="12" customHeight="1">
      <c r="B88" s="31"/>
      <c r="C88" s="25" t="s">
        <v>22</v>
      </c>
      <c r="F88" s="23" t="str">
        <f>F12</f>
        <v>Podivín</v>
      </c>
      <c r="I88" s="25" t="s">
        <v>24</v>
      </c>
      <c r="J88" s="50" t="str">
        <f>IF(J12="","",J12)</f>
        <v>10. 11. 2025</v>
      </c>
      <c r="L88" s="31"/>
    </row>
    <row r="89" spans="2:47" s="1" customFormat="1" ht="6.95" customHeight="1">
      <c r="B89" s="31"/>
      <c r="L89" s="31"/>
    </row>
    <row r="90" spans="2:47" s="1" customFormat="1" ht="40.15" customHeight="1">
      <c r="B90" s="31"/>
      <c r="C90" s="25" t="s">
        <v>30</v>
      </c>
      <c r="F90" s="23" t="str">
        <f>E15</f>
        <v>Město Podivín</v>
      </c>
      <c r="I90" s="25" t="s">
        <v>37</v>
      </c>
      <c r="J90" s="29" t="str">
        <f>E21</f>
        <v>Projekce inženýrských sítí s.r.o.</v>
      </c>
      <c r="L90" s="31"/>
    </row>
    <row r="91" spans="2:47" s="1" customFormat="1" ht="40.15" customHeight="1">
      <c r="B91" s="31"/>
      <c r="C91" s="25" t="s">
        <v>35</v>
      </c>
      <c r="F91" s="23" t="str">
        <f>IF(E18="","",E18)</f>
        <v>Vyplň údaj</v>
      </c>
      <c r="I91" s="25" t="s">
        <v>41</v>
      </c>
      <c r="J91" s="29" t="str">
        <f>E24</f>
        <v>Projekce inženýrských sítí s.r.o.</v>
      </c>
      <c r="L91" s="31"/>
    </row>
    <row r="92" spans="2:47" s="1" customFormat="1" ht="10.35" customHeight="1">
      <c r="B92" s="31"/>
      <c r="L92" s="31"/>
    </row>
    <row r="93" spans="2:47" s="1" customFormat="1" ht="29.25" customHeight="1">
      <c r="B93" s="31"/>
      <c r="C93" s="100" t="s">
        <v>107</v>
      </c>
      <c r="D93" s="92"/>
      <c r="E93" s="92"/>
      <c r="F93" s="92"/>
      <c r="G93" s="92"/>
      <c r="H93" s="92"/>
      <c r="I93" s="92"/>
      <c r="J93" s="101" t="s">
        <v>108</v>
      </c>
      <c r="K93" s="92"/>
      <c r="L93" s="31"/>
    </row>
    <row r="94" spans="2:47" s="1" customFormat="1" ht="10.35" customHeight="1">
      <c r="B94" s="31"/>
      <c r="L94" s="31"/>
    </row>
    <row r="95" spans="2:47" s="1" customFormat="1" ht="22.9" customHeight="1">
      <c r="B95" s="31"/>
      <c r="C95" s="102" t="s">
        <v>109</v>
      </c>
      <c r="J95" s="63">
        <f>J120</f>
        <v>0</v>
      </c>
      <c r="L95" s="31"/>
      <c r="AU95" s="15" t="s">
        <v>110</v>
      </c>
    </row>
    <row r="96" spans="2:47" s="8" customFormat="1" ht="24.95" customHeight="1">
      <c r="B96" s="103"/>
      <c r="D96" s="104" t="s">
        <v>772</v>
      </c>
      <c r="E96" s="105"/>
      <c r="F96" s="105"/>
      <c r="G96" s="105"/>
      <c r="H96" s="105"/>
      <c r="I96" s="105"/>
      <c r="J96" s="106">
        <f>J121</f>
        <v>0</v>
      </c>
      <c r="L96" s="103"/>
    </row>
    <row r="97" spans="2:12" s="9" customFormat="1" ht="19.899999999999999" customHeight="1">
      <c r="B97" s="107"/>
      <c r="D97" s="108" t="s">
        <v>774</v>
      </c>
      <c r="E97" s="109"/>
      <c r="F97" s="109"/>
      <c r="G97" s="109"/>
      <c r="H97" s="109"/>
      <c r="I97" s="109"/>
      <c r="J97" s="110">
        <f>J122</f>
        <v>0</v>
      </c>
      <c r="L97" s="107"/>
    </row>
    <row r="98" spans="2:12" s="9" customFormat="1" ht="19.899999999999999" customHeight="1">
      <c r="B98" s="107"/>
      <c r="D98" s="108" t="s">
        <v>775</v>
      </c>
      <c r="E98" s="109"/>
      <c r="F98" s="109"/>
      <c r="G98" s="109"/>
      <c r="H98" s="109"/>
      <c r="I98" s="109"/>
      <c r="J98" s="110">
        <f>J129</f>
        <v>0</v>
      </c>
      <c r="L98" s="107"/>
    </row>
    <row r="99" spans="2:12" s="9" customFormat="1" ht="19.899999999999999" customHeight="1">
      <c r="B99" s="107"/>
      <c r="D99" s="108" t="s">
        <v>776</v>
      </c>
      <c r="E99" s="109"/>
      <c r="F99" s="109"/>
      <c r="G99" s="109"/>
      <c r="H99" s="109"/>
      <c r="I99" s="109"/>
      <c r="J99" s="110">
        <f>J146</f>
        <v>0</v>
      </c>
      <c r="L99" s="107"/>
    </row>
    <row r="100" spans="2:12" s="8" customFormat="1" ht="24.95" customHeight="1">
      <c r="B100" s="103"/>
      <c r="D100" s="104" t="s">
        <v>777</v>
      </c>
      <c r="E100" s="105"/>
      <c r="F100" s="105"/>
      <c r="G100" s="105"/>
      <c r="H100" s="105"/>
      <c r="I100" s="105"/>
      <c r="J100" s="106">
        <f>J149</f>
        <v>0</v>
      </c>
      <c r="L100" s="103"/>
    </row>
    <row r="101" spans="2:12" s="1" customFormat="1" ht="21.75" customHeight="1">
      <c r="B101" s="31"/>
      <c r="L101" s="31"/>
    </row>
    <row r="102" spans="2:12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1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1"/>
    </row>
    <row r="107" spans="2:12" s="1" customFormat="1" ht="24.95" customHeight="1">
      <c r="B107" s="31"/>
      <c r="C107" s="19" t="s">
        <v>121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5" t="s">
        <v>16</v>
      </c>
      <c r="L109" s="31"/>
    </row>
    <row r="110" spans="2:12" s="1" customFormat="1" ht="26.25" customHeight="1">
      <c r="B110" s="31"/>
      <c r="E110" s="257" t="str">
        <f>E7</f>
        <v>PODIVÍN – ul. Hřbitovní, dopravní a technická infrastruktura, SO 301 – KANALIZACE, SO 302 - VODOVOD</v>
      </c>
      <c r="F110" s="258"/>
      <c r="G110" s="258"/>
      <c r="H110" s="258"/>
      <c r="L110" s="31"/>
    </row>
    <row r="111" spans="2:12" s="1" customFormat="1" ht="12" customHeight="1">
      <c r="B111" s="31"/>
      <c r="C111" s="25" t="s">
        <v>103</v>
      </c>
      <c r="L111" s="31"/>
    </row>
    <row r="112" spans="2:12" s="1" customFormat="1" ht="16.5" customHeight="1">
      <c r="B112" s="31"/>
      <c r="E112" s="243" t="str">
        <f>E9</f>
        <v>VRN - Vedlejší rozpočtové náklady</v>
      </c>
      <c r="F112" s="256"/>
      <c r="G112" s="256"/>
      <c r="H112" s="256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5" t="s">
        <v>22</v>
      </c>
      <c r="F114" s="23" t="str">
        <f>F12</f>
        <v>Podivín</v>
      </c>
      <c r="I114" s="25" t="s">
        <v>24</v>
      </c>
      <c r="J114" s="50" t="str">
        <f>IF(J12="","",J12)</f>
        <v>10. 11. 2025</v>
      </c>
      <c r="L114" s="31"/>
    </row>
    <row r="115" spans="2:65" s="1" customFormat="1" ht="6.95" customHeight="1">
      <c r="B115" s="31"/>
      <c r="L115" s="31"/>
    </row>
    <row r="116" spans="2:65" s="1" customFormat="1" ht="40.15" customHeight="1">
      <c r="B116" s="31"/>
      <c r="C116" s="25" t="s">
        <v>30</v>
      </c>
      <c r="F116" s="23" t="str">
        <f>E15</f>
        <v>Město Podivín</v>
      </c>
      <c r="I116" s="25" t="s">
        <v>37</v>
      </c>
      <c r="J116" s="29" t="str">
        <f>E21</f>
        <v>Projekce inženýrských sítí s.r.o.</v>
      </c>
      <c r="L116" s="31"/>
    </row>
    <row r="117" spans="2:65" s="1" customFormat="1" ht="40.15" customHeight="1">
      <c r="B117" s="31"/>
      <c r="C117" s="25" t="s">
        <v>35</v>
      </c>
      <c r="F117" s="23" t="str">
        <f>IF(E18="","",E18)</f>
        <v>Vyplň údaj</v>
      </c>
      <c r="I117" s="25" t="s">
        <v>41</v>
      </c>
      <c r="J117" s="29" t="str">
        <f>E24</f>
        <v>Projekce inženýrských sítí s.r.o.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1"/>
      <c r="C119" s="112" t="s">
        <v>122</v>
      </c>
      <c r="D119" s="113" t="s">
        <v>68</v>
      </c>
      <c r="E119" s="113" t="s">
        <v>64</v>
      </c>
      <c r="F119" s="113" t="s">
        <v>65</v>
      </c>
      <c r="G119" s="113" t="s">
        <v>123</v>
      </c>
      <c r="H119" s="113" t="s">
        <v>124</v>
      </c>
      <c r="I119" s="113" t="s">
        <v>125</v>
      </c>
      <c r="J119" s="113" t="s">
        <v>108</v>
      </c>
      <c r="K119" s="114" t="s">
        <v>126</v>
      </c>
      <c r="L119" s="111"/>
      <c r="M119" s="56" t="s">
        <v>1</v>
      </c>
      <c r="N119" s="57" t="s">
        <v>47</v>
      </c>
      <c r="O119" s="57" t="s">
        <v>127</v>
      </c>
      <c r="P119" s="57" t="s">
        <v>128</v>
      </c>
      <c r="Q119" s="57" t="s">
        <v>129</v>
      </c>
      <c r="R119" s="57" t="s">
        <v>130</v>
      </c>
      <c r="S119" s="57" t="s">
        <v>131</v>
      </c>
      <c r="T119" s="58" t="s">
        <v>132</v>
      </c>
    </row>
    <row r="120" spans="2:65" s="1" customFormat="1" ht="22.9" customHeight="1">
      <c r="B120" s="31"/>
      <c r="C120" s="61" t="s">
        <v>133</v>
      </c>
      <c r="J120" s="115">
        <f>BK120</f>
        <v>0</v>
      </c>
      <c r="L120" s="31"/>
      <c r="M120" s="59"/>
      <c r="N120" s="51"/>
      <c r="O120" s="51"/>
      <c r="P120" s="116">
        <f>P121+P149</f>
        <v>0</v>
      </c>
      <c r="Q120" s="51"/>
      <c r="R120" s="116">
        <f>R121+R149</f>
        <v>0</v>
      </c>
      <c r="S120" s="51"/>
      <c r="T120" s="117">
        <f>T121+T149</f>
        <v>0</v>
      </c>
      <c r="AT120" s="15" t="s">
        <v>82</v>
      </c>
      <c r="AU120" s="15" t="s">
        <v>110</v>
      </c>
      <c r="BK120" s="118">
        <f>BK121+BK149</f>
        <v>0</v>
      </c>
    </row>
    <row r="121" spans="2:65" s="11" customFormat="1" ht="25.9" customHeight="1">
      <c r="B121" s="119"/>
      <c r="D121" s="120" t="s">
        <v>82</v>
      </c>
      <c r="E121" s="121" t="s">
        <v>99</v>
      </c>
      <c r="F121" s="121" t="s">
        <v>100</v>
      </c>
      <c r="I121" s="122"/>
      <c r="J121" s="123">
        <f>BK121</f>
        <v>0</v>
      </c>
      <c r="L121" s="119"/>
      <c r="M121" s="124"/>
      <c r="P121" s="125">
        <f>P122+P129+P146</f>
        <v>0</v>
      </c>
      <c r="R121" s="125">
        <f>R122+R129+R146</f>
        <v>0</v>
      </c>
      <c r="T121" s="126">
        <f>T122+T129+T146</f>
        <v>0</v>
      </c>
      <c r="AR121" s="120" t="s">
        <v>163</v>
      </c>
      <c r="AT121" s="127" t="s">
        <v>82</v>
      </c>
      <c r="AU121" s="127" t="s">
        <v>83</v>
      </c>
      <c r="AY121" s="120" t="s">
        <v>136</v>
      </c>
      <c r="BK121" s="128">
        <f>BK122+BK129+BK146</f>
        <v>0</v>
      </c>
    </row>
    <row r="122" spans="2:65" s="11" customFormat="1" ht="22.9" customHeight="1">
      <c r="B122" s="119"/>
      <c r="D122" s="120" t="s">
        <v>82</v>
      </c>
      <c r="E122" s="129" t="s">
        <v>778</v>
      </c>
      <c r="F122" s="129" t="s">
        <v>779</v>
      </c>
      <c r="I122" s="122"/>
      <c r="J122" s="130">
        <f>BK122</f>
        <v>0</v>
      </c>
      <c r="L122" s="119"/>
      <c r="M122" s="124"/>
      <c r="P122" s="125">
        <f>SUM(P123:P128)</f>
        <v>0</v>
      </c>
      <c r="R122" s="125">
        <f>SUM(R123:R128)</f>
        <v>0</v>
      </c>
      <c r="T122" s="126">
        <f>SUM(T123:T128)</f>
        <v>0</v>
      </c>
      <c r="AR122" s="120" t="s">
        <v>163</v>
      </c>
      <c r="AT122" s="127" t="s">
        <v>82</v>
      </c>
      <c r="AU122" s="127" t="s">
        <v>91</v>
      </c>
      <c r="AY122" s="120" t="s">
        <v>136</v>
      </c>
      <c r="BK122" s="128">
        <f>SUM(BK123:BK128)</f>
        <v>0</v>
      </c>
    </row>
    <row r="123" spans="2:65" s="1" customFormat="1" ht="24.2" customHeight="1">
      <c r="B123" s="31"/>
      <c r="C123" s="131" t="s">
        <v>91</v>
      </c>
      <c r="D123" s="131" t="s">
        <v>138</v>
      </c>
      <c r="E123" s="132" t="s">
        <v>780</v>
      </c>
      <c r="F123" s="133" t="s">
        <v>781</v>
      </c>
      <c r="G123" s="134" t="s">
        <v>782</v>
      </c>
      <c r="H123" s="135">
        <v>1</v>
      </c>
      <c r="I123" s="136"/>
      <c r="J123" s="137">
        <f>ROUND(I123*H123,2)</f>
        <v>0</v>
      </c>
      <c r="K123" s="133" t="s">
        <v>520</v>
      </c>
      <c r="L123" s="31"/>
      <c r="M123" s="138" t="s">
        <v>1</v>
      </c>
      <c r="N123" s="139" t="s">
        <v>48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783</v>
      </c>
      <c r="AT123" s="142" t="s">
        <v>138</v>
      </c>
      <c r="AU123" s="142" t="s">
        <v>94</v>
      </c>
      <c r="AY123" s="15" t="s">
        <v>136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5" t="s">
        <v>91</v>
      </c>
      <c r="BK123" s="143">
        <f>ROUND(I123*H123,2)</f>
        <v>0</v>
      </c>
      <c r="BL123" s="15" t="s">
        <v>783</v>
      </c>
      <c r="BM123" s="142" t="s">
        <v>784</v>
      </c>
    </row>
    <row r="124" spans="2:65" s="12" customFormat="1">
      <c r="B124" s="144"/>
      <c r="D124" s="145" t="s">
        <v>145</v>
      </c>
      <c r="E124" s="146" t="s">
        <v>1</v>
      </c>
      <c r="F124" s="147" t="s">
        <v>91</v>
      </c>
      <c r="H124" s="148">
        <v>1</v>
      </c>
      <c r="I124" s="149"/>
      <c r="L124" s="144"/>
      <c r="M124" s="150"/>
      <c r="T124" s="151"/>
      <c r="AT124" s="146" t="s">
        <v>145</v>
      </c>
      <c r="AU124" s="146" t="s">
        <v>94</v>
      </c>
      <c r="AV124" s="12" t="s">
        <v>94</v>
      </c>
      <c r="AW124" s="12" t="s">
        <v>40</v>
      </c>
      <c r="AX124" s="12" t="s">
        <v>91</v>
      </c>
      <c r="AY124" s="146" t="s">
        <v>136</v>
      </c>
    </row>
    <row r="125" spans="2:65" s="1" customFormat="1" ht="24.2" customHeight="1">
      <c r="B125" s="31"/>
      <c r="C125" s="131" t="s">
        <v>94</v>
      </c>
      <c r="D125" s="131" t="s">
        <v>138</v>
      </c>
      <c r="E125" s="132" t="s">
        <v>785</v>
      </c>
      <c r="F125" s="133" t="s">
        <v>786</v>
      </c>
      <c r="G125" s="134" t="s">
        <v>782</v>
      </c>
      <c r="H125" s="135">
        <v>1</v>
      </c>
      <c r="I125" s="136"/>
      <c r="J125" s="137">
        <f>ROUND(I125*H125,2)</f>
        <v>0</v>
      </c>
      <c r="K125" s="133" t="s">
        <v>520</v>
      </c>
      <c r="L125" s="31"/>
      <c r="M125" s="138" t="s">
        <v>1</v>
      </c>
      <c r="N125" s="139" t="s">
        <v>48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783</v>
      </c>
      <c r="AT125" s="142" t="s">
        <v>138</v>
      </c>
      <c r="AU125" s="142" t="s">
        <v>94</v>
      </c>
      <c r="AY125" s="15" t="s">
        <v>136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5" t="s">
        <v>91</v>
      </c>
      <c r="BK125" s="143">
        <f>ROUND(I125*H125,2)</f>
        <v>0</v>
      </c>
      <c r="BL125" s="15" t="s">
        <v>783</v>
      </c>
      <c r="BM125" s="142" t="s">
        <v>787</v>
      </c>
    </row>
    <row r="126" spans="2:65" s="12" customFormat="1">
      <c r="B126" s="144"/>
      <c r="D126" s="145" t="s">
        <v>145</v>
      </c>
      <c r="E126" s="146" t="s">
        <v>1</v>
      </c>
      <c r="F126" s="147" t="s">
        <v>91</v>
      </c>
      <c r="H126" s="148">
        <v>1</v>
      </c>
      <c r="I126" s="149"/>
      <c r="L126" s="144"/>
      <c r="M126" s="150"/>
      <c r="T126" s="151"/>
      <c r="AT126" s="146" t="s">
        <v>145</v>
      </c>
      <c r="AU126" s="146" t="s">
        <v>94</v>
      </c>
      <c r="AV126" s="12" t="s">
        <v>94</v>
      </c>
      <c r="AW126" s="12" t="s">
        <v>40</v>
      </c>
      <c r="AX126" s="12" t="s">
        <v>91</v>
      </c>
      <c r="AY126" s="146" t="s">
        <v>136</v>
      </c>
    </row>
    <row r="127" spans="2:65" s="1" customFormat="1" ht="24.2" customHeight="1">
      <c r="B127" s="31"/>
      <c r="C127" s="131" t="s">
        <v>153</v>
      </c>
      <c r="D127" s="131" t="s">
        <v>138</v>
      </c>
      <c r="E127" s="132" t="s">
        <v>788</v>
      </c>
      <c r="F127" s="133" t="s">
        <v>789</v>
      </c>
      <c r="G127" s="134" t="s">
        <v>782</v>
      </c>
      <c r="H127" s="135">
        <v>1</v>
      </c>
      <c r="I127" s="136"/>
      <c r="J127" s="137">
        <f>ROUND(I127*H127,2)</f>
        <v>0</v>
      </c>
      <c r="K127" s="133" t="s">
        <v>520</v>
      </c>
      <c r="L127" s="31"/>
      <c r="M127" s="138" t="s">
        <v>1</v>
      </c>
      <c r="N127" s="139" t="s">
        <v>48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783</v>
      </c>
      <c r="AT127" s="142" t="s">
        <v>138</v>
      </c>
      <c r="AU127" s="142" t="s">
        <v>94</v>
      </c>
      <c r="AY127" s="15" t="s">
        <v>136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5" t="s">
        <v>91</v>
      </c>
      <c r="BK127" s="143">
        <f>ROUND(I127*H127,2)</f>
        <v>0</v>
      </c>
      <c r="BL127" s="15" t="s">
        <v>783</v>
      </c>
      <c r="BM127" s="142" t="s">
        <v>790</v>
      </c>
    </row>
    <row r="128" spans="2:65" s="12" customFormat="1">
      <c r="B128" s="144"/>
      <c r="D128" s="145" t="s">
        <v>145</v>
      </c>
      <c r="E128" s="146" t="s">
        <v>1</v>
      </c>
      <c r="F128" s="147" t="s">
        <v>91</v>
      </c>
      <c r="H128" s="148">
        <v>1</v>
      </c>
      <c r="I128" s="149"/>
      <c r="L128" s="144"/>
      <c r="M128" s="150"/>
      <c r="T128" s="151"/>
      <c r="AT128" s="146" t="s">
        <v>145</v>
      </c>
      <c r="AU128" s="146" t="s">
        <v>94</v>
      </c>
      <c r="AV128" s="12" t="s">
        <v>94</v>
      </c>
      <c r="AW128" s="12" t="s">
        <v>40</v>
      </c>
      <c r="AX128" s="12" t="s">
        <v>91</v>
      </c>
      <c r="AY128" s="146" t="s">
        <v>136</v>
      </c>
    </row>
    <row r="129" spans="2:65" s="11" customFormat="1" ht="22.9" customHeight="1">
      <c r="B129" s="119"/>
      <c r="D129" s="120" t="s">
        <v>82</v>
      </c>
      <c r="E129" s="129" t="s">
        <v>791</v>
      </c>
      <c r="F129" s="129" t="s">
        <v>792</v>
      </c>
      <c r="I129" s="122"/>
      <c r="J129" s="130">
        <f>BK129</f>
        <v>0</v>
      </c>
      <c r="L129" s="119"/>
      <c r="M129" s="124"/>
      <c r="P129" s="125">
        <f>SUM(P130:P145)</f>
        <v>0</v>
      </c>
      <c r="R129" s="125">
        <f>SUM(R130:R145)</f>
        <v>0</v>
      </c>
      <c r="T129" s="126">
        <f>SUM(T130:T145)</f>
        <v>0</v>
      </c>
      <c r="AR129" s="120" t="s">
        <v>163</v>
      </c>
      <c r="AT129" s="127" t="s">
        <v>82</v>
      </c>
      <c r="AU129" s="127" t="s">
        <v>91</v>
      </c>
      <c r="AY129" s="120" t="s">
        <v>136</v>
      </c>
      <c r="BK129" s="128">
        <f>SUM(BK130:BK145)</f>
        <v>0</v>
      </c>
    </row>
    <row r="130" spans="2:65" s="1" customFormat="1" ht="24.2" customHeight="1">
      <c r="B130" s="31"/>
      <c r="C130" s="131" t="s">
        <v>143</v>
      </c>
      <c r="D130" s="131" t="s">
        <v>138</v>
      </c>
      <c r="E130" s="132" t="s">
        <v>793</v>
      </c>
      <c r="F130" s="133" t="s">
        <v>794</v>
      </c>
      <c r="G130" s="134" t="s">
        <v>782</v>
      </c>
      <c r="H130" s="135">
        <v>1</v>
      </c>
      <c r="I130" s="136"/>
      <c r="J130" s="137">
        <f>ROUND(I130*H130,2)</f>
        <v>0</v>
      </c>
      <c r="K130" s="133" t="s">
        <v>520</v>
      </c>
      <c r="L130" s="31"/>
      <c r="M130" s="138" t="s">
        <v>1</v>
      </c>
      <c r="N130" s="139" t="s">
        <v>48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783</v>
      </c>
      <c r="AT130" s="142" t="s">
        <v>138</v>
      </c>
      <c r="AU130" s="142" t="s">
        <v>94</v>
      </c>
      <c r="AY130" s="15" t="s">
        <v>136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5" t="s">
        <v>91</v>
      </c>
      <c r="BK130" s="143">
        <f>ROUND(I130*H130,2)</f>
        <v>0</v>
      </c>
      <c r="BL130" s="15" t="s">
        <v>783</v>
      </c>
      <c r="BM130" s="142" t="s">
        <v>795</v>
      </c>
    </row>
    <row r="131" spans="2:65" s="12" customFormat="1">
      <c r="B131" s="144"/>
      <c r="D131" s="145" t="s">
        <v>145</v>
      </c>
      <c r="E131" s="146" t="s">
        <v>1</v>
      </c>
      <c r="F131" s="147" t="s">
        <v>91</v>
      </c>
      <c r="H131" s="148">
        <v>1</v>
      </c>
      <c r="I131" s="149"/>
      <c r="L131" s="144"/>
      <c r="M131" s="150"/>
      <c r="T131" s="151"/>
      <c r="AT131" s="146" t="s">
        <v>145</v>
      </c>
      <c r="AU131" s="146" t="s">
        <v>94</v>
      </c>
      <c r="AV131" s="12" t="s">
        <v>94</v>
      </c>
      <c r="AW131" s="12" t="s">
        <v>40</v>
      </c>
      <c r="AX131" s="12" t="s">
        <v>91</v>
      </c>
      <c r="AY131" s="146" t="s">
        <v>136</v>
      </c>
    </row>
    <row r="132" spans="2:65" s="1" customFormat="1" ht="16.5" customHeight="1">
      <c r="B132" s="31"/>
      <c r="C132" s="131" t="s">
        <v>163</v>
      </c>
      <c r="D132" s="131" t="s">
        <v>138</v>
      </c>
      <c r="E132" s="132" t="s">
        <v>796</v>
      </c>
      <c r="F132" s="133" t="s">
        <v>797</v>
      </c>
      <c r="G132" s="134" t="s">
        <v>276</v>
      </c>
      <c r="H132" s="135">
        <v>8</v>
      </c>
      <c r="I132" s="136"/>
      <c r="J132" s="137">
        <f>ROUND(I132*H132,2)</f>
        <v>0</v>
      </c>
      <c r="K132" s="133" t="s">
        <v>520</v>
      </c>
      <c r="L132" s="31"/>
      <c r="M132" s="138" t="s">
        <v>1</v>
      </c>
      <c r="N132" s="139" t="s">
        <v>48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783</v>
      </c>
      <c r="AT132" s="142" t="s">
        <v>138</v>
      </c>
      <c r="AU132" s="142" t="s">
        <v>94</v>
      </c>
      <c r="AY132" s="15" t="s">
        <v>136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5" t="s">
        <v>91</v>
      </c>
      <c r="BK132" s="143">
        <f>ROUND(I132*H132,2)</f>
        <v>0</v>
      </c>
      <c r="BL132" s="15" t="s">
        <v>783</v>
      </c>
      <c r="BM132" s="142" t="s">
        <v>798</v>
      </c>
    </row>
    <row r="133" spans="2:65" s="12" customFormat="1">
      <c r="B133" s="144"/>
      <c r="D133" s="145" t="s">
        <v>145</v>
      </c>
      <c r="E133" s="146" t="s">
        <v>1</v>
      </c>
      <c r="F133" s="147" t="s">
        <v>180</v>
      </c>
      <c r="H133" s="148">
        <v>8</v>
      </c>
      <c r="I133" s="149"/>
      <c r="L133" s="144"/>
      <c r="M133" s="150"/>
      <c r="T133" s="151"/>
      <c r="AT133" s="146" t="s">
        <v>145</v>
      </c>
      <c r="AU133" s="146" t="s">
        <v>94</v>
      </c>
      <c r="AV133" s="12" t="s">
        <v>94</v>
      </c>
      <c r="AW133" s="12" t="s">
        <v>40</v>
      </c>
      <c r="AX133" s="12" t="s">
        <v>91</v>
      </c>
      <c r="AY133" s="146" t="s">
        <v>136</v>
      </c>
    </row>
    <row r="134" spans="2:65" s="1" customFormat="1" ht="24.2" customHeight="1">
      <c r="B134" s="31"/>
      <c r="C134" s="131" t="s">
        <v>169</v>
      </c>
      <c r="D134" s="131" t="s">
        <v>138</v>
      </c>
      <c r="E134" s="132" t="s">
        <v>799</v>
      </c>
      <c r="F134" s="133" t="s">
        <v>800</v>
      </c>
      <c r="G134" s="134" t="s">
        <v>782</v>
      </c>
      <c r="H134" s="135">
        <v>2</v>
      </c>
      <c r="I134" s="136"/>
      <c r="J134" s="137">
        <f>ROUND(I134*H134,2)</f>
        <v>0</v>
      </c>
      <c r="K134" s="133" t="s">
        <v>520</v>
      </c>
      <c r="L134" s="31"/>
      <c r="M134" s="138" t="s">
        <v>1</v>
      </c>
      <c r="N134" s="139" t="s">
        <v>48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783</v>
      </c>
      <c r="AT134" s="142" t="s">
        <v>138</v>
      </c>
      <c r="AU134" s="142" t="s">
        <v>94</v>
      </c>
      <c r="AY134" s="15" t="s">
        <v>136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5" t="s">
        <v>91</v>
      </c>
      <c r="BK134" s="143">
        <f>ROUND(I134*H134,2)</f>
        <v>0</v>
      </c>
      <c r="BL134" s="15" t="s">
        <v>783</v>
      </c>
      <c r="BM134" s="142" t="s">
        <v>801</v>
      </c>
    </row>
    <row r="135" spans="2:65" s="12" customFormat="1">
      <c r="B135" s="144"/>
      <c r="D135" s="145" t="s">
        <v>145</v>
      </c>
      <c r="E135" s="146" t="s">
        <v>1</v>
      </c>
      <c r="F135" s="147" t="s">
        <v>802</v>
      </c>
      <c r="H135" s="148">
        <v>2</v>
      </c>
      <c r="I135" s="149"/>
      <c r="L135" s="144"/>
      <c r="M135" s="150"/>
      <c r="T135" s="151"/>
      <c r="AT135" s="146" t="s">
        <v>145</v>
      </c>
      <c r="AU135" s="146" t="s">
        <v>94</v>
      </c>
      <c r="AV135" s="12" t="s">
        <v>94</v>
      </c>
      <c r="AW135" s="12" t="s">
        <v>40</v>
      </c>
      <c r="AX135" s="12" t="s">
        <v>91</v>
      </c>
      <c r="AY135" s="146" t="s">
        <v>136</v>
      </c>
    </row>
    <row r="136" spans="2:65" s="1" customFormat="1" ht="24.2" customHeight="1">
      <c r="B136" s="31"/>
      <c r="C136" s="131" t="s">
        <v>175</v>
      </c>
      <c r="D136" s="131" t="s">
        <v>138</v>
      </c>
      <c r="E136" s="132" t="s">
        <v>803</v>
      </c>
      <c r="F136" s="133" t="s">
        <v>804</v>
      </c>
      <c r="G136" s="134" t="s">
        <v>782</v>
      </c>
      <c r="H136" s="135">
        <v>2</v>
      </c>
      <c r="I136" s="136"/>
      <c r="J136" s="137">
        <f>ROUND(I136*H136,2)</f>
        <v>0</v>
      </c>
      <c r="K136" s="133" t="s">
        <v>520</v>
      </c>
      <c r="L136" s="31"/>
      <c r="M136" s="138" t="s">
        <v>1</v>
      </c>
      <c r="N136" s="139" t="s">
        <v>48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783</v>
      </c>
      <c r="AT136" s="142" t="s">
        <v>138</v>
      </c>
      <c r="AU136" s="142" t="s">
        <v>94</v>
      </c>
      <c r="AY136" s="15" t="s">
        <v>136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5" t="s">
        <v>91</v>
      </c>
      <c r="BK136" s="143">
        <f>ROUND(I136*H136,2)</f>
        <v>0</v>
      </c>
      <c r="BL136" s="15" t="s">
        <v>783</v>
      </c>
      <c r="BM136" s="142" t="s">
        <v>805</v>
      </c>
    </row>
    <row r="137" spans="2:65" s="12" customFormat="1">
      <c r="B137" s="144"/>
      <c r="D137" s="145" t="s">
        <v>145</v>
      </c>
      <c r="E137" s="146" t="s">
        <v>1</v>
      </c>
      <c r="F137" s="147" t="s">
        <v>802</v>
      </c>
      <c r="H137" s="148">
        <v>2</v>
      </c>
      <c r="I137" s="149"/>
      <c r="L137" s="144"/>
      <c r="M137" s="150"/>
      <c r="T137" s="151"/>
      <c r="AT137" s="146" t="s">
        <v>145</v>
      </c>
      <c r="AU137" s="146" t="s">
        <v>94</v>
      </c>
      <c r="AV137" s="12" t="s">
        <v>94</v>
      </c>
      <c r="AW137" s="12" t="s">
        <v>40</v>
      </c>
      <c r="AX137" s="12" t="s">
        <v>91</v>
      </c>
      <c r="AY137" s="146" t="s">
        <v>136</v>
      </c>
    </row>
    <row r="138" spans="2:65" s="1" customFormat="1" ht="24.2" customHeight="1">
      <c r="B138" s="31"/>
      <c r="C138" s="131" t="s">
        <v>180</v>
      </c>
      <c r="D138" s="131" t="s">
        <v>138</v>
      </c>
      <c r="E138" s="132" t="s">
        <v>806</v>
      </c>
      <c r="F138" s="133" t="s">
        <v>807</v>
      </c>
      <c r="G138" s="134" t="s">
        <v>782</v>
      </c>
      <c r="H138" s="135">
        <v>1</v>
      </c>
      <c r="I138" s="136"/>
      <c r="J138" s="137">
        <f>ROUND(I138*H138,2)</f>
        <v>0</v>
      </c>
      <c r="K138" s="133" t="s">
        <v>520</v>
      </c>
      <c r="L138" s="31"/>
      <c r="M138" s="138" t="s">
        <v>1</v>
      </c>
      <c r="N138" s="139" t="s">
        <v>48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783</v>
      </c>
      <c r="AT138" s="142" t="s">
        <v>138</v>
      </c>
      <c r="AU138" s="142" t="s">
        <v>94</v>
      </c>
      <c r="AY138" s="15" t="s">
        <v>136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91</v>
      </c>
      <c r="BK138" s="143">
        <f>ROUND(I138*H138,2)</f>
        <v>0</v>
      </c>
      <c r="BL138" s="15" t="s">
        <v>783</v>
      </c>
      <c r="BM138" s="142" t="s">
        <v>808</v>
      </c>
    </row>
    <row r="139" spans="2:65" s="12" customFormat="1" ht="12">
      <c r="B139" s="144"/>
      <c r="D139" s="145" t="s">
        <v>145</v>
      </c>
      <c r="E139" s="146" t="s">
        <v>1</v>
      </c>
      <c r="F139" s="147" t="s">
        <v>91</v>
      </c>
      <c r="H139" s="148">
        <v>1</v>
      </c>
      <c r="I139" s="149"/>
      <c r="K139" s="133"/>
      <c r="L139" s="144"/>
      <c r="M139" s="150"/>
      <c r="T139" s="151"/>
      <c r="AT139" s="146" t="s">
        <v>145</v>
      </c>
      <c r="AU139" s="146" t="s">
        <v>94</v>
      </c>
      <c r="AV139" s="12" t="s">
        <v>94</v>
      </c>
      <c r="AW139" s="12" t="s">
        <v>40</v>
      </c>
      <c r="AX139" s="12" t="s">
        <v>91</v>
      </c>
      <c r="AY139" s="146" t="s">
        <v>136</v>
      </c>
    </row>
    <row r="140" spans="2:65" s="1" customFormat="1" ht="24.2" customHeight="1">
      <c r="B140" s="31"/>
      <c r="C140" s="131" t="s">
        <v>186</v>
      </c>
      <c r="D140" s="131" t="s">
        <v>138</v>
      </c>
      <c r="E140" s="132" t="s">
        <v>809</v>
      </c>
      <c r="F140" s="133" t="s">
        <v>810</v>
      </c>
      <c r="G140" s="134" t="s">
        <v>811</v>
      </c>
      <c r="H140" s="135">
        <v>1</v>
      </c>
      <c r="I140" s="136"/>
      <c r="J140" s="137">
        <f>ROUND(I140*H140,2)</f>
        <v>0</v>
      </c>
      <c r="K140" s="133" t="s">
        <v>520</v>
      </c>
      <c r="L140" s="31"/>
      <c r="M140" s="138" t="s">
        <v>1</v>
      </c>
      <c r="N140" s="139" t="s">
        <v>48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783</v>
      </c>
      <c r="AT140" s="142" t="s">
        <v>138</v>
      </c>
      <c r="AU140" s="142" t="s">
        <v>94</v>
      </c>
      <c r="AY140" s="15" t="s">
        <v>136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91</v>
      </c>
      <c r="BK140" s="143">
        <f>ROUND(I140*H140,2)</f>
        <v>0</v>
      </c>
      <c r="BL140" s="15" t="s">
        <v>783</v>
      </c>
      <c r="BM140" s="142" t="s">
        <v>812</v>
      </c>
    </row>
    <row r="141" spans="2:65" s="12" customFormat="1">
      <c r="B141" s="144"/>
      <c r="D141" s="145" t="s">
        <v>145</v>
      </c>
      <c r="E141" s="146" t="s">
        <v>1</v>
      </c>
      <c r="F141" s="147" t="s">
        <v>91</v>
      </c>
      <c r="H141" s="148">
        <v>1</v>
      </c>
      <c r="I141" s="149"/>
      <c r="L141" s="144"/>
      <c r="M141" s="150"/>
      <c r="T141" s="151"/>
      <c r="AT141" s="146" t="s">
        <v>145</v>
      </c>
      <c r="AU141" s="146" t="s">
        <v>94</v>
      </c>
      <c r="AV141" s="12" t="s">
        <v>94</v>
      </c>
      <c r="AW141" s="12" t="s">
        <v>40</v>
      </c>
      <c r="AX141" s="12" t="s">
        <v>91</v>
      </c>
      <c r="AY141" s="146" t="s">
        <v>136</v>
      </c>
    </row>
    <row r="142" spans="2:65" s="1" customFormat="1" ht="16.5" customHeight="1">
      <c r="B142" s="31"/>
      <c r="C142" s="131" t="s">
        <v>194</v>
      </c>
      <c r="D142" s="131" t="s">
        <v>138</v>
      </c>
      <c r="E142" s="132" t="s">
        <v>813</v>
      </c>
      <c r="F142" s="133" t="s">
        <v>814</v>
      </c>
      <c r="G142" s="134" t="s">
        <v>276</v>
      </c>
      <c r="H142" s="135">
        <v>3</v>
      </c>
      <c r="I142" s="136"/>
      <c r="J142" s="137">
        <f>ROUND(I142*H142,2)</f>
        <v>0</v>
      </c>
      <c r="K142" s="133" t="s">
        <v>520</v>
      </c>
      <c r="L142" s="31"/>
      <c r="M142" s="138" t="s">
        <v>1</v>
      </c>
      <c r="N142" s="139" t="s">
        <v>48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783</v>
      </c>
      <c r="AT142" s="142" t="s">
        <v>138</v>
      </c>
      <c r="AU142" s="142" t="s">
        <v>94</v>
      </c>
      <c r="AY142" s="15" t="s">
        <v>136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5" t="s">
        <v>91</v>
      </c>
      <c r="BK142" s="143">
        <f>ROUND(I142*H142,2)</f>
        <v>0</v>
      </c>
      <c r="BL142" s="15" t="s">
        <v>783</v>
      </c>
      <c r="BM142" s="142" t="s">
        <v>815</v>
      </c>
    </row>
    <row r="143" spans="2:65" s="12" customFormat="1">
      <c r="B143" s="144"/>
      <c r="D143" s="145" t="s">
        <v>145</v>
      </c>
      <c r="E143" s="146" t="s">
        <v>1</v>
      </c>
      <c r="F143" s="147" t="s">
        <v>153</v>
      </c>
      <c r="H143" s="148">
        <v>3</v>
      </c>
      <c r="I143" s="149"/>
      <c r="L143" s="144"/>
      <c r="M143" s="150"/>
      <c r="T143" s="151"/>
      <c r="AT143" s="146" t="s">
        <v>145</v>
      </c>
      <c r="AU143" s="146" t="s">
        <v>94</v>
      </c>
      <c r="AV143" s="12" t="s">
        <v>94</v>
      </c>
      <c r="AW143" s="12" t="s">
        <v>40</v>
      </c>
      <c r="AX143" s="12" t="s">
        <v>91</v>
      </c>
      <c r="AY143" s="146" t="s">
        <v>136</v>
      </c>
    </row>
    <row r="144" spans="2:65" s="1" customFormat="1" ht="16.5" customHeight="1">
      <c r="B144" s="31"/>
      <c r="C144" s="131" t="s">
        <v>202</v>
      </c>
      <c r="D144" s="131" t="s">
        <v>138</v>
      </c>
      <c r="E144" s="132" t="s">
        <v>816</v>
      </c>
      <c r="F144" s="133" t="s">
        <v>817</v>
      </c>
      <c r="G144" s="134" t="s">
        <v>160</v>
      </c>
      <c r="H144" s="135">
        <v>8</v>
      </c>
      <c r="I144" s="136"/>
      <c r="J144" s="137">
        <f>ROUND(I144*H144,2)</f>
        <v>0</v>
      </c>
      <c r="K144" s="133" t="s">
        <v>520</v>
      </c>
      <c r="L144" s="31"/>
      <c r="M144" s="138" t="s">
        <v>1</v>
      </c>
      <c r="N144" s="139" t="s">
        <v>48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783</v>
      </c>
      <c r="AT144" s="142" t="s">
        <v>138</v>
      </c>
      <c r="AU144" s="142" t="s">
        <v>94</v>
      </c>
      <c r="AY144" s="15" t="s">
        <v>136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5" t="s">
        <v>91</v>
      </c>
      <c r="BK144" s="143">
        <f>ROUND(I144*H144,2)</f>
        <v>0</v>
      </c>
      <c r="BL144" s="15" t="s">
        <v>783</v>
      </c>
      <c r="BM144" s="142" t="s">
        <v>818</v>
      </c>
    </row>
    <row r="145" spans="2:65" s="12" customFormat="1">
      <c r="B145" s="144"/>
      <c r="D145" s="145" t="s">
        <v>145</v>
      </c>
      <c r="E145" s="146" t="s">
        <v>1</v>
      </c>
      <c r="F145" s="147" t="s">
        <v>180</v>
      </c>
      <c r="H145" s="148">
        <v>8</v>
      </c>
      <c r="I145" s="149"/>
      <c r="L145" s="144"/>
      <c r="M145" s="150"/>
      <c r="T145" s="151"/>
      <c r="AT145" s="146" t="s">
        <v>145</v>
      </c>
      <c r="AU145" s="146" t="s">
        <v>94</v>
      </c>
      <c r="AV145" s="12" t="s">
        <v>94</v>
      </c>
      <c r="AW145" s="12" t="s">
        <v>40</v>
      </c>
      <c r="AX145" s="12" t="s">
        <v>91</v>
      </c>
      <c r="AY145" s="146" t="s">
        <v>136</v>
      </c>
    </row>
    <row r="146" spans="2:65" s="11" customFormat="1" ht="22.9" customHeight="1">
      <c r="B146" s="119"/>
      <c r="D146" s="120" t="s">
        <v>82</v>
      </c>
      <c r="E146" s="129" t="s">
        <v>819</v>
      </c>
      <c r="F146" s="129" t="s">
        <v>820</v>
      </c>
      <c r="I146" s="122"/>
      <c r="J146" s="130">
        <f>BK146</f>
        <v>0</v>
      </c>
      <c r="L146" s="119"/>
      <c r="M146" s="124"/>
      <c r="P146" s="125">
        <f>SUM(P147:P148)</f>
        <v>0</v>
      </c>
      <c r="R146" s="125">
        <f>SUM(R147:R148)</f>
        <v>0</v>
      </c>
      <c r="T146" s="126">
        <f>SUM(T147:T148)</f>
        <v>0</v>
      </c>
      <c r="AR146" s="120" t="s">
        <v>163</v>
      </c>
      <c r="AT146" s="127" t="s">
        <v>82</v>
      </c>
      <c r="AU146" s="127" t="s">
        <v>91</v>
      </c>
      <c r="AY146" s="120" t="s">
        <v>136</v>
      </c>
      <c r="BK146" s="128">
        <f>SUM(BK147:BK148)</f>
        <v>0</v>
      </c>
    </row>
    <row r="147" spans="2:65" s="1" customFormat="1" ht="24.2" customHeight="1">
      <c r="B147" s="31"/>
      <c r="C147" s="131" t="s">
        <v>8</v>
      </c>
      <c r="D147" s="131" t="s">
        <v>138</v>
      </c>
      <c r="E147" s="132" t="s">
        <v>821</v>
      </c>
      <c r="F147" s="133" t="s">
        <v>822</v>
      </c>
      <c r="G147" s="134" t="s">
        <v>782</v>
      </c>
      <c r="H147" s="135">
        <v>1</v>
      </c>
      <c r="I147" s="136"/>
      <c r="J147" s="137">
        <f>ROUND(I147*H147,2)</f>
        <v>0</v>
      </c>
      <c r="K147" s="133" t="s">
        <v>520</v>
      </c>
      <c r="L147" s="31"/>
      <c r="M147" s="138" t="s">
        <v>1</v>
      </c>
      <c r="N147" s="139" t="s">
        <v>48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783</v>
      </c>
      <c r="AT147" s="142" t="s">
        <v>138</v>
      </c>
      <c r="AU147" s="142" t="s">
        <v>94</v>
      </c>
      <c r="AY147" s="15" t="s">
        <v>136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5" t="s">
        <v>91</v>
      </c>
      <c r="BK147" s="143">
        <f>ROUND(I147*H147,2)</f>
        <v>0</v>
      </c>
      <c r="BL147" s="15" t="s">
        <v>783</v>
      </c>
      <c r="BM147" s="142" t="s">
        <v>823</v>
      </c>
    </row>
    <row r="148" spans="2:65" s="12" customFormat="1">
      <c r="B148" s="144"/>
      <c r="D148" s="145" t="s">
        <v>145</v>
      </c>
      <c r="E148" s="146" t="s">
        <v>1</v>
      </c>
      <c r="F148" s="147" t="s">
        <v>91</v>
      </c>
      <c r="H148" s="148">
        <v>1</v>
      </c>
      <c r="I148" s="149"/>
      <c r="L148" s="144"/>
      <c r="M148" s="150"/>
      <c r="T148" s="151"/>
      <c r="AT148" s="146" t="s">
        <v>145</v>
      </c>
      <c r="AU148" s="146" t="s">
        <v>94</v>
      </c>
      <c r="AV148" s="12" t="s">
        <v>94</v>
      </c>
      <c r="AW148" s="12" t="s">
        <v>40</v>
      </c>
      <c r="AX148" s="12" t="s">
        <v>91</v>
      </c>
      <c r="AY148" s="146" t="s">
        <v>136</v>
      </c>
    </row>
    <row r="149" spans="2:65" s="11" customFormat="1" ht="25.9" customHeight="1">
      <c r="B149" s="119"/>
      <c r="D149" s="120" t="s">
        <v>82</v>
      </c>
      <c r="E149" s="121" t="s">
        <v>824</v>
      </c>
      <c r="F149" s="121" t="s">
        <v>825</v>
      </c>
      <c r="I149" s="122"/>
      <c r="J149" s="123">
        <f>BK149</f>
        <v>0</v>
      </c>
      <c r="L149" s="119"/>
      <c r="M149" s="124"/>
      <c r="P149" s="125">
        <f>SUM(P150:P157)</f>
        <v>0</v>
      </c>
      <c r="R149" s="125">
        <f>SUM(R150:R157)</f>
        <v>0</v>
      </c>
      <c r="T149" s="126">
        <f>SUM(T150:T157)</f>
        <v>0</v>
      </c>
      <c r="AR149" s="120" t="s">
        <v>163</v>
      </c>
      <c r="AT149" s="127" t="s">
        <v>82</v>
      </c>
      <c r="AU149" s="127" t="s">
        <v>83</v>
      </c>
      <c r="AY149" s="120" t="s">
        <v>136</v>
      </c>
      <c r="BK149" s="128">
        <f>SUM(BK150:BK157)</f>
        <v>0</v>
      </c>
    </row>
    <row r="150" spans="2:65" s="1" customFormat="1" ht="24.2" customHeight="1">
      <c r="B150" s="31"/>
      <c r="C150" s="131" t="s">
        <v>210</v>
      </c>
      <c r="D150" s="131" t="s">
        <v>138</v>
      </c>
      <c r="E150" s="132" t="s">
        <v>826</v>
      </c>
      <c r="F150" s="133" t="s">
        <v>827</v>
      </c>
      <c r="G150" s="134" t="s">
        <v>782</v>
      </c>
      <c r="H150" s="135">
        <v>2</v>
      </c>
      <c r="I150" s="136"/>
      <c r="J150" s="137">
        <f>ROUND(I150*H150,2)</f>
        <v>0</v>
      </c>
      <c r="K150" s="133" t="s">
        <v>520</v>
      </c>
      <c r="L150" s="31"/>
      <c r="M150" s="138" t="s">
        <v>1</v>
      </c>
      <c r="N150" s="139" t="s">
        <v>48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783</v>
      </c>
      <c r="AT150" s="142" t="s">
        <v>138</v>
      </c>
      <c r="AU150" s="142" t="s">
        <v>91</v>
      </c>
      <c r="AY150" s="15" t="s">
        <v>136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5" t="s">
        <v>91</v>
      </c>
      <c r="BK150" s="143">
        <f>ROUND(I150*H150,2)</f>
        <v>0</v>
      </c>
      <c r="BL150" s="15" t="s">
        <v>783</v>
      </c>
      <c r="BM150" s="142" t="s">
        <v>828</v>
      </c>
    </row>
    <row r="151" spans="2:65" s="12" customFormat="1">
      <c r="B151" s="144"/>
      <c r="D151" s="145" t="s">
        <v>145</v>
      </c>
      <c r="E151" s="146" t="s">
        <v>1</v>
      </c>
      <c r="F151" s="147" t="s">
        <v>829</v>
      </c>
      <c r="H151" s="148">
        <v>2</v>
      </c>
      <c r="I151" s="149"/>
      <c r="L151" s="144"/>
      <c r="M151" s="150"/>
      <c r="T151" s="151"/>
      <c r="AT151" s="146" t="s">
        <v>145</v>
      </c>
      <c r="AU151" s="146" t="s">
        <v>91</v>
      </c>
      <c r="AV151" s="12" t="s">
        <v>94</v>
      </c>
      <c r="AW151" s="12" t="s">
        <v>40</v>
      </c>
      <c r="AX151" s="12" t="s">
        <v>91</v>
      </c>
      <c r="AY151" s="146" t="s">
        <v>136</v>
      </c>
    </row>
    <row r="152" spans="2:65" s="1" customFormat="1" ht="24.2" customHeight="1">
      <c r="B152" s="31"/>
      <c r="C152" s="131" t="s">
        <v>214</v>
      </c>
      <c r="D152" s="131" t="s">
        <v>138</v>
      </c>
      <c r="E152" s="132" t="s">
        <v>830</v>
      </c>
      <c r="F152" s="133" t="s">
        <v>831</v>
      </c>
      <c r="G152" s="134" t="s">
        <v>782</v>
      </c>
      <c r="H152" s="135">
        <v>2</v>
      </c>
      <c r="I152" s="136"/>
      <c r="J152" s="137">
        <f>ROUND(I152*H152,2)</f>
        <v>0</v>
      </c>
      <c r="K152" s="133" t="s">
        <v>520</v>
      </c>
      <c r="L152" s="31"/>
      <c r="M152" s="138" t="s">
        <v>1</v>
      </c>
      <c r="N152" s="139" t="s">
        <v>48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783</v>
      </c>
      <c r="AT152" s="142" t="s">
        <v>138</v>
      </c>
      <c r="AU152" s="142" t="s">
        <v>91</v>
      </c>
      <c r="AY152" s="15" t="s">
        <v>136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5" t="s">
        <v>91</v>
      </c>
      <c r="BK152" s="143">
        <f>ROUND(I152*H152,2)</f>
        <v>0</v>
      </c>
      <c r="BL152" s="15" t="s">
        <v>783</v>
      </c>
      <c r="BM152" s="142" t="s">
        <v>832</v>
      </c>
    </row>
    <row r="153" spans="2:65" s="12" customFormat="1">
      <c r="B153" s="144"/>
      <c r="D153" s="145" t="s">
        <v>145</v>
      </c>
      <c r="E153" s="146" t="s">
        <v>1</v>
      </c>
      <c r="F153" s="147" t="s">
        <v>829</v>
      </c>
      <c r="H153" s="148">
        <v>2</v>
      </c>
      <c r="I153" s="149"/>
      <c r="L153" s="144"/>
      <c r="M153" s="150"/>
      <c r="T153" s="151"/>
      <c r="AT153" s="146" t="s">
        <v>145</v>
      </c>
      <c r="AU153" s="146" t="s">
        <v>91</v>
      </c>
      <c r="AV153" s="12" t="s">
        <v>94</v>
      </c>
      <c r="AW153" s="12" t="s">
        <v>40</v>
      </c>
      <c r="AX153" s="12" t="s">
        <v>91</v>
      </c>
      <c r="AY153" s="146" t="s">
        <v>136</v>
      </c>
    </row>
    <row r="154" spans="2:65" s="1" customFormat="1" ht="24.2" customHeight="1">
      <c r="B154" s="31"/>
      <c r="C154" s="131" t="s">
        <v>219</v>
      </c>
      <c r="D154" s="131" t="s">
        <v>138</v>
      </c>
      <c r="E154" s="132" t="s">
        <v>833</v>
      </c>
      <c r="F154" s="133" t="s">
        <v>834</v>
      </c>
      <c r="G154" s="134" t="s">
        <v>782</v>
      </c>
      <c r="H154" s="135">
        <v>1</v>
      </c>
      <c r="I154" s="136"/>
      <c r="J154" s="137">
        <f>ROUND(I154*H154,2)</f>
        <v>0</v>
      </c>
      <c r="K154" s="133" t="s">
        <v>520</v>
      </c>
      <c r="L154" s="31"/>
      <c r="M154" s="138" t="s">
        <v>1</v>
      </c>
      <c r="N154" s="139" t="s">
        <v>48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783</v>
      </c>
      <c r="AT154" s="142" t="s">
        <v>138</v>
      </c>
      <c r="AU154" s="142" t="s">
        <v>91</v>
      </c>
      <c r="AY154" s="15" t="s">
        <v>136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5" t="s">
        <v>91</v>
      </c>
      <c r="BK154" s="143">
        <f>ROUND(I154*H154,2)</f>
        <v>0</v>
      </c>
      <c r="BL154" s="15" t="s">
        <v>783</v>
      </c>
      <c r="BM154" s="142" t="s">
        <v>835</v>
      </c>
    </row>
    <row r="155" spans="2:65" s="12" customFormat="1">
      <c r="B155" s="144"/>
      <c r="D155" s="145" t="s">
        <v>145</v>
      </c>
      <c r="E155" s="146" t="s">
        <v>1</v>
      </c>
      <c r="F155" s="147" t="s">
        <v>836</v>
      </c>
      <c r="H155" s="148">
        <v>1</v>
      </c>
      <c r="I155" s="149"/>
      <c r="L155" s="144"/>
      <c r="M155" s="150"/>
      <c r="T155" s="151"/>
      <c r="AT155" s="146" t="s">
        <v>145</v>
      </c>
      <c r="AU155" s="146" t="s">
        <v>91</v>
      </c>
      <c r="AV155" s="12" t="s">
        <v>94</v>
      </c>
      <c r="AW155" s="12" t="s">
        <v>40</v>
      </c>
      <c r="AX155" s="12" t="s">
        <v>91</v>
      </c>
      <c r="AY155" s="146" t="s">
        <v>136</v>
      </c>
    </row>
    <row r="156" spans="2:65" s="1" customFormat="1" ht="16.5" customHeight="1">
      <c r="B156" s="31"/>
      <c r="C156" s="131" t="s">
        <v>225</v>
      </c>
      <c r="D156" s="131" t="s">
        <v>138</v>
      </c>
      <c r="E156" s="132" t="s">
        <v>837</v>
      </c>
      <c r="F156" s="133" t="s">
        <v>838</v>
      </c>
      <c r="G156" s="134" t="s">
        <v>160</v>
      </c>
      <c r="H156" s="135">
        <v>48</v>
      </c>
      <c r="I156" s="136"/>
      <c r="J156" s="137">
        <f>ROUND(I156*H156,2)</f>
        <v>0</v>
      </c>
      <c r="K156" s="133" t="s">
        <v>520</v>
      </c>
      <c r="L156" s="31"/>
      <c r="M156" s="138" t="s">
        <v>1</v>
      </c>
      <c r="N156" s="139" t="s">
        <v>48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783</v>
      </c>
      <c r="AT156" s="142" t="s">
        <v>138</v>
      </c>
      <c r="AU156" s="142" t="s">
        <v>91</v>
      </c>
      <c r="AY156" s="15" t="s">
        <v>136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5" t="s">
        <v>91</v>
      </c>
      <c r="BK156" s="143">
        <f>ROUND(I156*H156,2)</f>
        <v>0</v>
      </c>
      <c r="BL156" s="15" t="s">
        <v>783</v>
      </c>
      <c r="BM156" s="142" t="s">
        <v>839</v>
      </c>
    </row>
    <row r="157" spans="2:65" s="12" customFormat="1">
      <c r="B157" s="144"/>
      <c r="D157" s="145" t="s">
        <v>145</v>
      </c>
      <c r="E157" s="146" t="s">
        <v>1</v>
      </c>
      <c r="F157" s="147" t="s">
        <v>840</v>
      </c>
      <c r="H157" s="148">
        <v>48</v>
      </c>
      <c r="I157" s="149"/>
      <c r="L157" s="144"/>
      <c r="M157" s="174"/>
      <c r="N157" s="175"/>
      <c r="O157" s="175"/>
      <c r="P157" s="175"/>
      <c r="Q157" s="175"/>
      <c r="R157" s="175"/>
      <c r="S157" s="175"/>
      <c r="T157" s="176"/>
      <c r="AT157" s="146" t="s">
        <v>145</v>
      </c>
      <c r="AU157" s="146" t="s">
        <v>91</v>
      </c>
      <c r="AV157" s="12" t="s">
        <v>94</v>
      </c>
      <c r="AW157" s="12" t="s">
        <v>40</v>
      </c>
      <c r="AX157" s="12" t="s">
        <v>91</v>
      </c>
      <c r="AY157" s="146" t="s">
        <v>136</v>
      </c>
    </row>
    <row r="158" spans="2:65" s="1" customFormat="1" ht="6.95" customHeight="1">
      <c r="B158" s="42"/>
      <c r="C158" s="43"/>
      <c r="D158" s="43"/>
      <c r="E158" s="43"/>
      <c r="F158" s="43"/>
      <c r="G158" s="43"/>
      <c r="H158" s="43"/>
      <c r="I158" s="43"/>
      <c r="J158" s="43"/>
      <c r="K158" s="43"/>
      <c r="L158" s="31"/>
    </row>
  </sheetData>
  <sheetProtection password="CCA7" sheet="1" objects="1" scenarios="1" formatColumns="0" formatRows="0" autoFilter="0"/>
  <autoFilter ref="C119:K157" xr:uid="{00000000-0009-0000-0000-000003000000}"/>
  <mergeCells count="9">
    <mergeCell ref="E86:H86"/>
    <mergeCell ref="E110:H110"/>
    <mergeCell ref="E112:H112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4"/>
  <sheetViews>
    <sheetView workbookViewId="0">
      <selection activeCell="R58" sqref="R58"/>
    </sheetView>
  </sheetViews>
  <sheetFormatPr defaultRowHeight="12.75"/>
  <cols>
    <col min="1" max="1" width="11" style="179" customWidth="1"/>
    <col min="2" max="7" width="9.33203125" style="179"/>
    <col min="8" max="8" width="11.33203125" style="179" customWidth="1"/>
    <col min="9" max="9" width="11.6640625" style="179" customWidth="1"/>
    <col min="10" max="10" width="13.1640625" style="179" customWidth="1"/>
    <col min="11" max="11" width="12.33203125" style="179" customWidth="1"/>
    <col min="12" max="12" width="10.83203125" style="179" customWidth="1"/>
    <col min="13" max="16384" width="9.33203125" style="179"/>
  </cols>
  <sheetData>
    <row r="1" spans="1:13">
      <c r="A1" s="177" t="s">
        <v>841</v>
      </c>
      <c r="B1" s="178" t="s">
        <v>842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13.5" thickBot="1">
      <c r="A2" s="178" t="s">
        <v>843</v>
      </c>
      <c r="B2" s="178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3.5" thickTop="1">
      <c r="A3" s="180" t="s">
        <v>844</v>
      </c>
      <c r="B3" s="181" t="s">
        <v>845</v>
      </c>
      <c r="C3" s="182"/>
      <c r="D3" s="182"/>
      <c r="E3" s="182"/>
      <c r="F3" s="180" t="s">
        <v>846</v>
      </c>
      <c r="G3" s="182"/>
      <c r="H3" s="182"/>
      <c r="I3" s="180" t="s">
        <v>847</v>
      </c>
      <c r="J3" s="182"/>
      <c r="K3" s="182"/>
      <c r="L3" s="182"/>
      <c r="M3" s="183"/>
    </row>
    <row r="4" spans="1:13">
      <c r="A4" s="184" t="s">
        <v>848</v>
      </c>
      <c r="B4" s="185" t="s">
        <v>849</v>
      </c>
      <c r="C4" s="185"/>
      <c r="D4" s="185" t="s">
        <v>850</v>
      </c>
      <c r="E4" s="185"/>
      <c r="F4" s="186"/>
      <c r="G4" s="185" t="s">
        <v>851</v>
      </c>
      <c r="H4" s="185"/>
      <c r="I4" s="186"/>
      <c r="J4" s="185"/>
      <c r="K4" s="185" t="s">
        <v>852</v>
      </c>
      <c r="L4" s="185"/>
      <c r="M4" s="187"/>
    </row>
    <row r="5" spans="1:13">
      <c r="A5" s="186"/>
      <c r="B5" s="185"/>
      <c r="C5" s="188" t="s">
        <v>853</v>
      </c>
      <c r="D5" s="185" t="s">
        <v>854</v>
      </c>
      <c r="E5" s="185" t="s">
        <v>855</v>
      </c>
      <c r="F5" s="186" t="s">
        <v>856</v>
      </c>
      <c r="G5" s="185" t="s">
        <v>857</v>
      </c>
      <c r="H5" s="185" t="s">
        <v>858</v>
      </c>
      <c r="I5" s="184" t="s">
        <v>859</v>
      </c>
      <c r="J5" s="185" t="s">
        <v>860</v>
      </c>
      <c r="K5" s="185" t="s">
        <v>861</v>
      </c>
      <c r="L5" s="185" t="s">
        <v>857</v>
      </c>
      <c r="M5" s="187" t="s">
        <v>858</v>
      </c>
    </row>
    <row r="6" spans="1:13">
      <c r="A6" s="184" t="s">
        <v>172</v>
      </c>
      <c r="B6" s="185" t="s">
        <v>172</v>
      </c>
      <c r="C6" s="188" t="s">
        <v>172</v>
      </c>
      <c r="D6" s="185" t="s">
        <v>172</v>
      </c>
      <c r="E6" s="185" t="s">
        <v>172</v>
      </c>
      <c r="F6" s="186" t="s">
        <v>141</v>
      </c>
      <c r="G6" s="185" t="s">
        <v>141</v>
      </c>
      <c r="H6" s="185" t="s">
        <v>141</v>
      </c>
      <c r="I6" s="184" t="s">
        <v>172</v>
      </c>
      <c r="J6" s="185" t="s">
        <v>183</v>
      </c>
      <c r="K6" s="185" t="s">
        <v>183</v>
      </c>
      <c r="L6" s="185" t="s">
        <v>183</v>
      </c>
      <c r="M6" s="187" t="s">
        <v>183</v>
      </c>
    </row>
    <row r="7" spans="1:13" ht="13.5" thickBot="1">
      <c r="A7" s="189"/>
      <c r="B7" s="190"/>
      <c r="C7" s="190"/>
      <c r="D7" s="190"/>
      <c r="E7" s="190"/>
      <c r="F7" s="189"/>
      <c r="G7" s="190"/>
      <c r="H7" s="190"/>
      <c r="I7" s="189"/>
      <c r="J7" s="190"/>
      <c r="K7" s="190"/>
      <c r="L7" s="190"/>
      <c r="M7" s="191"/>
    </row>
    <row r="9" spans="1:13">
      <c r="A9" s="192">
        <v>0</v>
      </c>
      <c r="B9" s="193"/>
      <c r="C9" s="192">
        <v>3.19</v>
      </c>
      <c r="D9" s="193"/>
      <c r="E9" s="193"/>
      <c r="F9" s="193"/>
      <c r="G9" s="193"/>
      <c r="H9" s="193"/>
      <c r="I9" s="194"/>
      <c r="J9" s="193"/>
      <c r="K9" s="193"/>
      <c r="L9" s="193"/>
      <c r="M9" s="193"/>
    </row>
    <row r="10" spans="1:13">
      <c r="A10" s="195"/>
      <c r="B10" s="193">
        <f>A11-A9</f>
        <v>14</v>
      </c>
      <c r="C10" s="195"/>
      <c r="D10" s="193">
        <f>C9+C11</f>
        <v>5.99</v>
      </c>
      <c r="E10" s="193">
        <f>D10/2</f>
        <v>2.9950000000000001</v>
      </c>
      <c r="F10" s="193">
        <f>IF(E10&lt;2,E10*B10,0)</f>
        <v>0</v>
      </c>
      <c r="G10" s="193">
        <f>IF((AND(E10&gt;2,E10&lt;4)),B10*E10,0)</f>
        <v>41.93</v>
      </c>
      <c r="H10" s="193">
        <f>IF((AND(E10&gt;4,E10&lt;6)),B10*E10,0)</f>
        <v>0</v>
      </c>
      <c r="I10" s="192">
        <v>1.3</v>
      </c>
      <c r="J10" s="193">
        <f>IF(E10&lt;1,B10*E10*I10,0)</f>
        <v>0</v>
      </c>
      <c r="K10" s="193">
        <f>IF((AND(E10&gt;1,E10&lt;2.5)),B10*E10*I10,0)</f>
        <v>0</v>
      </c>
      <c r="L10" s="193">
        <f>IF((AND(E10&gt;2.5,E10&lt;4)),B10*E10*I10,0)</f>
        <v>54.509</v>
      </c>
      <c r="M10" s="193">
        <f>IF((IF(E10&gt;4,E10&lt;6)),B10*E10*I10,0)</f>
        <v>0</v>
      </c>
    </row>
    <row r="11" spans="1:13">
      <c r="A11" s="192">
        <v>14</v>
      </c>
      <c r="B11" s="193"/>
      <c r="C11" s="192">
        <v>2.8</v>
      </c>
      <c r="D11" s="193"/>
      <c r="E11" s="193"/>
      <c r="F11" s="193"/>
      <c r="G11" s="193"/>
      <c r="H11" s="193"/>
      <c r="I11" s="195"/>
      <c r="J11" s="193"/>
      <c r="K11" s="193"/>
      <c r="L11" s="193"/>
      <c r="M11" s="193"/>
    </row>
    <row r="12" spans="1:13">
      <c r="A12" s="195"/>
      <c r="B12" s="193">
        <f>A13-A11</f>
        <v>12</v>
      </c>
      <c r="C12" s="195"/>
      <c r="D12" s="193">
        <f>C11+C13</f>
        <v>5.3</v>
      </c>
      <c r="E12" s="193">
        <f>D12/2</f>
        <v>2.65</v>
      </c>
      <c r="F12" s="193">
        <f>IF(E12&lt;2,E12*B12,0)</f>
        <v>0</v>
      </c>
      <c r="G12" s="193">
        <f>IF((AND(E12&gt;2,E12&lt;4)),B12*E12,0)</f>
        <v>31.799999999999997</v>
      </c>
      <c r="H12" s="193">
        <f>IF((AND(E12&gt;4,E12&lt;6)),B12*E12,0)</f>
        <v>0</v>
      </c>
      <c r="I12" s="192">
        <v>1.3</v>
      </c>
      <c r="J12" s="193">
        <f>IF(E12&lt;1,B12*E12*I12,0)</f>
        <v>0</v>
      </c>
      <c r="K12" s="193">
        <f>IF((AND(E12&gt;1,E12&lt;2.5)),B12*E12*I12,0)</f>
        <v>0</v>
      </c>
      <c r="L12" s="193">
        <f>IF((AND(E12&gt;2.5,E12&lt;4)),B12*E12*I12,0)</f>
        <v>41.339999999999996</v>
      </c>
      <c r="M12" s="193">
        <f>IF((IF(E12&gt;4,E12&lt;6)),B12*E12*I12,0)</f>
        <v>0</v>
      </c>
    </row>
    <row r="13" spans="1:13">
      <c r="A13" s="192">
        <v>26</v>
      </c>
      <c r="B13" s="193"/>
      <c r="C13" s="192">
        <v>2.5</v>
      </c>
      <c r="D13" s="193"/>
      <c r="E13" s="193"/>
      <c r="F13" s="193"/>
      <c r="G13" s="193"/>
      <c r="H13" s="193"/>
      <c r="I13" s="195"/>
      <c r="J13" s="193"/>
      <c r="K13" s="193"/>
      <c r="L13" s="193"/>
      <c r="M13" s="193"/>
    </row>
    <row r="14" spans="1:13">
      <c r="A14" s="195"/>
      <c r="B14" s="193">
        <f>A15-A13</f>
        <v>25.299999999999997</v>
      </c>
      <c r="C14" s="195"/>
      <c r="D14" s="193">
        <f>C13+C15</f>
        <v>5.77</v>
      </c>
      <c r="E14" s="193">
        <f>D14/2</f>
        <v>2.8849999999999998</v>
      </c>
      <c r="F14" s="193">
        <f>IF(E14&lt;2,E14*B14,0)</f>
        <v>0</v>
      </c>
      <c r="G14" s="193">
        <f>IF((AND(E14&gt;2,E14&lt;4)),B14*E14,0)</f>
        <v>72.990499999999983</v>
      </c>
      <c r="H14" s="193">
        <f>IF((AND(E14&gt;4,E14&lt;6)),B14*E14,0)</f>
        <v>0</v>
      </c>
      <c r="I14" s="192">
        <v>1.3</v>
      </c>
      <c r="J14" s="193">
        <f>IF(E14&lt;1,B14*E14*I14,0)</f>
        <v>0</v>
      </c>
      <c r="K14" s="193">
        <f>IF((AND(E14&gt;1,E14&lt;2.5)),B14*E14*I14,0)</f>
        <v>0</v>
      </c>
      <c r="L14" s="193">
        <f>IF((AND(E14&gt;2.5,E14&lt;4)),B14*E14*I14,0)</f>
        <v>94.887649999999979</v>
      </c>
      <c r="M14" s="193">
        <f>IF((IF(E14&gt;4,E14&lt;6)),B14*E14*I14,0)</f>
        <v>0</v>
      </c>
    </row>
    <row r="15" spans="1:13">
      <c r="A15" s="192">
        <v>51.3</v>
      </c>
      <c r="B15" s="193"/>
      <c r="C15" s="192">
        <v>3.27</v>
      </c>
      <c r="D15" s="193"/>
      <c r="E15" s="193"/>
      <c r="F15" s="193"/>
      <c r="G15" s="193"/>
      <c r="H15" s="193"/>
      <c r="I15" s="195"/>
      <c r="J15" s="193"/>
      <c r="K15" s="193"/>
      <c r="L15" s="193"/>
      <c r="M15" s="193"/>
    </row>
    <row r="16" spans="1:13">
      <c r="A16" s="195"/>
      <c r="B16" s="193">
        <f>A17-A15</f>
        <v>11</v>
      </c>
      <c r="C16" s="195"/>
      <c r="D16" s="193">
        <f>C15+C17</f>
        <v>6.7799999999999994</v>
      </c>
      <c r="E16" s="193">
        <f>D16/2</f>
        <v>3.3899999999999997</v>
      </c>
      <c r="F16" s="193">
        <f>IF(E16&lt;2,E16*B16,0)</f>
        <v>0</v>
      </c>
      <c r="G16" s="193">
        <f>IF((AND(E16&gt;2,E16&lt;4)),B16*E16,0)</f>
        <v>37.29</v>
      </c>
      <c r="H16" s="193">
        <f>IF((AND(F16&gt;2,F16&lt;4)),C16*F16,0)</f>
        <v>0</v>
      </c>
      <c r="I16" s="192">
        <v>1.3</v>
      </c>
      <c r="J16" s="193">
        <f>IF(E16&lt;1,B16*E16*I16,0)</f>
        <v>0</v>
      </c>
      <c r="K16" s="193">
        <f>IF((AND(E16&gt;1,E16&lt;2.5)),B16*E16*I16,0)</f>
        <v>0</v>
      </c>
      <c r="L16" s="193">
        <f>IF((AND(F16&gt;1,F16&lt;2.5)),C16*F16*J16,0)</f>
        <v>0</v>
      </c>
      <c r="M16" s="193">
        <f>IF((AND(G16&gt;1,G16&lt;2.5)),D16*G16*K16,0)</f>
        <v>0</v>
      </c>
    </row>
    <row r="17" spans="1:13">
      <c r="A17" s="192">
        <v>62.3</v>
      </c>
      <c r="B17" s="193"/>
      <c r="C17" s="192">
        <v>3.51</v>
      </c>
      <c r="D17" s="193"/>
      <c r="E17" s="193"/>
      <c r="F17" s="193"/>
      <c r="G17" s="193"/>
      <c r="H17" s="193"/>
      <c r="I17" s="194"/>
      <c r="J17" s="193"/>
      <c r="K17" s="193"/>
      <c r="L17" s="193"/>
      <c r="M17" s="193"/>
    </row>
    <row r="18" spans="1:13">
      <c r="A18" s="192"/>
      <c r="B18" s="193">
        <f>A19-A17</f>
        <v>37.700000000000003</v>
      </c>
      <c r="C18" s="192"/>
      <c r="D18" s="193">
        <f>C17+C19</f>
        <v>6.99</v>
      </c>
      <c r="E18" s="193">
        <f>D18/2</f>
        <v>3.4950000000000001</v>
      </c>
      <c r="F18" s="193">
        <f>IF(E18&lt;2,E18*B18,0)</f>
        <v>0</v>
      </c>
      <c r="G18" s="193">
        <f>IF((AND(E18&gt;2,E18&lt;4)),B18*E18,0)</f>
        <v>131.76150000000001</v>
      </c>
      <c r="H18" s="193">
        <f>IF((AND(F18&gt;2,F18&lt;4)),C18*F18,0)</f>
        <v>0</v>
      </c>
      <c r="I18" s="192">
        <v>1.3</v>
      </c>
      <c r="J18" s="193">
        <f>IF(E18&lt;1,B18*E18*I18,0)</f>
        <v>0</v>
      </c>
      <c r="K18" s="193">
        <f>IF((AND(E18&gt;1,E18&lt;2.5)),B18*E18*I18,0)</f>
        <v>0</v>
      </c>
      <c r="L18" s="193">
        <f>IF((AND(F18&gt;1,F18&lt;2.5)),C18*F18*J18,0)</f>
        <v>0</v>
      </c>
      <c r="M18" s="193">
        <f>IF((AND(G18&gt;1,G18&lt;2.5)),D18*G18*K18,0)</f>
        <v>0</v>
      </c>
    </row>
    <row r="19" spans="1:13">
      <c r="A19" s="192">
        <v>100</v>
      </c>
      <c r="B19" s="193"/>
      <c r="C19" s="192">
        <v>3.48</v>
      </c>
      <c r="D19" s="193"/>
      <c r="E19" s="193"/>
      <c r="F19" s="193"/>
      <c r="G19" s="193"/>
      <c r="H19" s="193"/>
      <c r="I19" s="194"/>
      <c r="J19" s="193"/>
      <c r="K19" s="193"/>
      <c r="L19" s="193"/>
      <c r="M19" s="193"/>
    </row>
    <row r="20" spans="1:13">
      <c r="A20" s="195"/>
      <c r="B20" s="193">
        <f>A21-A19</f>
        <v>8.9000000000000057</v>
      </c>
      <c r="C20" s="195"/>
      <c r="D20" s="193">
        <f>C19+C21</f>
        <v>6.95</v>
      </c>
      <c r="E20" s="193">
        <f>D20/2</f>
        <v>3.4750000000000001</v>
      </c>
      <c r="F20" s="193">
        <f>IF(E20&lt;2,E20*B20,0)</f>
        <v>0</v>
      </c>
      <c r="G20" s="193">
        <f>IF((AND(E20&gt;2,E20&lt;4)),B20*E20,0)</f>
        <v>30.92750000000002</v>
      </c>
      <c r="H20" s="193">
        <f>IF((AND(E20&gt;4,E20&lt;6)),B20*E20,0)</f>
        <v>0</v>
      </c>
      <c r="I20" s="192">
        <v>1.3</v>
      </c>
      <c r="J20" s="193">
        <f>IF(E20&lt;1,B20*E20*I20,0)</f>
        <v>0</v>
      </c>
      <c r="K20" s="193">
        <f>IF((AND(E20&gt;1,E20&lt;2.5)),B20*E20*I20,0)</f>
        <v>0</v>
      </c>
      <c r="L20" s="193">
        <f>IF((AND(E20&gt;2.5,E20&lt;4)),B20*E20*I20,0)</f>
        <v>40.20575000000003</v>
      </c>
      <c r="M20" s="193">
        <f>IF((IF(E20&gt;4,E20&lt;6)),B20*E20*I20,0)</f>
        <v>0</v>
      </c>
    </row>
    <row r="21" spans="1:13">
      <c r="A21" s="192">
        <v>108.9</v>
      </c>
      <c r="B21" s="193"/>
      <c r="C21" s="192">
        <v>3.47</v>
      </c>
      <c r="D21" s="193"/>
      <c r="E21" s="193"/>
      <c r="F21" s="193"/>
      <c r="G21" s="193"/>
      <c r="H21" s="193"/>
      <c r="I21" s="195"/>
      <c r="J21" s="193"/>
      <c r="K21" s="193"/>
      <c r="L21" s="193"/>
      <c r="M21" s="193"/>
    </row>
    <row r="22" spans="1:13">
      <c r="A22" s="195"/>
      <c r="B22" s="193">
        <f>A23-A21</f>
        <v>50</v>
      </c>
      <c r="C22" s="195"/>
      <c r="D22" s="193">
        <f>C21+C23</f>
        <v>7.49</v>
      </c>
      <c r="E22" s="193">
        <f>D22/2</f>
        <v>3.7450000000000001</v>
      </c>
      <c r="F22" s="193">
        <f>IF(E22&lt;2,E22*B22,0)</f>
        <v>0</v>
      </c>
      <c r="G22" s="193">
        <f>IF((AND(E22&gt;2,E22&lt;4)),B22*E22,0)</f>
        <v>187.25</v>
      </c>
      <c r="H22" s="193">
        <f>IF((AND(E22&gt;4,E22&lt;6)),B22*E22,0)</f>
        <v>0</v>
      </c>
      <c r="I22" s="192">
        <v>1.3</v>
      </c>
      <c r="J22" s="193">
        <f>IF(E22&lt;1,B22*E22*I22,0)</f>
        <v>0</v>
      </c>
      <c r="K22" s="193">
        <f>IF((AND(E22&gt;1,E22&lt;2.5)),B22*E22*I22,0)</f>
        <v>0</v>
      </c>
      <c r="L22" s="193">
        <f>IF((AND(E22&gt;2.5,E22&lt;4)),B22*E22*I22,0)</f>
        <v>243.42500000000001</v>
      </c>
      <c r="M22" s="193">
        <f>IF((IF(E22&gt;4,E22&lt;6)),B22*E22*I22,0)</f>
        <v>0</v>
      </c>
    </row>
    <row r="23" spans="1:13">
      <c r="A23" s="192">
        <v>158.9</v>
      </c>
      <c r="B23" s="193"/>
      <c r="C23" s="192">
        <v>4.0199999999999996</v>
      </c>
      <c r="D23" s="193"/>
      <c r="E23" s="193"/>
      <c r="F23" s="193"/>
      <c r="G23" s="193"/>
      <c r="H23" s="193"/>
      <c r="I23" s="195"/>
      <c r="J23" s="193"/>
      <c r="K23" s="193"/>
      <c r="L23" s="193"/>
      <c r="M23" s="193"/>
    </row>
    <row r="24" spans="1:13">
      <c r="A24" s="195"/>
      <c r="B24" s="193">
        <f>A25-A23</f>
        <v>31</v>
      </c>
      <c r="C24" s="195"/>
      <c r="D24" s="193">
        <f>C23+C25</f>
        <v>8.14</v>
      </c>
      <c r="E24" s="193">
        <f>D24/2</f>
        <v>4.07</v>
      </c>
      <c r="F24" s="193">
        <f>IF(E24&lt;2,E24*B24,0)</f>
        <v>0</v>
      </c>
      <c r="G24" s="193">
        <f>IF((AND(E24&gt;2,E24&lt;4)),B24*E24,0)</f>
        <v>0</v>
      </c>
      <c r="H24" s="193">
        <f>IF((AND(E24&gt;4,E24&lt;6)),B24*E24,0)</f>
        <v>126.17000000000002</v>
      </c>
      <c r="I24" s="192">
        <v>1.3</v>
      </c>
      <c r="J24" s="193">
        <f>IF(E24&lt;1,B24*E24*I24,0)</f>
        <v>0</v>
      </c>
      <c r="K24" s="193">
        <f>IF((AND(E24&gt;1,E24&lt;2.5)),B24*E24*I24,0)</f>
        <v>0</v>
      </c>
      <c r="L24" s="193">
        <f>IF((AND(E24&gt;2.5,E24&lt;4)),B24*E24*I24,0)</f>
        <v>0</v>
      </c>
      <c r="M24" s="193">
        <f>IF((IF(E24&gt;4,E24&lt;6)),B24*E24*I24,0)</f>
        <v>164.02100000000002</v>
      </c>
    </row>
    <row r="25" spans="1:13">
      <c r="A25" s="192">
        <v>189.9</v>
      </c>
      <c r="B25" s="193"/>
      <c r="C25" s="192">
        <v>4.12</v>
      </c>
      <c r="D25" s="193"/>
      <c r="E25" s="193"/>
      <c r="F25" s="193"/>
      <c r="G25" s="193"/>
      <c r="H25" s="193"/>
      <c r="I25" s="195"/>
      <c r="J25" s="193"/>
      <c r="K25" s="193"/>
      <c r="L25" s="193"/>
      <c r="M25" s="193"/>
    </row>
    <row r="26" spans="1:13">
      <c r="A26" s="195"/>
      <c r="B26" s="193">
        <f>A27-A25</f>
        <v>31</v>
      </c>
      <c r="C26" s="195"/>
      <c r="D26" s="193">
        <f>C25+C27</f>
        <v>8.2800000000000011</v>
      </c>
      <c r="E26" s="193">
        <f>D26/2</f>
        <v>4.1400000000000006</v>
      </c>
      <c r="F26" s="193">
        <f>IF(E26&lt;2,E26*B26,0)</f>
        <v>0</v>
      </c>
      <c r="G26" s="193">
        <f>IF((AND(E26&gt;2,E26&lt;4)),B26*E26,0)</f>
        <v>0</v>
      </c>
      <c r="H26" s="193">
        <f>IF((AND(E26&gt;4,E26&lt;6)),B26*E26,0)</f>
        <v>128.34000000000003</v>
      </c>
      <c r="I26" s="192">
        <v>1.3</v>
      </c>
      <c r="J26" s="193">
        <f>IF(E26&lt;1,B26*E26*I26,0)</f>
        <v>0</v>
      </c>
      <c r="K26" s="193">
        <f>IF((AND(E26&gt;1,E26&lt;2.5)),B26*E26*I26,0)</f>
        <v>0</v>
      </c>
      <c r="L26" s="193">
        <f>IF((AND(E26&gt;2.5,E26&lt;4)),B26*E26*I26,0)</f>
        <v>0</v>
      </c>
      <c r="M26" s="193">
        <f>IF((IF(E26&gt;4,E26&lt;6)),B26*E26*I26,0)</f>
        <v>166.84200000000004</v>
      </c>
    </row>
    <row r="27" spans="1:13">
      <c r="A27" s="192">
        <v>220.9</v>
      </c>
      <c r="B27" s="193"/>
      <c r="C27" s="192">
        <v>4.16</v>
      </c>
      <c r="D27" s="193"/>
      <c r="E27" s="193"/>
      <c r="F27" s="193"/>
      <c r="G27" s="193"/>
      <c r="H27" s="193"/>
      <c r="I27" s="195"/>
      <c r="J27" s="193"/>
      <c r="K27" s="193"/>
      <c r="L27" s="193"/>
      <c r="M27" s="193"/>
    </row>
    <row r="28" spans="1:13">
      <c r="A28" s="195"/>
      <c r="B28" s="193">
        <f>A29-A27</f>
        <v>25.099999999999994</v>
      </c>
      <c r="C28" s="195"/>
      <c r="D28" s="193">
        <f>C27+C29</f>
        <v>8.17</v>
      </c>
      <c r="E28" s="193">
        <f>D28/2</f>
        <v>4.085</v>
      </c>
      <c r="F28" s="193">
        <f>IF(E28&lt;2,E28*B28,0)</f>
        <v>0</v>
      </c>
      <c r="G28" s="193">
        <f>IF((AND(E28&gt;2,E28&lt;4)),B28*E28,0)</f>
        <v>0</v>
      </c>
      <c r="H28" s="193">
        <f>IF((AND(E28&gt;4,E28&lt;6)),B28*E28,0)</f>
        <v>102.53349999999998</v>
      </c>
      <c r="I28" s="192">
        <v>1.3</v>
      </c>
      <c r="J28" s="193">
        <f>IF(E28&lt;1,B28*E28*I28,0)</f>
        <v>0</v>
      </c>
      <c r="K28" s="193">
        <f>IF((AND(E28&gt;1,E28&lt;2.5)),B28*E28*I28,0)</f>
        <v>0</v>
      </c>
      <c r="L28" s="193">
        <f>IF((AND(E28&gt;2.5,E28&lt;4)),B28*E28*I28,0)</f>
        <v>0</v>
      </c>
      <c r="M28" s="193">
        <f>IF((IF(E28&gt;4,E28&lt;6)),B28*E28*I28,0)</f>
        <v>133.29354999999998</v>
      </c>
    </row>
    <row r="29" spans="1:13">
      <c r="A29" s="192">
        <v>246</v>
      </c>
      <c r="B29" s="193"/>
      <c r="C29" s="192">
        <v>4.01</v>
      </c>
      <c r="D29" s="193"/>
      <c r="E29" s="193"/>
      <c r="F29" s="193"/>
      <c r="G29" s="193"/>
      <c r="H29" s="193"/>
      <c r="I29" s="195"/>
      <c r="J29" s="193"/>
      <c r="K29" s="193"/>
      <c r="L29" s="193"/>
      <c r="M29" s="193"/>
    </row>
    <row r="30" spans="1:13">
      <c r="A30" s="195"/>
      <c r="B30" s="193">
        <f>A31-A29</f>
        <v>27.5</v>
      </c>
      <c r="C30" s="195"/>
      <c r="D30" s="193">
        <f>C29+C31</f>
        <v>7.67</v>
      </c>
      <c r="E30" s="193">
        <f>D30/2</f>
        <v>3.835</v>
      </c>
      <c r="F30" s="193">
        <f>IF(E30&lt;2,E30*B30,0)</f>
        <v>0</v>
      </c>
      <c r="G30" s="193">
        <f>IF((AND(E30&gt;2,E30&lt;4)),B30*E30,0)</f>
        <v>105.46250000000001</v>
      </c>
      <c r="H30" s="193">
        <f>IF((AND(F30&gt;2,F30&lt;4)),C30*F30,0)</f>
        <v>0</v>
      </c>
      <c r="I30" s="192">
        <v>1.3</v>
      </c>
      <c r="J30" s="193">
        <f>IF(E30&lt;1,B30*E30*I30,0)</f>
        <v>0</v>
      </c>
      <c r="K30" s="193">
        <f>IF((AND(E30&gt;1,E30&lt;2.5)),B30*E30*I30,0)</f>
        <v>0</v>
      </c>
      <c r="L30" s="193">
        <f>IF((AND(F30&gt;1,F30&lt;2.5)),C30*F30*J30,0)</f>
        <v>0</v>
      </c>
      <c r="M30" s="193">
        <f>IF((AND(G30&gt;1,G30&lt;2.5)),D30*G30*K30,0)</f>
        <v>0</v>
      </c>
    </row>
    <row r="31" spans="1:13">
      <c r="A31" s="192">
        <v>273.5</v>
      </c>
      <c r="B31" s="193"/>
      <c r="C31" s="192">
        <v>3.66</v>
      </c>
      <c r="D31" s="193"/>
      <c r="E31" s="193"/>
      <c r="F31" s="193"/>
      <c r="G31" s="193"/>
      <c r="H31" s="193"/>
      <c r="I31" s="194"/>
      <c r="J31" s="193"/>
      <c r="K31" s="193"/>
      <c r="L31" s="193"/>
      <c r="M31" s="193"/>
    </row>
    <row r="32" spans="1:13">
      <c r="A32" s="192"/>
      <c r="B32" s="193">
        <f>A33-A31</f>
        <v>27.5</v>
      </c>
      <c r="C32" s="192"/>
      <c r="D32" s="193">
        <f>C31+C33</f>
        <v>6.61</v>
      </c>
      <c r="E32" s="193">
        <f>D32/2</f>
        <v>3.3050000000000002</v>
      </c>
      <c r="F32" s="193">
        <f>IF(E32&lt;2,E32*B32,0)</f>
        <v>0</v>
      </c>
      <c r="G32" s="193">
        <f>IF((AND(E32&gt;2,E32&lt;4)),B32*E32,0)</f>
        <v>90.887500000000003</v>
      </c>
      <c r="H32" s="193">
        <f>IF((AND(F32&gt;2,F32&lt;4)),C32*F32,0)</f>
        <v>0</v>
      </c>
      <c r="I32" s="192">
        <v>1.3</v>
      </c>
      <c r="J32" s="193">
        <f>IF(E32&lt;1,B32*E32*I32,0)</f>
        <v>0</v>
      </c>
      <c r="K32" s="193">
        <f>IF((AND(E32&gt;1,E32&lt;2.5)),B32*E32*I32,0)</f>
        <v>0</v>
      </c>
      <c r="L32" s="193">
        <f>IF((AND(F32&gt;1,F32&lt;2.5)),C32*F32*J32,0)</f>
        <v>0</v>
      </c>
      <c r="M32" s="193">
        <f>IF((AND(G32&gt;1,G32&lt;2.5)),D32*G32*K32,0)</f>
        <v>0</v>
      </c>
    </row>
    <row r="33" spans="1:14">
      <c r="A33" s="192">
        <v>301</v>
      </c>
      <c r="B33" s="193"/>
      <c r="C33" s="192">
        <v>2.95</v>
      </c>
      <c r="D33" s="193"/>
      <c r="E33" s="193"/>
      <c r="F33" s="193"/>
      <c r="G33" s="193"/>
      <c r="H33" s="193"/>
      <c r="I33" s="194"/>
      <c r="J33" s="193"/>
      <c r="K33" s="193"/>
      <c r="L33" s="193"/>
      <c r="M33" s="193"/>
    </row>
    <row r="34" spans="1:14">
      <c r="A34" s="196"/>
      <c r="C34" s="196"/>
      <c r="F34" s="179">
        <f>SUM(F9:F33)</f>
        <v>0</v>
      </c>
      <c r="G34" s="179">
        <f>SUM(G9:G33)</f>
        <v>730.29949999999997</v>
      </c>
      <c r="H34" s="179">
        <f>SUM(H9:H33)</f>
        <v>357.04349999999999</v>
      </c>
      <c r="J34" s="179">
        <f>SUM(J9:J33)</f>
        <v>0</v>
      </c>
      <c r="K34" s="179">
        <f>SUM(K9:K33)</f>
        <v>0</v>
      </c>
      <c r="L34" s="179">
        <f>SUM(L9:L33)</f>
        <v>474.36739999999998</v>
      </c>
      <c r="M34" s="179">
        <f>SUM(M9:M33)</f>
        <v>464.15655000000004</v>
      </c>
    </row>
    <row r="35" spans="1:14">
      <c r="A35" s="197" t="s">
        <v>862</v>
      </c>
      <c r="F35" s="179">
        <f>F34*2</f>
        <v>0</v>
      </c>
      <c r="G35" s="179">
        <f>G34*2</f>
        <v>1460.5989999999999</v>
      </c>
      <c r="H35" s="179">
        <f>H34*2</f>
        <v>714.08699999999999</v>
      </c>
      <c r="I35" s="177"/>
      <c r="M35" s="198">
        <f>J34+K34+L34+M34</f>
        <v>938.52395000000001</v>
      </c>
    </row>
    <row r="36" spans="1:14">
      <c r="H36" s="197">
        <f>F35+G35+H35</f>
        <v>2174.6859999999997</v>
      </c>
      <c r="I36" s="177"/>
      <c r="M36" s="177"/>
    </row>
    <row r="37" spans="1:14">
      <c r="H37" s="177"/>
      <c r="I37" s="177"/>
      <c r="M37" s="177"/>
    </row>
    <row r="38" spans="1:14">
      <c r="H38" s="177"/>
      <c r="I38" s="177"/>
      <c r="M38" s="177"/>
    </row>
    <row r="39" spans="1:14">
      <c r="H39" s="177"/>
      <c r="I39" s="177"/>
      <c r="M39" s="177"/>
    </row>
    <row r="40" spans="1:14">
      <c r="H40" s="177"/>
      <c r="I40" s="177"/>
      <c r="M40" s="177"/>
    </row>
    <row r="41" spans="1:14">
      <c r="H41" s="177"/>
      <c r="I41" s="177"/>
      <c r="M41" s="177"/>
    </row>
    <row r="42" spans="1:14">
      <c r="I42" s="177"/>
      <c r="M42" s="177"/>
    </row>
    <row r="43" spans="1:14">
      <c r="I43" s="177"/>
      <c r="M43" s="177"/>
    </row>
    <row r="44" spans="1:14" ht="13.5" thickBot="1">
      <c r="A44" s="178" t="s">
        <v>863</v>
      </c>
      <c r="H44" s="178" t="s">
        <v>864</v>
      </c>
      <c r="L44" s="178" t="s">
        <v>865</v>
      </c>
    </row>
    <row r="45" spans="1:14" ht="13.5" thickTop="1">
      <c r="A45" s="199" t="s">
        <v>866</v>
      </c>
      <c r="B45" s="200"/>
      <c r="C45" s="200" t="s">
        <v>867</v>
      </c>
      <c r="D45" s="200"/>
      <c r="E45" s="201" t="s">
        <v>868</v>
      </c>
      <c r="F45" s="202"/>
      <c r="H45" s="203" t="s">
        <v>869</v>
      </c>
      <c r="I45" s="200" t="s">
        <v>870</v>
      </c>
      <c r="J45" s="204" t="s">
        <v>868</v>
      </c>
      <c r="L45" s="203" t="s">
        <v>871</v>
      </c>
      <c r="M45" s="200" t="s">
        <v>870</v>
      </c>
      <c r="N45" s="202" t="s">
        <v>872</v>
      </c>
    </row>
    <row r="46" spans="1:14" ht="13.5" thickBot="1">
      <c r="A46" s="205"/>
      <c r="B46" s="206"/>
      <c r="C46" s="206" t="s">
        <v>172</v>
      </c>
      <c r="D46" s="206"/>
      <c r="E46" s="206" t="s">
        <v>183</v>
      </c>
      <c r="F46" s="207"/>
      <c r="H46" s="205" t="s">
        <v>141</v>
      </c>
      <c r="I46" s="206" t="s">
        <v>172</v>
      </c>
      <c r="J46" s="207" t="s">
        <v>183</v>
      </c>
      <c r="L46" s="205" t="s">
        <v>873</v>
      </c>
      <c r="M46" s="206" t="s">
        <v>172</v>
      </c>
      <c r="N46" s="207" t="s">
        <v>183</v>
      </c>
    </row>
    <row r="47" spans="1:14" ht="13.5" thickTop="1">
      <c r="A47" s="208">
        <v>7919</v>
      </c>
      <c r="B47" s="208"/>
      <c r="C47" s="208">
        <v>3.19</v>
      </c>
      <c r="D47" s="208"/>
      <c r="E47" s="208">
        <f t="shared" ref="E47:E59" si="0">2*0.7*1.3*C47</f>
        <v>5.8057999999999996</v>
      </c>
      <c r="F47" s="208"/>
      <c r="H47" s="200">
        <f>0.2*0.2</f>
        <v>4.0000000000000008E-2</v>
      </c>
      <c r="I47" s="200">
        <v>301</v>
      </c>
      <c r="J47" s="200">
        <f>H47*I47</f>
        <v>12.040000000000003</v>
      </c>
      <c r="L47" s="209">
        <v>300</v>
      </c>
      <c r="M47" s="208">
        <v>0</v>
      </c>
      <c r="N47" s="210">
        <f>(3.14*0.17*0.17)*M47</f>
        <v>0</v>
      </c>
    </row>
    <row r="48" spans="1:14">
      <c r="A48" s="210" t="s">
        <v>874</v>
      </c>
      <c r="B48" s="210"/>
      <c r="C48" s="210">
        <v>2.8</v>
      </c>
      <c r="D48" s="210"/>
      <c r="E48" s="208">
        <f t="shared" si="0"/>
        <v>5.0959999999999992</v>
      </c>
      <c r="F48" s="210"/>
      <c r="H48" s="210"/>
      <c r="I48" s="210"/>
      <c r="J48" s="210"/>
      <c r="L48" s="211">
        <v>400</v>
      </c>
      <c r="M48" s="210">
        <v>301</v>
      </c>
      <c r="N48" s="210">
        <f>(3.14*0.23*0.23)*M48</f>
        <v>49.997906000000008</v>
      </c>
    </row>
    <row r="49" spans="1:14">
      <c r="A49" s="210" t="s">
        <v>875</v>
      </c>
      <c r="B49" s="210"/>
      <c r="C49" s="210">
        <v>2.5</v>
      </c>
      <c r="D49" s="210"/>
      <c r="E49" s="208">
        <f t="shared" si="0"/>
        <v>4.55</v>
      </c>
      <c r="F49" s="210"/>
      <c r="H49" s="210"/>
      <c r="I49" s="210"/>
      <c r="J49" s="210"/>
      <c r="L49" s="211">
        <v>500</v>
      </c>
      <c r="M49" s="210">
        <v>0</v>
      </c>
      <c r="N49" s="210">
        <f>(3.14*0.26*0.26)*M49</f>
        <v>0</v>
      </c>
    </row>
    <row r="50" spans="1:14">
      <c r="A50" s="210" t="s">
        <v>876</v>
      </c>
      <c r="B50" s="210"/>
      <c r="C50" s="210">
        <v>3.27</v>
      </c>
      <c r="D50" s="210"/>
      <c r="E50" s="208">
        <f t="shared" si="0"/>
        <v>5.9513999999999996</v>
      </c>
      <c r="F50" s="210"/>
      <c r="H50" s="210"/>
      <c r="I50" s="210"/>
      <c r="J50" s="210"/>
      <c r="L50" s="211">
        <v>600</v>
      </c>
      <c r="M50" s="210">
        <v>0</v>
      </c>
      <c r="N50" s="210">
        <f>(3.14*0.32*0.32)*M50</f>
        <v>0</v>
      </c>
    </row>
    <row r="51" spans="1:14">
      <c r="A51" s="210" t="s">
        <v>877</v>
      </c>
      <c r="B51" s="210"/>
      <c r="C51" s="210">
        <v>3.51</v>
      </c>
      <c r="D51" s="210"/>
      <c r="E51" s="208">
        <f t="shared" si="0"/>
        <v>6.3881999999999994</v>
      </c>
      <c r="F51" s="210"/>
      <c r="H51" s="210"/>
      <c r="I51" s="210"/>
      <c r="J51" s="210"/>
      <c r="L51" s="211"/>
      <c r="M51" s="210"/>
      <c r="N51" s="210"/>
    </row>
    <row r="52" spans="1:14">
      <c r="A52" s="210" t="s">
        <v>878</v>
      </c>
      <c r="B52" s="210"/>
      <c r="C52" s="210">
        <v>3.47</v>
      </c>
      <c r="D52" s="210"/>
      <c r="E52" s="208">
        <f t="shared" si="0"/>
        <v>6.3153999999999995</v>
      </c>
      <c r="F52" s="210"/>
      <c r="H52" s="210"/>
      <c r="I52" s="210"/>
      <c r="J52" s="210"/>
      <c r="L52" s="210"/>
      <c r="M52" s="210"/>
      <c r="N52" s="210"/>
    </row>
    <row r="53" spans="1:14">
      <c r="A53" s="210" t="s">
        <v>879</v>
      </c>
      <c r="B53" s="210"/>
      <c r="C53" s="210">
        <v>4.0199999999999996</v>
      </c>
      <c r="D53" s="210"/>
      <c r="E53" s="208">
        <f t="shared" si="0"/>
        <v>7.3163999999999989</v>
      </c>
      <c r="F53" s="210"/>
      <c r="H53" s="210"/>
      <c r="I53" s="210"/>
      <c r="J53" s="210"/>
      <c r="L53" s="210"/>
      <c r="M53" s="210"/>
      <c r="N53" s="210"/>
    </row>
    <row r="54" spans="1:14">
      <c r="A54" s="210" t="s">
        <v>880</v>
      </c>
      <c r="B54" s="210"/>
      <c r="C54" s="210">
        <v>4.12</v>
      </c>
      <c r="D54" s="210"/>
      <c r="E54" s="208">
        <f t="shared" si="0"/>
        <v>7.4983999999999993</v>
      </c>
      <c r="F54" s="210"/>
      <c r="H54" s="210"/>
      <c r="I54" s="210"/>
      <c r="J54" s="210"/>
      <c r="L54" s="210"/>
      <c r="M54" s="210"/>
      <c r="N54" s="210"/>
    </row>
    <row r="55" spans="1:14">
      <c r="A55" s="210" t="s">
        <v>881</v>
      </c>
      <c r="B55" s="210"/>
      <c r="C55" s="210">
        <v>4.16</v>
      </c>
      <c r="D55" s="210"/>
      <c r="E55" s="208">
        <f t="shared" si="0"/>
        <v>7.5711999999999993</v>
      </c>
      <c r="F55" s="210"/>
      <c r="H55" s="210"/>
      <c r="I55" s="210"/>
      <c r="J55" s="210"/>
      <c r="L55" s="210"/>
      <c r="M55" s="210"/>
      <c r="N55" s="210"/>
    </row>
    <row r="56" spans="1:14">
      <c r="A56" s="210" t="s">
        <v>882</v>
      </c>
      <c r="B56" s="210"/>
      <c r="C56" s="210">
        <v>4.01</v>
      </c>
      <c r="D56" s="210"/>
      <c r="E56" s="208">
        <f t="shared" si="0"/>
        <v>7.2981999999999987</v>
      </c>
      <c r="F56" s="210"/>
      <c r="H56" s="210"/>
      <c r="I56" s="210"/>
      <c r="J56" s="210"/>
      <c r="L56" s="210"/>
      <c r="M56" s="210"/>
      <c r="N56" s="210"/>
    </row>
    <row r="57" spans="1:14">
      <c r="A57" s="210" t="s">
        <v>883</v>
      </c>
      <c r="B57" s="210"/>
      <c r="C57" s="210">
        <v>3.66</v>
      </c>
      <c r="D57" s="210"/>
      <c r="E57" s="208">
        <f t="shared" si="0"/>
        <v>6.6612</v>
      </c>
      <c r="F57" s="210"/>
      <c r="H57" s="210"/>
      <c r="I57" s="210"/>
      <c r="J57" s="210"/>
      <c r="L57" s="210"/>
      <c r="M57" s="210"/>
      <c r="N57" s="210"/>
    </row>
    <row r="58" spans="1:14">
      <c r="A58" s="210" t="s">
        <v>884</v>
      </c>
      <c r="B58" s="210"/>
      <c r="C58" s="210">
        <v>2.95</v>
      </c>
      <c r="D58" s="210"/>
      <c r="E58" s="208">
        <f t="shared" si="0"/>
        <v>5.3689999999999998</v>
      </c>
      <c r="F58" s="210"/>
      <c r="H58" s="210"/>
      <c r="I58" s="210"/>
      <c r="J58" s="210"/>
      <c r="L58" s="210"/>
      <c r="M58" s="210"/>
      <c r="N58" s="210"/>
    </row>
    <row r="59" spans="1:14">
      <c r="A59" s="210"/>
      <c r="B59" s="210"/>
      <c r="C59" s="210"/>
      <c r="D59" s="210"/>
      <c r="E59" s="208">
        <f t="shared" si="0"/>
        <v>0</v>
      </c>
      <c r="F59" s="210"/>
      <c r="H59" s="210"/>
      <c r="I59" s="210"/>
      <c r="J59" s="210"/>
      <c r="L59" s="210"/>
      <c r="M59" s="210"/>
      <c r="N59" s="210"/>
    </row>
    <row r="60" spans="1:14">
      <c r="A60" s="210"/>
      <c r="B60" s="210"/>
      <c r="C60" s="210"/>
      <c r="D60" s="210"/>
      <c r="E60" s="210"/>
      <c r="F60" s="210"/>
      <c r="H60" s="210"/>
      <c r="I60" s="210"/>
      <c r="J60" s="210"/>
      <c r="L60" s="210"/>
      <c r="M60" s="210"/>
      <c r="N60" s="210"/>
    </row>
    <row r="61" spans="1:14">
      <c r="A61" s="197" t="s">
        <v>862</v>
      </c>
      <c r="B61" s="210"/>
      <c r="C61" s="210"/>
      <c r="D61" s="210"/>
      <c r="E61" s="197">
        <f>SUM(E47:E59)</f>
        <v>75.82119999999999</v>
      </c>
      <c r="F61" s="210"/>
      <c r="H61" s="197" t="s">
        <v>862</v>
      </c>
      <c r="I61" s="210"/>
      <c r="J61" s="197">
        <f>SUM(J47:J54)</f>
        <v>12.040000000000003</v>
      </c>
      <c r="L61" s="197" t="s">
        <v>862</v>
      </c>
      <c r="M61" s="210"/>
      <c r="N61" s="197">
        <f>SUM(N47:N54)</f>
        <v>49.997906000000008</v>
      </c>
    </row>
    <row r="63" spans="1:14">
      <c r="A63" s="178" t="s">
        <v>885</v>
      </c>
      <c r="C63" s="212">
        <f>M35+E61+J61</f>
        <v>1026.3851500000001</v>
      </c>
      <c r="D63" s="178" t="s">
        <v>183</v>
      </c>
      <c r="E63" s="213" t="s">
        <v>886</v>
      </c>
    </row>
    <row r="64" spans="1:14">
      <c r="C64" s="212">
        <f>M35+E61+J61-N61</f>
        <v>976.38724400000001</v>
      </c>
      <c r="D64" s="178" t="s">
        <v>183</v>
      </c>
      <c r="E64" s="213" t="s">
        <v>887</v>
      </c>
    </row>
  </sheetData>
  <sheetProtection password="CCA7" sheet="1" objects="1" scenario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"/>
  <sheetViews>
    <sheetView workbookViewId="0">
      <selection activeCell="M57" sqref="M57"/>
    </sheetView>
  </sheetViews>
  <sheetFormatPr defaultRowHeight="12.75"/>
  <cols>
    <col min="1" max="8" width="9.33203125" style="179"/>
    <col min="9" max="9" width="11.6640625" style="179" customWidth="1"/>
    <col min="10" max="10" width="13.1640625" style="179" customWidth="1"/>
    <col min="11" max="11" width="12.33203125" style="179" customWidth="1"/>
    <col min="12" max="16384" width="9.33203125" style="179"/>
  </cols>
  <sheetData>
    <row r="1" spans="1:13">
      <c r="A1" s="177" t="s">
        <v>841</v>
      </c>
      <c r="B1" s="178" t="s">
        <v>842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13.5" thickBot="1">
      <c r="A2" s="178" t="s">
        <v>888</v>
      </c>
      <c r="B2" s="178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3.5" thickTop="1">
      <c r="A3" s="180" t="s">
        <v>844</v>
      </c>
      <c r="B3" s="181" t="s">
        <v>845</v>
      </c>
      <c r="C3" s="182"/>
      <c r="D3" s="182"/>
      <c r="E3" s="182"/>
      <c r="F3" s="180" t="s">
        <v>846</v>
      </c>
      <c r="G3" s="182"/>
      <c r="H3" s="182"/>
      <c r="I3" s="180" t="s">
        <v>847</v>
      </c>
      <c r="J3" s="182"/>
      <c r="K3" s="182"/>
      <c r="L3" s="182"/>
      <c r="M3" s="183"/>
    </row>
    <row r="4" spans="1:13">
      <c r="A4" s="184" t="s">
        <v>848</v>
      </c>
      <c r="B4" s="185" t="s">
        <v>849</v>
      </c>
      <c r="C4" s="185"/>
      <c r="D4" s="185" t="s">
        <v>850</v>
      </c>
      <c r="E4" s="185"/>
      <c r="F4" s="186"/>
      <c r="G4" s="185" t="s">
        <v>851</v>
      </c>
      <c r="H4" s="185"/>
      <c r="I4" s="186"/>
      <c r="J4" s="185"/>
      <c r="K4" s="185" t="s">
        <v>852</v>
      </c>
      <c r="L4" s="185"/>
      <c r="M4" s="187"/>
    </row>
    <row r="5" spans="1:13">
      <c r="A5" s="186"/>
      <c r="B5" s="185"/>
      <c r="C5" s="188" t="s">
        <v>853</v>
      </c>
      <c r="D5" s="185" t="s">
        <v>854</v>
      </c>
      <c r="E5" s="185" t="s">
        <v>855</v>
      </c>
      <c r="F5" s="186" t="s">
        <v>856</v>
      </c>
      <c r="G5" s="185" t="s">
        <v>857</v>
      </c>
      <c r="H5" s="185" t="s">
        <v>858</v>
      </c>
      <c r="I5" s="184" t="s">
        <v>859</v>
      </c>
      <c r="J5" s="185" t="s">
        <v>860</v>
      </c>
      <c r="K5" s="185" t="s">
        <v>861</v>
      </c>
      <c r="L5" s="185" t="s">
        <v>857</v>
      </c>
      <c r="M5" s="187" t="s">
        <v>858</v>
      </c>
    </row>
    <row r="6" spans="1:13">
      <c r="A6" s="184" t="s">
        <v>172</v>
      </c>
      <c r="B6" s="185" t="s">
        <v>172</v>
      </c>
      <c r="C6" s="188" t="s">
        <v>172</v>
      </c>
      <c r="D6" s="185" t="s">
        <v>172</v>
      </c>
      <c r="E6" s="185" t="s">
        <v>172</v>
      </c>
      <c r="F6" s="186" t="s">
        <v>141</v>
      </c>
      <c r="G6" s="185" t="s">
        <v>141</v>
      </c>
      <c r="H6" s="185" t="s">
        <v>141</v>
      </c>
      <c r="I6" s="184" t="s">
        <v>172</v>
      </c>
      <c r="J6" s="185" t="s">
        <v>183</v>
      </c>
      <c r="K6" s="185" t="s">
        <v>183</v>
      </c>
      <c r="L6" s="185" t="s">
        <v>183</v>
      </c>
      <c r="M6" s="187" t="s">
        <v>183</v>
      </c>
    </row>
    <row r="7" spans="1:13" ht="13.5" thickBot="1">
      <c r="A7" s="189"/>
      <c r="B7" s="190"/>
      <c r="C7" s="190"/>
      <c r="D7" s="190"/>
      <c r="E7" s="190"/>
      <c r="F7" s="189"/>
      <c r="G7" s="190"/>
      <c r="H7" s="190"/>
      <c r="I7" s="189"/>
      <c r="J7" s="190"/>
      <c r="K7" s="190"/>
      <c r="L7" s="190"/>
      <c r="M7" s="191"/>
    </row>
    <row r="9" spans="1:13">
      <c r="A9" s="192">
        <v>0</v>
      </c>
      <c r="B9" s="193"/>
      <c r="C9" s="192">
        <v>4.16</v>
      </c>
      <c r="D9" s="193"/>
      <c r="E9" s="193"/>
      <c r="F9" s="193"/>
      <c r="G9" s="193"/>
      <c r="H9" s="193"/>
      <c r="I9" s="194"/>
      <c r="J9" s="193"/>
      <c r="K9" s="193"/>
      <c r="L9" s="193"/>
      <c r="M9" s="193"/>
    </row>
    <row r="10" spans="1:13">
      <c r="A10" s="195"/>
      <c r="B10" s="193">
        <f>A11-A9</f>
        <v>6</v>
      </c>
      <c r="C10" s="195"/>
      <c r="D10" s="193">
        <f>C9+C11</f>
        <v>7.78</v>
      </c>
      <c r="E10" s="193">
        <f>D10/2</f>
        <v>3.89</v>
      </c>
      <c r="F10" s="193">
        <f>IF(E10&lt;2,E10*B10,0)</f>
        <v>0</v>
      </c>
      <c r="G10" s="193">
        <f>IF((AND(E10&gt;2,E10&lt;4)),B10*E10,0)</f>
        <v>23.34</v>
      </c>
      <c r="H10" s="193">
        <f>IF((AND(E10&gt;4,E10&lt;6)),B10*E10,0)</f>
        <v>0</v>
      </c>
      <c r="I10" s="192">
        <v>1.3</v>
      </c>
      <c r="J10" s="193">
        <f>IF(E10&lt;1,B10*E10*I10,0)</f>
        <v>0</v>
      </c>
      <c r="K10" s="193">
        <f>IF((AND(E10&gt;1,E10&lt;2.5)),B10*E10*I10,0)</f>
        <v>0</v>
      </c>
      <c r="L10" s="193">
        <f>IF((AND(E10&gt;2.5,E10&lt;4)),B10*E10*I10,0)</f>
        <v>30.342000000000002</v>
      </c>
      <c r="M10" s="193">
        <f>IF((IF(E10&gt;4,E10&lt;6)),B10*E10*I10,0)</f>
        <v>0</v>
      </c>
    </row>
    <row r="11" spans="1:13">
      <c r="A11" s="192">
        <v>6</v>
      </c>
      <c r="B11" s="193"/>
      <c r="C11" s="192">
        <v>3.62</v>
      </c>
      <c r="D11" s="193"/>
      <c r="E11" s="193"/>
      <c r="F11" s="193"/>
      <c r="G11" s="193"/>
      <c r="H11" s="193"/>
      <c r="I11" s="195"/>
      <c r="J11" s="193"/>
      <c r="K11" s="193"/>
      <c r="L11" s="193"/>
      <c r="M11" s="193"/>
    </row>
    <row r="12" spans="1:13">
      <c r="A12" s="195"/>
      <c r="B12" s="193">
        <f>A13-A11</f>
        <v>46.1</v>
      </c>
      <c r="C12" s="195"/>
      <c r="D12" s="193">
        <f>C11+C13</f>
        <v>4.96</v>
      </c>
      <c r="E12" s="193">
        <f>D12/2</f>
        <v>2.48</v>
      </c>
      <c r="F12" s="193">
        <f>IF(E12&lt;2,E12*B12,0)</f>
        <v>0</v>
      </c>
      <c r="G12" s="193">
        <f>IF((AND(E12&gt;2,E12&lt;4)),B12*E12,0)</f>
        <v>114.328</v>
      </c>
      <c r="H12" s="193">
        <f>IF((AND(E12&gt;4,E12&lt;6)),B12*E12,0)</f>
        <v>0</v>
      </c>
      <c r="I12" s="192">
        <v>1.3</v>
      </c>
      <c r="J12" s="193">
        <f>IF(E12&lt;1,B12*E12*I12,0)</f>
        <v>0</v>
      </c>
      <c r="K12" s="193">
        <f>IF((AND(E12&gt;1,E12&lt;2.5)),B12*E12*I12,0)</f>
        <v>148.62640000000002</v>
      </c>
      <c r="L12" s="193">
        <f>IF((AND(E12&gt;2.5,E12&lt;4)),B12*E12*I12,0)</f>
        <v>0</v>
      </c>
      <c r="M12" s="193">
        <f>IF((IF(E12&gt;4,E12&lt;6)),B12*E12*I12,0)</f>
        <v>0</v>
      </c>
    </row>
    <row r="13" spans="1:13">
      <c r="A13" s="192">
        <v>52.1</v>
      </c>
      <c r="B13" s="193"/>
      <c r="C13" s="192">
        <v>1.34</v>
      </c>
      <c r="D13" s="193"/>
      <c r="E13" s="193"/>
      <c r="F13" s="193"/>
      <c r="G13" s="193"/>
      <c r="H13" s="193"/>
      <c r="I13" s="195"/>
      <c r="J13" s="193"/>
      <c r="K13" s="193"/>
      <c r="L13" s="193"/>
      <c r="M13" s="193"/>
    </row>
    <row r="14" spans="1:13">
      <c r="A14" s="196"/>
      <c r="C14" s="196"/>
      <c r="F14" s="179">
        <f>SUM(F9:F13)</f>
        <v>0</v>
      </c>
      <c r="G14" s="179">
        <f>SUM(G9:G13)</f>
        <v>137.66800000000001</v>
      </c>
      <c r="H14" s="179">
        <f>SUM(H9:H13)</f>
        <v>0</v>
      </c>
      <c r="J14" s="179">
        <f>SUM(J9:J13)</f>
        <v>0</v>
      </c>
      <c r="K14" s="179">
        <f>SUM(K9:K13)</f>
        <v>148.62640000000002</v>
      </c>
      <c r="L14" s="179">
        <f>SUM(L9:L13)</f>
        <v>30.342000000000002</v>
      </c>
      <c r="M14" s="179">
        <f>SUM(M9:M13)</f>
        <v>0</v>
      </c>
    </row>
    <row r="15" spans="1:13">
      <c r="A15" s="197" t="s">
        <v>862</v>
      </c>
      <c r="F15" s="179">
        <f>F14*2</f>
        <v>0</v>
      </c>
      <c r="G15" s="179">
        <f>G14*2</f>
        <v>275.33600000000001</v>
      </c>
      <c r="H15" s="179">
        <f>H14*2</f>
        <v>0</v>
      </c>
      <c r="I15" s="177"/>
      <c r="M15" s="198">
        <f>J14+K14+L14+M14</f>
        <v>178.96840000000003</v>
      </c>
    </row>
    <row r="16" spans="1:13">
      <c r="H16" s="197">
        <f>F15+G15+H15</f>
        <v>275.33600000000001</v>
      </c>
      <c r="I16" s="177"/>
      <c r="M16" s="177"/>
    </row>
    <row r="17" spans="1:14">
      <c r="I17" s="177"/>
      <c r="M17" s="177"/>
    </row>
    <row r="18" spans="1:14">
      <c r="I18" s="177"/>
      <c r="M18" s="177"/>
    </row>
    <row r="19" spans="1:14" ht="13.5" thickBot="1">
      <c r="A19" s="178" t="s">
        <v>863</v>
      </c>
      <c r="H19" s="178" t="s">
        <v>864</v>
      </c>
      <c r="L19" s="178" t="s">
        <v>865</v>
      </c>
    </row>
    <row r="20" spans="1:14" ht="13.5" thickTop="1">
      <c r="A20" s="199" t="s">
        <v>866</v>
      </c>
      <c r="B20" s="200"/>
      <c r="C20" s="200" t="s">
        <v>867</v>
      </c>
      <c r="D20" s="200"/>
      <c r="E20" s="201" t="s">
        <v>868</v>
      </c>
      <c r="F20" s="202"/>
      <c r="H20" s="203" t="s">
        <v>869</v>
      </c>
      <c r="I20" s="200" t="s">
        <v>870</v>
      </c>
      <c r="J20" s="204" t="s">
        <v>868</v>
      </c>
      <c r="L20" s="203" t="s">
        <v>871</v>
      </c>
      <c r="M20" s="200" t="s">
        <v>870</v>
      </c>
      <c r="N20" s="202" t="s">
        <v>872</v>
      </c>
    </row>
    <row r="21" spans="1:14" ht="13.5" thickBot="1">
      <c r="A21" s="205"/>
      <c r="B21" s="206"/>
      <c r="C21" s="206" t="s">
        <v>172</v>
      </c>
      <c r="D21" s="206"/>
      <c r="E21" s="206" t="s">
        <v>183</v>
      </c>
      <c r="F21" s="207"/>
      <c r="H21" s="205" t="s">
        <v>141</v>
      </c>
      <c r="I21" s="206" t="s">
        <v>172</v>
      </c>
      <c r="J21" s="207" t="s">
        <v>183</v>
      </c>
      <c r="L21" s="205" t="s">
        <v>873</v>
      </c>
      <c r="M21" s="206" t="s">
        <v>172</v>
      </c>
      <c r="N21" s="207" t="s">
        <v>183</v>
      </c>
    </row>
    <row r="22" spans="1:14" ht="13.5" thickTop="1">
      <c r="A22" s="208" t="s">
        <v>889</v>
      </c>
      <c r="B22" s="208"/>
      <c r="C22" s="208">
        <v>3.62</v>
      </c>
      <c r="D22" s="208"/>
      <c r="E22" s="208">
        <f t="shared" ref="E22:E34" si="0">2*0.7*1.3*C22</f>
        <v>6.5884</v>
      </c>
      <c r="F22" s="208"/>
      <c r="H22" s="200">
        <f>0.2*0.2</f>
        <v>4.0000000000000008E-2</v>
      </c>
      <c r="I22" s="200">
        <v>52.1</v>
      </c>
      <c r="J22" s="200">
        <f>H22*I22</f>
        <v>2.0840000000000005</v>
      </c>
      <c r="L22" s="209">
        <v>300</v>
      </c>
      <c r="M22" s="208">
        <v>52.1</v>
      </c>
      <c r="N22" s="210">
        <f>(3.14*0.17*0.17)*M22</f>
        <v>4.7278666000000014</v>
      </c>
    </row>
    <row r="23" spans="1:14">
      <c r="A23" s="210" t="s">
        <v>890</v>
      </c>
      <c r="B23" s="210"/>
      <c r="C23" s="210">
        <v>1.34</v>
      </c>
      <c r="D23" s="210"/>
      <c r="E23" s="208">
        <f t="shared" si="0"/>
        <v>2.4388000000000001</v>
      </c>
      <c r="F23" s="210"/>
      <c r="H23" s="210"/>
      <c r="I23" s="210"/>
      <c r="J23" s="210"/>
      <c r="L23" s="211">
        <v>400</v>
      </c>
      <c r="M23" s="210">
        <v>0</v>
      </c>
      <c r="N23" s="210">
        <f>(3.14*0.23*0.23)*M23</f>
        <v>0</v>
      </c>
    </row>
    <row r="24" spans="1:14">
      <c r="A24" s="210"/>
      <c r="B24" s="210"/>
      <c r="C24" s="210"/>
      <c r="D24" s="210"/>
      <c r="E24" s="208">
        <f t="shared" si="0"/>
        <v>0</v>
      </c>
      <c r="F24" s="210"/>
      <c r="H24" s="210"/>
      <c r="I24" s="210"/>
      <c r="J24" s="210"/>
      <c r="L24" s="211">
        <v>500</v>
      </c>
      <c r="M24" s="210">
        <v>0</v>
      </c>
      <c r="N24" s="210">
        <f>(3.14*0.26*0.26)*M24</f>
        <v>0</v>
      </c>
    </row>
    <row r="25" spans="1:14">
      <c r="A25" s="210"/>
      <c r="B25" s="210"/>
      <c r="C25" s="210"/>
      <c r="D25" s="210"/>
      <c r="E25" s="208">
        <f t="shared" si="0"/>
        <v>0</v>
      </c>
      <c r="F25" s="210"/>
      <c r="H25" s="210"/>
      <c r="I25" s="210"/>
      <c r="J25" s="210"/>
      <c r="L25" s="211">
        <v>600</v>
      </c>
      <c r="M25" s="210">
        <v>0</v>
      </c>
      <c r="N25" s="210">
        <f>(3.14*0.32*0.32)*M25</f>
        <v>0</v>
      </c>
    </row>
    <row r="26" spans="1:14">
      <c r="A26" s="210"/>
      <c r="B26" s="210"/>
      <c r="C26" s="210"/>
      <c r="D26" s="210"/>
      <c r="E26" s="208">
        <f t="shared" si="0"/>
        <v>0</v>
      </c>
      <c r="F26" s="210"/>
      <c r="H26" s="210"/>
      <c r="I26" s="210"/>
      <c r="J26" s="210"/>
      <c r="L26" s="211"/>
      <c r="M26" s="210"/>
      <c r="N26" s="210"/>
    </row>
    <row r="27" spans="1:14">
      <c r="A27" s="210"/>
      <c r="B27" s="210"/>
      <c r="C27" s="210"/>
      <c r="D27" s="210"/>
      <c r="E27" s="208">
        <f t="shared" si="0"/>
        <v>0</v>
      </c>
      <c r="F27" s="210"/>
      <c r="H27" s="210"/>
      <c r="I27" s="210"/>
      <c r="J27" s="210"/>
      <c r="L27" s="210"/>
      <c r="M27" s="210"/>
      <c r="N27" s="210"/>
    </row>
    <row r="28" spans="1:14">
      <c r="A28" s="210"/>
      <c r="B28" s="210"/>
      <c r="C28" s="210"/>
      <c r="D28" s="210"/>
      <c r="E28" s="208">
        <f t="shared" si="0"/>
        <v>0</v>
      </c>
      <c r="F28" s="210"/>
      <c r="H28" s="210"/>
      <c r="I28" s="210"/>
      <c r="J28" s="210"/>
      <c r="L28" s="210"/>
      <c r="M28" s="210"/>
      <c r="N28" s="210"/>
    </row>
    <row r="29" spans="1:14">
      <c r="A29" s="210"/>
      <c r="B29" s="210"/>
      <c r="C29" s="210"/>
      <c r="D29" s="210"/>
      <c r="E29" s="208">
        <f t="shared" si="0"/>
        <v>0</v>
      </c>
      <c r="F29" s="210"/>
      <c r="H29" s="210"/>
      <c r="I29" s="210"/>
      <c r="J29" s="210"/>
      <c r="L29" s="210"/>
      <c r="M29" s="210"/>
      <c r="N29" s="210"/>
    </row>
    <row r="30" spans="1:14">
      <c r="A30" s="210"/>
      <c r="B30" s="210"/>
      <c r="C30" s="210"/>
      <c r="D30" s="210"/>
      <c r="E30" s="208">
        <f t="shared" si="0"/>
        <v>0</v>
      </c>
      <c r="F30" s="210"/>
      <c r="H30" s="210"/>
      <c r="I30" s="210"/>
      <c r="J30" s="210"/>
      <c r="L30" s="210"/>
      <c r="M30" s="210"/>
      <c r="N30" s="210"/>
    </row>
    <row r="31" spans="1:14">
      <c r="A31" s="210"/>
      <c r="B31" s="210"/>
      <c r="C31" s="210"/>
      <c r="D31" s="210"/>
      <c r="E31" s="208">
        <f t="shared" si="0"/>
        <v>0</v>
      </c>
      <c r="F31" s="210"/>
      <c r="H31" s="210"/>
      <c r="I31" s="210"/>
      <c r="J31" s="210"/>
      <c r="L31" s="210"/>
      <c r="M31" s="210"/>
      <c r="N31" s="210"/>
    </row>
    <row r="32" spans="1:14">
      <c r="A32" s="210"/>
      <c r="B32" s="210"/>
      <c r="C32" s="210"/>
      <c r="D32" s="210"/>
      <c r="E32" s="208">
        <f t="shared" si="0"/>
        <v>0</v>
      </c>
      <c r="F32" s="210"/>
      <c r="H32" s="210"/>
      <c r="I32" s="210"/>
      <c r="J32" s="210"/>
      <c r="L32" s="210"/>
      <c r="M32" s="210"/>
      <c r="N32" s="210"/>
    </row>
    <row r="33" spans="1:14">
      <c r="A33" s="210"/>
      <c r="B33" s="210"/>
      <c r="C33" s="210"/>
      <c r="D33" s="210"/>
      <c r="E33" s="208">
        <f t="shared" si="0"/>
        <v>0</v>
      </c>
      <c r="F33" s="210"/>
      <c r="H33" s="210"/>
      <c r="I33" s="210"/>
      <c r="J33" s="210"/>
      <c r="L33" s="210"/>
      <c r="M33" s="210"/>
      <c r="N33" s="210"/>
    </row>
    <row r="34" spans="1:14">
      <c r="A34" s="210"/>
      <c r="B34" s="210"/>
      <c r="C34" s="210"/>
      <c r="D34" s="210"/>
      <c r="E34" s="208">
        <f t="shared" si="0"/>
        <v>0</v>
      </c>
      <c r="F34" s="210"/>
      <c r="H34" s="210"/>
      <c r="I34" s="210"/>
      <c r="J34" s="210"/>
      <c r="L34" s="210"/>
      <c r="M34" s="210"/>
      <c r="N34" s="210"/>
    </row>
    <row r="35" spans="1:14">
      <c r="A35" s="210"/>
      <c r="B35" s="210"/>
      <c r="C35" s="210"/>
      <c r="D35" s="210"/>
      <c r="E35" s="210"/>
      <c r="F35" s="210"/>
      <c r="H35" s="210"/>
      <c r="I35" s="210"/>
      <c r="J35" s="210"/>
      <c r="L35" s="210"/>
      <c r="M35" s="210"/>
      <c r="N35" s="210"/>
    </row>
    <row r="36" spans="1:14">
      <c r="A36" s="197" t="s">
        <v>862</v>
      </c>
      <c r="B36" s="210"/>
      <c r="C36" s="210"/>
      <c r="D36" s="210"/>
      <c r="E36" s="197">
        <f>SUM(E22:E34)</f>
        <v>9.0272000000000006</v>
      </c>
      <c r="F36" s="210"/>
      <c r="H36" s="197" t="s">
        <v>862</v>
      </c>
      <c r="I36" s="210"/>
      <c r="J36" s="197">
        <f>SUM(J22:J29)</f>
        <v>2.0840000000000005</v>
      </c>
      <c r="L36" s="197" t="s">
        <v>862</v>
      </c>
      <c r="M36" s="210"/>
      <c r="N36" s="197">
        <f>SUM(N22:N29)</f>
        <v>4.7278666000000014</v>
      </c>
    </row>
    <row r="38" spans="1:14">
      <c r="A38" s="178" t="s">
        <v>885</v>
      </c>
      <c r="C38" s="212">
        <f>M15+E36+J36</f>
        <v>190.07960000000003</v>
      </c>
      <c r="D38" s="178" t="s">
        <v>183</v>
      </c>
      <c r="E38" s="213" t="s">
        <v>886</v>
      </c>
    </row>
    <row r="39" spans="1:14">
      <c r="C39" s="212">
        <f>M15+E36+J36-N36</f>
        <v>185.35173340000003</v>
      </c>
      <c r="D39" s="178" t="s">
        <v>183</v>
      </c>
      <c r="E39" s="213" t="s">
        <v>887</v>
      </c>
    </row>
  </sheetData>
  <sheetProtection password="CCA7" sheet="1" objects="1" scenario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4"/>
  <sheetViews>
    <sheetView workbookViewId="0">
      <selection activeCell="K65" sqref="K65"/>
    </sheetView>
  </sheetViews>
  <sheetFormatPr defaultRowHeight="12.75"/>
  <cols>
    <col min="1" max="8" width="9.33203125" style="179"/>
    <col min="9" max="9" width="11.6640625" style="179" customWidth="1"/>
    <col min="10" max="10" width="9.33203125" style="179"/>
    <col min="11" max="11" width="12.33203125" style="179" customWidth="1"/>
    <col min="12" max="16384" width="9.33203125" style="179"/>
  </cols>
  <sheetData>
    <row r="1" spans="1:13">
      <c r="A1" s="177" t="s">
        <v>841</v>
      </c>
      <c r="B1" s="178" t="s">
        <v>891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13.5" thickBot="1">
      <c r="A2" s="178" t="s">
        <v>892</v>
      </c>
      <c r="B2" s="178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3.5" thickTop="1">
      <c r="A3" s="180" t="s">
        <v>844</v>
      </c>
      <c r="B3" s="181" t="s">
        <v>845</v>
      </c>
      <c r="C3" s="182"/>
      <c r="D3" s="182"/>
      <c r="E3" s="182"/>
      <c r="F3" s="180" t="s">
        <v>846</v>
      </c>
      <c r="G3" s="182"/>
      <c r="H3" s="182"/>
      <c r="I3" s="180" t="s">
        <v>847</v>
      </c>
      <c r="J3" s="182"/>
      <c r="K3" s="182"/>
      <c r="L3" s="182"/>
      <c r="M3" s="183"/>
    </row>
    <row r="4" spans="1:13">
      <c r="A4" s="184" t="s">
        <v>848</v>
      </c>
      <c r="B4" s="185" t="s">
        <v>849</v>
      </c>
      <c r="C4" s="185"/>
      <c r="D4" s="185" t="s">
        <v>850</v>
      </c>
      <c r="E4" s="185"/>
      <c r="F4" s="186"/>
      <c r="G4" s="185" t="s">
        <v>851</v>
      </c>
      <c r="H4" s="185"/>
      <c r="I4" s="186"/>
      <c r="J4" s="185"/>
      <c r="K4" s="185" t="s">
        <v>852</v>
      </c>
      <c r="L4" s="185"/>
      <c r="M4" s="187"/>
    </row>
    <row r="5" spans="1:13">
      <c r="A5" s="186"/>
      <c r="B5" s="185"/>
      <c r="C5" s="188" t="s">
        <v>853</v>
      </c>
      <c r="D5" s="185" t="s">
        <v>854</v>
      </c>
      <c r="E5" s="185" t="s">
        <v>855</v>
      </c>
      <c r="F5" s="186" t="s">
        <v>856</v>
      </c>
      <c r="G5" s="185" t="s">
        <v>857</v>
      </c>
      <c r="H5" s="185" t="s">
        <v>858</v>
      </c>
      <c r="I5" s="184" t="s">
        <v>859</v>
      </c>
      <c r="J5" s="185" t="s">
        <v>860</v>
      </c>
      <c r="K5" s="185" t="s">
        <v>861</v>
      </c>
      <c r="L5" s="185" t="s">
        <v>857</v>
      </c>
      <c r="M5" s="187" t="s">
        <v>858</v>
      </c>
    </row>
    <row r="6" spans="1:13">
      <c r="A6" s="184" t="s">
        <v>172</v>
      </c>
      <c r="B6" s="185" t="s">
        <v>172</v>
      </c>
      <c r="C6" s="188" t="s">
        <v>172</v>
      </c>
      <c r="D6" s="185" t="s">
        <v>172</v>
      </c>
      <c r="E6" s="185" t="s">
        <v>172</v>
      </c>
      <c r="F6" s="186" t="s">
        <v>141</v>
      </c>
      <c r="G6" s="185" t="s">
        <v>141</v>
      </c>
      <c r="H6" s="185" t="s">
        <v>141</v>
      </c>
      <c r="I6" s="184" t="s">
        <v>172</v>
      </c>
      <c r="J6" s="185" t="s">
        <v>183</v>
      </c>
      <c r="K6" s="185" t="s">
        <v>183</v>
      </c>
      <c r="L6" s="185" t="s">
        <v>183</v>
      </c>
      <c r="M6" s="187" t="s">
        <v>183</v>
      </c>
    </row>
    <row r="7" spans="1:13" ht="13.5" thickBot="1">
      <c r="A7" s="189"/>
      <c r="B7" s="190"/>
      <c r="C7" s="190"/>
      <c r="D7" s="190"/>
      <c r="E7" s="190"/>
      <c r="F7" s="189"/>
      <c r="G7" s="190"/>
      <c r="H7" s="190"/>
      <c r="I7" s="189"/>
      <c r="J7" s="190"/>
      <c r="K7" s="190"/>
      <c r="L7" s="190"/>
      <c r="M7" s="191"/>
    </row>
    <row r="8" spans="1:13" ht="13.5" thickTop="1"/>
    <row r="9" spans="1:13">
      <c r="A9" s="192">
        <v>0</v>
      </c>
      <c r="B9" s="193"/>
      <c r="C9" s="192">
        <v>1.79</v>
      </c>
      <c r="D9" s="193"/>
      <c r="E9" s="193"/>
      <c r="F9" s="193"/>
      <c r="G9" s="193"/>
      <c r="H9" s="193"/>
      <c r="I9" s="194"/>
      <c r="J9" s="193"/>
      <c r="K9" s="193"/>
      <c r="L9" s="193"/>
      <c r="M9" s="193"/>
    </row>
    <row r="10" spans="1:13">
      <c r="A10" s="195"/>
      <c r="B10" s="193">
        <f>A11-A9</f>
        <v>7.1</v>
      </c>
      <c r="C10" s="195"/>
      <c r="D10" s="193">
        <f>C9+C11</f>
        <v>3.5700000000000003</v>
      </c>
      <c r="E10" s="193">
        <f>D10/2</f>
        <v>1.7850000000000001</v>
      </c>
      <c r="F10" s="193">
        <f>IF(E10&lt;2,E10*B10,0)</f>
        <v>12.673500000000001</v>
      </c>
      <c r="G10" s="193">
        <f>IF((AND(E10&gt;2,E10&lt;4)),B10*E10,0)</f>
        <v>0</v>
      </c>
      <c r="H10" s="193">
        <f>IF((AND(E10&gt;4,E10&lt;6)),B10*E10,0)</f>
        <v>0</v>
      </c>
      <c r="I10" s="192">
        <v>1</v>
      </c>
      <c r="J10" s="193">
        <f>IF(E10&lt;1,B10*E10*I10,0)</f>
        <v>0</v>
      </c>
      <c r="K10" s="193">
        <f>IF((AND(E10&gt;1,E10&lt;2.5)),B10*E10*I10,0)</f>
        <v>12.673500000000001</v>
      </c>
      <c r="L10" s="193">
        <f>IF((AND(E10&gt;2.5,E10&lt;4)),B10*E10*I10,0)</f>
        <v>0</v>
      </c>
      <c r="M10" s="193">
        <f>IF((IF(E10&gt;4,E10&lt;6)),B10*E10*I10,0)</f>
        <v>0</v>
      </c>
    </row>
    <row r="11" spans="1:13">
      <c r="A11" s="192">
        <v>7.1</v>
      </c>
      <c r="B11" s="193"/>
      <c r="C11" s="192">
        <v>1.78</v>
      </c>
      <c r="D11" s="193"/>
      <c r="E11" s="193"/>
      <c r="F11" s="193"/>
      <c r="G11" s="193"/>
      <c r="H11" s="193"/>
      <c r="I11" s="195"/>
      <c r="J11" s="193"/>
      <c r="K11" s="193"/>
      <c r="L11" s="193"/>
      <c r="M11" s="193"/>
    </row>
    <row r="12" spans="1:13">
      <c r="A12" s="195"/>
      <c r="B12" s="193">
        <f>A13-A11</f>
        <v>12.9</v>
      </c>
      <c r="C12" s="195"/>
      <c r="D12" s="193">
        <f>C11+C13</f>
        <v>3.52</v>
      </c>
      <c r="E12" s="193">
        <f>D12/2</f>
        <v>1.76</v>
      </c>
      <c r="F12" s="193">
        <f>IF(E12&lt;2,E12*B12,0)</f>
        <v>22.704000000000001</v>
      </c>
      <c r="G12" s="193">
        <f>IF((AND(E12&gt;2,E12&lt;4)),B12*E12,0)</f>
        <v>0</v>
      </c>
      <c r="H12" s="193">
        <f>IF((AND(E12&gt;4,E12&lt;6)),B12*E12,0)</f>
        <v>0</v>
      </c>
      <c r="I12" s="192">
        <v>1</v>
      </c>
      <c r="J12" s="193">
        <f>IF(E12&lt;1,B12*E12*I12,0)</f>
        <v>0</v>
      </c>
      <c r="K12" s="193">
        <f>IF((AND(E12&gt;1,E12&lt;2.5)),B12*E12*I12,0)</f>
        <v>22.704000000000001</v>
      </c>
      <c r="L12" s="193">
        <f>IF((AND(E12&gt;2.5,E12&lt;4)),B12*E12*I12,0)</f>
        <v>0</v>
      </c>
      <c r="M12" s="193">
        <f>IF((IF(E12&gt;4,E12&lt;6)),B12*E12*I12,0)</f>
        <v>0</v>
      </c>
    </row>
    <row r="13" spans="1:13">
      <c r="A13" s="192">
        <v>20</v>
      </c>
      <c r="B13" s="193"/>
      <c r="C13" s="192">
        <v>1.74</v>
      </c>
      <c r="D13" s="193"/>
      <c r="E13" s="193"/>
      <c r="F13" s="193"/>
      <c r="G13" s="193"/>
      <c r="H13" s="193"/>
      <c r="I13" s="195"/>
      <c r="J13" s="193"/>
      <c r="K13" s="193"/>
      <c r="L13" s="193"/>
      <c r="M13" s="193"/>
    </row>
    <row r="14" spans="1:13">
      <c r="A14" s="195"/>
      <c r="B14" s="193">
        <f>A15-A13</f>
        <v>20</v>
      </c>
      <c r="C14" s="195"/>
      <c r="D14" s="193">
        <f>C13+C15</f>
        <v>3.4299999999999997</v>
      </c>
      <c r="E14" s="193">
        <f>D14/2</f>
        <v>1.7149999999999999</v>
      </c>
      <c r="F14" s="193">
        <f>IF(E14&lt;2,E14*B14,0)</f>
        <v>34.299999999999997</v>
      </c>
      <c r="G14" s="193">
        <f>IF((AND(E14&gt;2,E14&lt;4)),B14*E14,0)</f>
        <v>0</v>
      </c>
      <c r="H14" s="193">
        <f>IF((AND(E14&gt;4,E14&lt;6)),B14*E14,0)</f>
        <v>0</v>
      </c>
      <c r="I14" s="192">
        <v>1</v>
      </c>
      <c r="J14" s="193">
        <f>IF(E14&lt;1,B14*E14*I14,0)</f>
        <v>0</v>
      </c>
      <c r="K14" s="193">
        <f>IF((AND(E14&gt;1,E14&lt;2.5)),B14*E14*I14,0)</f>
        <v>34.299999999999997</v>
      </c>
      <c r="L14" s="193">
        <f>IF((AND(E14&gt;2.5,E14&lt;4)),B14*E14*I14,0)</f>
        <v>0</v>
      </c>
      <c r="M14" s="193">
        <f>IF((IF(E14&gt;4,E14&lt;6)),B14*E14*I14,0)</f>
        <v>0</v>
      </c>
    </row>
    <row r="15" spans="1:13">
      <c r="A15" s="192">
        <v>40</v>
      </c>
      <c r="B15" s="193"/>
      <c r="C15" s="192">
        <v>1.69</v>
      </c>
      <c r="D15" s="193"/>
      <c r="E15" s="193"/>
      <c r="F15" s="193"/>
      <c r="G15" s="193"/>
      <c r="H15" s="193"/>
      <c r="I15" s="195"/>
      <c r="J15" s="193"/>
      <c r="K15" s="193"/>
      <c r="L15" s="193"/>
      <c r="M15" s="193"/>
    </row>
    <row r="16" spans="1:13">
      <c r="A16" s="195"/>
      <c r="B16" s="193">
        <f>A17-A15</f>
        <v>20</v>
      </c>
      <c r="C16" s="195"/>
      <c r="D16" s="193">
        <f>C15+C17</f>
        <v>3.32</v>
      </c>
      <c r="E16" s="193">
        <f>D16/2</f>
        <v>1.66</v>
      </c>
      <c r="F16" s="193">
        <f>IF(E16&lt;2,E16*B16,0)</f>
        <v>33.199999999999996</v>
      </c>
      <c r="G16" s="193">
        <f>IF((AND(E16&gt;2,E16&lt;4)),B16*E16,0)</f>
        <v>0</v>
      </c>
      <c r="H16" s="193">
        <f>IF((AND(E16&gt;4,E16&lt;6)),B16*E16,0)</f>
        <v>0</v>
      </c>
      <c r="I16" s="192">
        <v>1</v>
      </c>
      <c r="J16" s="193">
        <f>IF(E16&lt;1,B16*E16*I16,0)</f>
        <v>0</v>
      </c>
      <c r="K16" s="193">
        <f>IF((AND(E16&gt;1,E16&lt;2.5)),B16*E16*I16,0)</f>
        <v>33.199999999999996</v>
      </c>
      <c r="L16" s="193">
        <f>IF((AND(E16&gt;2.5,E16&lt;4)),B16*E16*I16,0)</f>
        <v>0</v>
      </c>
      <c r="M16" s="193">
        <f>IF((IF(E16&gt;4,E16&lt;6)),B16*E16*I16,0)</f>
        <v>0</v>
      </c>
    </row>
    <row r="17" spans="1:13">
      <c r="A17" s="192">
        <v>60</v>
      </c>
      <c r="B17" s="193"/>
      <c r="C17" s="192">
        <v>1.63</v>
      </c>
      <c r="D17" s="193"/>
      <c r="E17" s="193"/>
      <c r="F17" s="193"/>
      <c r="G17" s="193"/>
      <c r="H17" s="193"/>
      <c r="I17" s="194"/>
      <c r="J17" s="193"/>
      <c r="K17" s="193"/>
      <c r="L17" s="193"/>
      <c r="M17" s="193"/>
    </row>
    <row r="18" spans="1:13">
      <c r="A18" s="195"/>
      <c r="B18" s="193">
        <f>A19-A17</f>
        <v>11.700000000000003</v>
      </c>
      <c r="C18" s="195"/>
      <c r="D18" s="193">
        <f>C17+C19</f>
        <v>3.23</v>
      </c>
      <c r="E18" s="193">
        <f>D18/2</f>
        <v>1.615</v>
      </c>
      <c r="F18" s="193">
        <f>IF(E18&lt;2,E18*B18,0)</f>
        <v>18.895500000000006</v>
      </c>
      <c r="G18" s="193">
        <f>IF((AND(E18&gt;2,E18&lt;4)),B18*E18,0)</f>
        <v>0</v>
      </c>
      <c r="H18" s="193">
        <f>IF((AND(E18&gt;4,E18&lt;6)),B18*E18,0)</f>
        <v>0</v>
      </c>
      <c r="I18" s="192">
        <v>1</v>
      </c>
      <c r="J18" s="193">
        <f>IF(E18&lt;1,B18*E18*I18,0)</f>
        <v>0</v>
      </c>
      <c r="K18" s="193">
        <f>IF((AND(E18&gt;1,E18&lt;2.5)),B18*E18*I18,0)</f>
        <v>18.895500000000006</v>
      </c>
      <c r="L18" s="193">
        <f>IF((AND(E18&gt;2.5,E18&lt;4)),B18*E18*I18,0)</f>
        <v>0</v>
      </c>
      <c r="M18" s="193">
        <f>IF((IF(E18&gt;4,E18&lt;6)),B18*E18*I18,0)</f>
        <v>0</v>
      </c>
    </row>
    <row r="19" spans="1:13">
      <c r="A19" s="192">
        <v>71.7</v>
      </c>
      <c r="B19" s="193"/>
      <c r="C19" s="192">
        <v>1.6</v>
      </c>
      <c r="D19" s="193"/>
      <c r="E19" s="193"/>
      <c r="F19" s="193"/>
      <c r="G19" s="193"/>
      <c r="H19" s="193"/>
      <c r="I19" s="194"/>
      <c r="J19" s="193"/>
      <c r="K19" s="193"/>
      <c r="L19" s="193"/>
      <c r="M19" s="193"/>
    </row>
    <row r="20" spans="1:13">
      <c r="A20" s="195"/>
      <c r="B20" s="193">
        <f>A21-A19</f>
        <v>8.2999999999999972</v>
      </c>
      <c r="C20" s="195"/>
      <c r="D20" s="193">
        <f>C19+C21</f>
        <v>3.13</v>
      </c>
      <c r="E20" s="193">
        <f>D20/2</f>
        <v>1.5649999999999999</v>
      </c>
      <c r="F20" s="193">
        <f>IF(E20&lt;2,E20*B20,0)</f>
        <v>12.989499999999994</v>
      </c>
      <c r="G20" s="193">
        <f>IF((AND(E20&gt;2,E20&lt;4)),B20*E20,0)</f>
        <v>0</v>
      </c>
      <c r="H20" s="193">
        <f>IF((AND(E20&gt;4,E20&lt;6)),B20*E20,0)</f>
        <v>0</v>
      </c>
      <c r="I20" s="192">
        <v>1</v>
      </c>
      <c r="J20" s="193">
        <f>IF(E20&lt;1,B20*E20*I20,0)</f>
        <v>0</v>
      </c>
      <c r="K20" s="193">
        <f>IF((AND(E20&gt;1,E20&lt;2.5)),B20*E20*I20,0)</f>
        <v>12.989499999999994</v>
      </c>
      <c r="L20" s="193">
        <f>IF((AND(E20&gt;2.5,E20&lt;4)),B20*E20*I20,0)</f>
        <v>0</v>
      </c>
      <c r="M20" s="193">
        <f>IF((IF(E20&gt;4,E20&lt;6)),B20*E20*I20,0)</f>
        <v>0</v>
      </c>
    </row>
    <row r="21" spans="1:13">
      <c r="A21" s="192">
        <v>80</v>
      </c>
      <c r="B21" s="193"/>
      <c r="C21" s="192">
        <v>1.53</v>
      </c>
      <c r="D21" s="193"/>
      <c r="E21" s="193"/>
      <c r="F21" s="193"/>
      <c r="G21" s="193"/>
      <c r="H21" s="193"/>
      <c r="I21" s="195"/>
      <c r="J21" s="193"/>
      <c r="K21" s="193"/>
      <c r="L21" s="193"/>
      <c r="M21" s="193"/>
    </row>
    <row r="22" spans="1:13">
      <c r="A22" s="195"/>
      <c r="B22" s="193">
        <f>A23-A21</f>
        <v>3</v>
      </c>
      <c r="C22" s="195"/>
      <c r="D22" s="193">
        <f>C21+C23</f>
        <v>3.0300000000000002</v>
      </c>
      <c r="E22" s="193">
        <f>D22/2</f>
        <v>1.5150000000000001</v>
      </c>
      <c r="F22" s="193">
        <f>IF(E22&lt;2,E22*B22,0)</f>
        <v>4.5449999999999999</v>
      </c>
      <c r="G22" s="193">
        <f>IF((AND(E22&gt;2,E22&lt;4)),B22*E22,0)</f>
        <v>0</v>
      </c>
      <c r="H22" s="193">
        <f>IF((AND(E22&gt;4,E22&lt;6)),B22*E22,0)</f>
        <v>0</v>
      </c>
      <c r="I22" s="192">
        <v>1</v>
      </c>
      <c r="J22" s="193">
        <f>IF(E22&lt;1,B22*E22*I22,0)</f>
        <v>0</v>
      </c>
      <c r="K22" s="193">
        <f>IF((AND(E22&gt;1,E22&lt;2.5)),B22*E22*I22,0)</f>
        <v>4.5449999999999999</v>
      </c>
      <c r="L22" s="193">
        <f>IF((AND(E22&gt;2.5,E22&lt;4)),B22*E22*I22,0)</f>
        <v>0</v>
      </c>
      <c r="M22" s="193">
        <f>IF((IF(E22&gt;4,E22&lt;6)),B22*E22*I22,0)</f>
        <v>0</v>
      </c>
    </row>
    <row r="23" spans="1:13">
      <c r="A23" s="192">
        <v>83</v>
      </c>
      <c r="B23" s="193"/>
      <c r="C23" s="192">
        <v>1.5</v>
      </c>
      <c r="D23" s="193"/>
      <c r="E23" s="193"/>
      <c r="F23" s="193"/>
      <c r="G23" s="193"/>
      <c r="H23" s="193"/>
      <c r="I23" s="195"/>
      <c r="J23" s="193"/>
      <c r="K23" s="193"/>
      <c r="L23" s="193"/>
      <c r="M23" s="193"/>
    </row>
    <row r="24" spans="1:13">
      <c r="A24" s="195"/>
      <c r="B24" s="193">
        <f>A25-A23</f>
        <v>6.2000000000000028</v>
      </c>
      <c r="C24" s="195"/>
      <c r="D24" s="193">
        <f>C23+C25</f>
        <v>2.96</v>
      </c>
      <c r="E24" s="193">
        <f>D24/2</f>
        <v>1.48</v>
      </c>
      <c r="F24" s="193">
        <f>IF(E24&lt;2,E24*B24,0)</f>
        <v>9.1760000000000037</v>
      </c>
      <c r="G24" s="193">
        <f>IF((AND(E24&gt;2,E24&lt;4)),B24*E24,0)</f>
        <v>0</v>
      </c>
      <c r="H24" s="193">
        <f>IF((AND(E24&gt;4,E24&lt;6)),B24*E24,0)</f>
        <v>0</v>
      </c>
      <c r="I24" s="192">
        <v>1</v>
      </c>
      <c r="J24" s="193">
        <f>IF(E24&lt;1,B24*E24*I24,0)</f>
        <v>0</v>
      </c>
      <c r="K24" s="193">
        <f>IF((AND(E24&gt;1,E24&lt;2.5)),B24*E24*I24,0)</f>
        <v>9.1760000000000037</v>
      </c>
      <c r="L24" s="193">
        <f>IF((AND(E24&gt;2.5,E24&lt;4)),B24*E24*I24,0)</f>
        <v>0</v>
      </c>
      <c r="M24" s="193">
        <f>IF((IF(E24&gt;4,E24&lt;6)),B24*E24*I24,0)</f>
        <v>0</v>
      </c>
    </row>
    <row r="25" spans="1:13">
      <c r="A25" s="192">
        <v>89.2</v>
      </c>
      <c r="B25" s="193"/>
      <c r="C25" s="192">
        <v>1.46</v>
      </c>
      <c r="D25" s="193"/>
      <c r="E25" s="193"/>
      <c r="F25" s="193"/>
      <c r="G25" s="193"/>
      <c r="H25" s="193"/>
      <c r="I25" s="195"/>
      <c r="J25" s="193"/>
      <c r="K25" s="193"/>
      <c r="L25" s="193"/>
      <c r="M25" s="193"/>
    </row>
    <row r="26" spans="1:13">
      <c r="A26" s="195"/>
      <c r="B26" s="193">
        <f>A27-A25</f>
        <v>10.799999999999997</v>
      </c>
      <c r="C26" s="195"/>
      <c r="D26" s="193">
        <f>C25+C27</f>
        <v>2.92</v>
      </c>
      <c r="E26" s="193">
        <f>D26/2</f>
        <v>1.46</v>
      </c>
      <c r="F26" s="193">
        <f>IF(E26&lt;2,E26*B26,0)</f>
        <v>15.767999999999995</v>
      </c>
      <c r="G26" s="193">
        <f>IF((AND(E26&gt;2,E26&lt;4)),B26*E26,0)</f>
        <v>0</v>
      </c>
      <c r="H26" s="193">
        <f>IF((AND(E26&gt;4,E26&lt;6)),B26*E26,0)</f>
        <v>0</v>
      </c>
      <c r="I26" s="192">
        <v>1</v>
      </c>
      <c r="J26" s="193">
        <f>IF(E26&lt;1,B26*E26*I26,0)</f>
        <v>0</v>
      </c>
      <c r="K26" s="193">
        <f>IF((AND(E26&gt;1,E26&lt;2.5)),B26*E26*I26,0)</f>
        <v>15.767999999999995</v>
      </c>
      <c r="L26" s="193">
        <f>IF((AND(E26&gt;2.5,E26&lt;4)),B26*E26*I26,0)</f>
        <v>0</v>
      </c>
      <c r="M26" s="193">
        <f>IF((IF(E26&gt;4,E26&lt;6)),B26*E26*I26,0)</f>
        <v>0</v>
      </c>
    </row>
    <row r="27" spans="1:13">
      <c r="A27" s="192">
        <v>100</v>
      </c>
      <c r="B27" s="193"/>
      <c r="C27" s="192">
        <v>1.46</v>
      </c>
      <c r="D27" s="193"/>
      <c r="E27" s="193"/>
      <c r="F27" s="193"/>
      <c r="G27" s="193"/>
      <c r="H27" s="193"/>
      <c r="I27" s="194"/>
      <c r="J27" s="193"/>
      <c r="K27" s="193"/>
      <c r="L27" s="193"/>
      <c r="M27" s="193"/>
    </row>
    <row r="28" spans="1:13">
      <c r="A28" s="195"/>
      <c r="B28" s="193">
        <f>A29-A27</f>
        <v>20</v>
      </c>
      <c r="C28" s="195"/>
      <c r="D28" s="193">
        <f>C27+C29</f>
        <v>2.92</v>
      </c>
      <c r="E28" s="193">
        <f>D28/2</f>
        <v>1.46</v>
      </c>
      <c r="F28" s="193">
        <f>IF(E28&lt;2,E28*B28,0)</f>
        <v>29.2</v>
      </c>
      <c r="G28" s="193">
        <f>IF((AND(E28&gt;2,E28&lt;4)),B28*E28,0)</f>
        <v>0</v>
      </c>
      <c r="H28" s="193">
        <f>IF((AND(E28&gt;4,E28&lt;6)),B28*E28,0)</f>
        <v>0</v>
      </c>
      <c r="I28" s="192">
        <v>1</v>
      </c>
      <c r="J28" s="193">
        <f>IF(E28&lt;1,B28*E28*I28,0)</f>
        <v>0</v>
      </c>
      <c r="K28" s="193">
        <f>IF((AND(E28&gt;1,E28&lt;2.5)),B28*E28*I28,0)</f>
        <v>29.2</v>
      </c>
      <c r="L28" s="193">
        <f>IF((AND(E28&gt;2.5,E28&lt;4)),B28*E28*I28,0)</f>
        <v>0</v>
      </c>
      <c r="M28" s="193">
        <f>IF((IF(E28&gt;4,E28&lt;6)),B28*E28*I28,0)</f>
        <v>0</v>
      </c>
    </row>
    <row r="29" spans="1:13">
      <c r="A29" s="192">
        <v>120</v>
      </c>
      <c r="B29" s="193"/>
      <c r="C29" s="192">
        <v>1.46</v>
      </c>
      <c r="D29" s="193"/>
      <c r="E29" s="193"/>
      <c r="F29" s="193"/>
      <c r="G29" s="193"/>
      <c r="H29" s="193"/>
      <c r="I29" s="194"/>
      <c r="J29" s="193"/>
      <c r="K29" s="193"/>
      <c r="L29" s="193"/>
      <c r="M29" s="193"/>
    </row>
    <row r="30" spans="1:13">
      <c r="A30" s="195"/>
      <c r="B30" s="193">
        <f>A31-A29</f>
        <v>20</v>
      </c>
      <c r="C30" s="195"/>
      <c r="D30" s="193">
        <f>C29+C31</f>
        <v>2.91</v>
      </c>
      <c r="E30" s="193">
        <f>D30/2</f>
        <v>1.4550000000000001</v>
      </c>
      <c r="F30" s="193">
        <f>IF(E30&lt;2,E30*B30,0)</f>
        <v>29.1</v>
      </c>
      <c r="G30" s="193">
        <f>IF((AND(E30&gt;2,E30&lt;4)),B30*E30,0)</f>
        <v>0</v>
      </c>
      <c r="H30" s="193">
        <f>IF((AND(E30&gt;4,E30&lt;6)),B30*E30,0)</f>
        <v>0</v>
      </c>
      <c r="I30" s="192">
        <v>1</v>
      </c>
      <c r="J30" s="193">
        <f>IF(E30&lt;1,B30*E30*I30,0)</f>
        <v>0</v>
      </c>
      <c r="K30" s="193">
        <f>IF((AND(E30&gt;1,E30&lt;2.5)),B30*E30*I30,0)</f>
        <v>29.1</v>
      </c>
      <c r="L30" s="193">
        <f>IF((AND(E30&gt;2.5,E30&lt;4)),B30*E30*I30,0)</f>
        <v>0</v>
      </c>
      <c r="M30" s="193">
        <f>IF((IF(E30&gt;4,E30&lt;6)),B30*E30*I30,0)</f>
        <v>0</v>
      </c>
    </row>
    <row r="31" spans="1:13">
      <c r="A31" s="192">
        <v>140</v>
      </c>
      <c r="B31" s="193"/>
      <c r="C31" s="192">
        <v>1.45</v>
      </c>
      <c r="D31" s="193"/>
      <c r="E31" s="193"/>
      <c r="F31" s="193"/>
      <c r="G31" s="193"/>
      <c r="H31" s="193"/>
      <c r="I31" s="195"/>
      <c r="J31" s="193"/>
      <c r="K31" s="193"/>
      <c r="L31" s="193"/>
      <c r="M31" s="193"/>
    </row>
    <row r="32" spans="1:13">
      <c r="A32" s="195"/>
      <c r="B32" s="193">
        <f>A33-A31</f>
        <v>16</v>
      </c>
      <c r="C32" s="195"/>
      <c r="D32" s="193">
        <f>C31+C33</f>
        <v>2.9</v>
      </c>
      <c r="E32" s="193">
        <f>D32/2</f>
        <v>1.45</v>
      </c>
      <c r="F32" s="193">
        <f>IF(E32&lt;2,E32*B32,0)</f>
        <v>23.2</v>
      </c>
      <c r="G32" s="193">
        <f>IF((AND(E32&gt;2,E32&lt;4)),B32*E32,0)</f>
        <v>0</v>
      </c>
      <c r="H32" s="193">
        <f>IF((AND(E32&gt;4,E32&lt;6)),B32*E32,0)</f>
        <v>0</v>
      </c>
      <c r="I32" s="192">
        <v>1</v>
      </c>
      <c r="J32" s="193">
        <f>IF(E32&lt;1,B32*E32*I32,0)</f>
        <v>0</v>
      </c>
      <c r="K32" s="193">
        <f>IF((AND(E32&gt;1,E32&lt;2.5)),B32*E32*I32,0)</f>
        <v>23.2</v>
      </c>
      <c r="L32" s="193">
        <f>IF((AND(E32&gt;2.5,E32&lt;4)),B32*E32*I32,0)</f>
        <v>0</v>
      </c>
      <c r="M32" s="193">
        <f>IF((IF(E32&gt;4,E32&lt;6)),B32*E32*I32,0)</f>
        <v>0</v>
      </c>
    </row>
    <row r="33" spans="1:13">
      <c r="A33" s="192">
        <v>156</v>
      </c>
      <c r="B33" s="193"/>
      <c r="C33" s="192">
        <v>1.45</v>
      </c>
      <c r="D33" s="193"/>
      <c r="E33" s="193"/>
      <c r="F33" s="193"/>
      <c r="G33" s="193"/>
      <c r="H33" s="193"/>
      <c r="I33" s="195"/>
      <c r="J33" s="193"/>
      <c r="K33" s="193"/>
      <c r="L33" s="193"/>
      <c r="M33" s="193"/>
    </row>
    <row r="34" spans="1:13">
      <c r="A34" s="192"/>
      <c r="B34" s="193"/>
      <c r="C34" s="192"/>
      <c r="D34" s="193"/>
      <c r="E34" s="193"/>
      <c r="F34" s="193"/>
      <c r="G34" s="193"/>
      <c r="H34" s="193"/>
      <c r="I34" s="194"/>
      <c r="J34" s="193"/>
      <c r="K34" s="193"/>
      <c r="L34" s="193"/>
      <c r="M34" s="193"/>
    </row>
    <row r="35" spans="1:13">
      <c r="A35" s="214"/>
      <c r="B35" s="215"/>
      <c r="C35" s="214"/>
      <c r="D35" s="215"/>
      <c r="E35" s="215"/>
      <c r="F35" s="215"/>
      <c r="G35" s="215"/>
      <c r="H35" s="215"/>
      <c r="I35" s="215"/>
      <c r="J35" s="193"/>
      <c r="K35" s="193"/>
      <c r="L35" s="193"/>
      <c r="M35" s="193"/>
    </row>
    <row r="36" spans="1:13">
      <c r="A36" s="216" t="s">
        <v>862</v>
      </c>
      <c r="B36" s="215"/>
      <c r="C36" s="215"/>
      <c r="D36" s="215"/>
      <c r="E36" s="215"/>
      <c r="F36" s="215">
        <f>SUM(F9:F33)</f>
        <v>245.75149999999996</v>
      </c>
      <c r="G36" s="215">
        <f>SUM(G9:G33)</f>
        <v>0</v>
      </c>
      <c r="H36" s="215">
        <f>SUM(H9:H15)</f>
        <v>0</v>
      </c>
      <c r="I36" s="214"/>
      <c r="J36" s="198">
        <f>SUM(J9:J35)</f>
        <v>0</v>
      </c>
      <c r="K36" s="198">
        <f>SUM(K9:K35)</f>
        <v>245.75149999999996</v>
      </c>
      <c r="L36" s="198">
        <f>SUM(L9:L35)</f>
        <v>0</v>
      </c>
      <c r="M36" s="198">
        <f>SUM(M9:M35)</f>
        <v>0</v>
      </c>
    </row>
    <row r="37" spans="1:13">
      <c r="A37" s="214"/>
      <c r="B37" s="215"/>
      <c r="C37" s="214"/>
      <c r="D37" s="215"/>
      <c r="E37" s="215"/>
      <c r="F37" s="215" t="s">
        <v>893</v>
      </c>
      <c r="G37" s="215" t="s">
        <v>893</v>
      </c>
      <c r="H37" s="215" t="s">
        <v>893</v>
      </c>
      <c r="I37" s="215"/>
      <c r="J37" s="193"/>
      <c r="K37" s="193"/>
      <c r="L37" s="193"/>
      <c r="M37" s="193"/>
    </row>
    <row r="38" spans="1:13">
      <c r="A38" s="215"/>
      <c r="B38" s="215"/>
      <c r="C38" s="215"/>
      <c r="D38" s="215"/>
      <c r="E38" s="215"/>
      <c r="F38" s="216">
        <f>F36*2</f>
        <v>491.50299999999993</v>
      </c>
      <c r="G38" s="216">
        <f>G36*2</f>
        <v>0</v>
      </c>
      <c r="H38" s="215">
        <f>H36*2</f>
        <v>0</v>
      </c>
      <c r="I38" s="214"/>
      <c r="J38" s="193"/>
      <c r="K38" s="193"/>
      <c r="L38" s="193"/>
      <c r="M38" s="217"/>
    </row>
    <row r="39" spans="1:13">
      <c r="I39" s="197" t="s">
        <v>862</v>
      </c>
      <c r="M39" s="197">
        <f>J36+K36+L36+M36</f>
        <v>245.75149999999996</v>
      </c>
    </row>
    <row r="40" spans="1:13">
      <c r="I40" s="177"/>
      <c r="M40" s="177"/>
    </row>
    <row r="41" spans="1:13">
      <c r="I41" s="177"/>
      <c r="M41" s="177"/>
    </row>
    <row r="42" spans="1:13">
      <c r="I42" s="177"/>
      <c r="M42" s="177"/>
    </row>
    <row r="43" spans="1:13">
      <c r="I43" s="177"/>
      <c r="M43" s="177"/>
    </row>
    <row r="44" spans="1:13" ht="13.5" thickBot="1">
      <c r="A44" s="178" t="s">
        <v>865</v>
      </c>
      <c r="H44" s="178"/>
      <c r="L44" s="178"/>
    </row>
    <row r="45" spans="1:13" ht="13.5" thickTop="1">
      <c r="A45" s="203" t="s">
        <v>871</v>
      </c>
      <c r="B45" s="200" t="s">
        <v>870</v>
      </c>
      <c r="C45" s="202" t="s">
        <v>872</v>
      </c>
      <c r="E45" s="213"/>
      <c r="J45" s="213"/>
    </row>
    <row r="46" spans="1:13" ht="13.5" thickBot="1">
      <c r="A46" s="205" t="s">
        <v>873</v>
      </c>
      <c r="B46" s="206" t="s">
        <v>172</v>
      </c>
      <c r="C46" s="207" t="s">
        <v>183</v>
      </c>
    </row>
    <row r="47" spans="1:13" ht="13.5" thickTop="1">
      <c r="A47" s="209">
        <v>90</v>
      </c>
      <c r="B47" s="208">
        <v>0</v>
      </c>
      <c r="C47" s="210">
        <f>(3.14*0.045*0.045)*B47</f>
        <v>0</v>
      </c>
      <c r="L47" s="218"/>
    </row>
    <row r="48" spans="1:13">
      <c r="A48" s="211">
        <v>110</v>
      </c>
      <c r="B48" s="210">
        <v>156</v>
      </c>
      <c r="C48" s="210">
        <f>(3.14*0.055*0.055)*B48</f>
        <v>1.4817660000000004</v>
      </c>
      <c r="L48" s="218"/>
    </row>
    <row r="49" spans="1:14">
      <c r="A49" s="211">
        <v>160</v>
      </c>
      <c r="B49" s="210">
        <v>0</v>
      </c>
      <c r="C49" s="210">
        <f>(3.14*0.08*0.08)*B49</f>
        <v>0</v>
      </c>
      <c r="L49" s="218"/>
    </row>
    <row r="50" spans="1:14">
      <c r="A50" s="211">
        <v>225</v>
      </c>
      <c r="B50" s="210">
        <v>0</v>
      </c>
      <c r="C50" s="210">
        <f>(3.14*0.125*0.125)*B50</f>
        <v>0</v>
      </c>
      <c r="L50" s="218"/>
    </row>
    <row r="51" spans="1:14">
      <c r="A51" s="197" t="s">
        <v>862</v>
      </c>
      <c r="B51" s="210"/>
      <c r="C51" s="197">
        <f>SUM(C47:C50)</f>
        <v>1.4817660000000004</v>
      </c>
      <c r="E51" s="177"/>
      <c r="H51" s="177"/>
      <c r="J51" s="177"/>
      <c r="L51" s="177"/>
      <c r="N51" s="177"/>
    </row>
    <row r="53" spans="1:14">
      <c r="A53" s="178" t="s">
        <v>885</v>
      </c>
      <c r="C53" s="212">
        <f>M39</f>
        <v>245.75149999999996</v>
      </c>
      <c r="D53" s="178" t="s">
        <v>183</v>
      </c>
      <c r="E53" s="213" t="s">
        <v>894</v>
      </c>
    </row>
    <row r="54" spans="1:14">
      <c r="C54" s="212">
        <f>M39-C51</f>
        <v>244.26973399999997</v>
      </c>
      <c r="D54" s="178" t="s">
        <v>183</v>
      </c>
      <c r="E54" s="213" t="s">
        <v>895</v>
      </c>
    </row>
  </sheetData>
  <sheetProtection password="CCA7" sheet="1" objects="1" scenario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7"/>
  <sheetViews>
    <sheetView workbookViewId="0">
      <selection activeCell="N52" sqref="N52"/>
    </sheetView>
  </sheetViews>
  <sheetFormatPr defaultRowHeight="12.75"/>
  <cols>
    <col min="1" max="8" width="9.33203125" style="179"/>
    <col min="9" max="9" width="11.6640625" style="179" customWidth="1"/>
    <col min="10" max="10" width="9.33203125" style="179"/>
    <col min="11" max="11" width="12.33203125" style="179" customWidth="1"/>
    <col min="12" max="16384" width="9.33203125" style="179"/>
  </cols>
  <sheetData>
    <row r="1" spans="1:13">
      <c r="A1" s="177" t="s">
        <v>841</v>
      </c>
      <c r="B1" s="178" t="s">
        <v>891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13.5" thickBot="1">
      <c r="A2" s="178" t="s">
        <v>896</v>
      </c>
      <c r="B2" s="178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3.5" thickTop="1">
      <c r="A3" s="180" t="s">
        <v>844</v>
      </c>
      <c r="B3" s="181" t="s">
        <v>845</v>
      </c>
      <c r="C3" s="182"/>
      <c r="D3" s="182"/>
      <c r="E3" s="182"/>
      <c r="F3" s="180" t="s">
        <v>846</v>
      </c>
      <c r="G3" s="182"/>
      <c r="H3" s="182"/>
      <c r="I3" s="180" t="s">
        <v>847</v>
      </c>
      <c r="J3" s="182"/>
      <c r="K3" s="182"/>
      <c r="L3" s="182"/>
      <c r="M3" s="183"/>
    </row>
    <row r="4" spans="1:13">
      <c r="A4" s="184" t="s">
        <v>848</v>
      </c>
      <c r="B4" s="185" t="s">
        <v>849</v>
      </c>
      <c r="C4" s="185"/>
      <c r="D4" s="185" t="s">
        <v>850</v>
      </c>
      <c r="E4" s="185"/>
      <c r="F4" s="186"/>
      <c r="G4" s="185" t="s">
        <v>851</v>
      </c>
      <c r="H4" s="185"/>
      <c r="I4" s="186"/>
      <c r="J4" s="185"/>
      <c r="K4" s="185" t="s">
        <v>852</v>
      </c>
      <c r="L4" s="185"/>
      <c r="M4" s="187"/>
    </row>
    <row r="5" spans="1:13">
      <c r="A5" s="186"/>
      <c r="B5" s="185"/>
      <c r="C5" s="188" t="s">
        <v>853</v>
      </c>
      <c r="D5" s="185" t="s">
        <v>854</v>
      </c>
      <c r="E5" s="185" t="s">
        <v>855</v>
      </c>
      <c r="F5" s="186" t="s">
        <v>856</v>
      </c>
      <c r="G5" s="185" t="s">
        <v>857</v>
      </c>
      <c r="H5" s="185" t="s">
        <v>858</v>
      </c>
      <c r="I5" s="184" t="s">
        <v>859</v>
      </c>
      <c r="J5" s="185" t="s">
        <v>860</v>
      </c>
      <c r="K5" s="185" t="s">
        <v>861</v>
      </c>
      <c r="L5" s="185" t="s">
        <v>857</v>
      </c>
      <c r="M5" s="187" t="s">
        <v>858</v>
      </c>
    </row>
    <row r="6" spans="1:13">
      <c r="A6" s="184" t="s">
        <v>172</v>
      </c>
      <c r="B6" s="185" t="s">
        <v>172</v>
      </c>
      <c r="C6" s="188" t="s">
        <v>172</v>
      </c>
      <c r="D6" s="185" t="s">
        <v>172</v>
      </c>
      <c r="E6" s="185" t="s">
        <v>172</v>
      </c>
      <c r="F6" s="186" t="s">
        <v>141</v>
      </c>
      <c r="G6" s="185" t="s">
        <v>141</v>
      </c>
      <c r="H6" s="185" t="s">
        <v>141</v>
      </c>
      <c r="I6" s="184" t="s">
        <v>172</v>
      </c>
      <c r="J6" s="185" t="s">
        <v>183</v>
      </c>
      <c r="K6" s="185" t="s">
        <v>183</v>
      </c>
      <c r="L6" s="185" t="s">
        <v>183</v>
      </c>
      <c r="M6" s="187" t="s">
        <v>183</v>
      </c>
    </row>
    <row r="7" spans="1:13" ht="13.5" thickBot="1">
      <c r="A7" s="189"/>
      <c r="B7" s="190"/>
      <c r="C7" s="190"/>
      <c r="D7" s="190"/>
      <c r="E7" s="190"/>
      <c r="F7" s="189"/>
      <c r="G7" s="190"/>
      <c r="H7" s="190"/>
      <c r="I7" s="189"/>
      <c r="J7" s="190"/>
      <c r="K7" s="190"/>
      <c r="L7" s="190"/>
      <c r="M7" s="191"/>
    </row>
    <row r="8" spans="1:13" ht="13.5" thickTop="1"/>
    <row r="9" spans="1:13">
      <c r="A9" s="192">
        <v>0</v>
      </c>
      <c r="B9" s="193"/>
      <c r="C9" s="192">
        <v>1.6</v>
      </c>
      <c r="D9" s="193"/>
      <c r="E9" s="193"/>
      <c r="F9" s="193"/>
      <c r="G9" s="193"/>
      <c r="H9" s="193"/>
      <c r="I9" s="194"/>
      <c r="J9" s="193"/>
      <c r="K9" s="193"/>
      <c r="L9" s="193"/>
      <c r="M9" s="193"/>
    </row>
    <row r="10" spans="1:13">
      <c r="A10" s="195"/>
      <c r="B10" s="193">
        <f>A11-A9</f>
        <v>2.7</v>
      </c>
      <c r="C10" s="195"/>
      <c r="D10" s="193">
        <f>C9+C11</f>
        <v>2.9400000000000004</v>
      </c>
      <c r="E10" s="193">
        <f>D10/2</f>
        <v>1.4700000000000002</v>
      </c>
      <c r="F10" s="193">
        <f>IF(E10&lt;2,E10*B10,0)</f>
        <v>3.9690000000000007</v>
      </c>
      <c r="G10" s="193">
        <f>IF((AND(E10&gt;2,E10&lt;4)),B10*E10,0)</f>
        <v>0</v>
      </c>
      <c r="H10" s="193">
        <f>IF((AND(E10&gt;4,E10&lt;6)),B10*E10,0)</f>
        <v>0</v>
      </c>
      <c r="I10" s="192">
        <v>1</v>
      </c>
      <c r="J10" s="193">
        <f>IF(E10&lt;1,B10*E10*I10,0)</f>
        <v>0</v>
      </c>
      <c r="K10" s="193">
        <f>IF((AND(E10&gt;1,E10&lt;2.5)),B10*E10*I10,0)</f>
        <v>3.9690000000000007</v>
      </c>
      <c r="L10" s="193">
        <f>IF((AND(E10&gt;2.5,E10&lt;4)),B10*E10*I10,0)</f>
        <v>0</v>
      </c>
      <c r="M10" s="193">
        <f>IF((IF(E10&gt;4,E10&lt;6)),B10*E10*I10,0)</f>
        <v>0</v>
      </c>
    </row>
    <row r="11" spans="1:13">
      <c r="A11" s="192">
        <v>2.7</v>
      </c>
      <c r="B11" s="193"/>
      <c r="C11" s="192">
        <v>1.34</v>
      </c>
      <c r="D11" s="193"/>
      <c r="E11" s="193"/>
      <c r="F11" s="193"/>
      <c r="G11" s="193"/>
      <c r="H11" s="193"/>
      <c r="I11" s="195"/>
      <c r="J11" s="193"/>
      <c r="K11" s="193"/>
      <c r="L11" s="193"/>
      <c r="M11" s="193"/>
    </row>
    <row r="12" spans="1:13">
      <c r="A12" s="195"/>
      <c r="B12" s="193">
        <f>A13-A11</f>
        <v>17.3</v>
      </c>
      <c r="C12" s="195"/>
      <c r="D12" s="193">
        <f>C11+C13</f>
        <v>2.77</v>
      </c>
      <c r="E12" s="193">
        <f>D12/2</f>
        <v>1.385</v>
      </c>
      <c r="F12" s="193">
        <f>IF(E12&lt;2,E12*B12,0)</f>
        <v>23.9605</v>
      </c>
      <c r="G12" s="193">
        <f>IF((AND(E12&gt;2,E12&lt;4)),B12*E12,0)</f>
        <v>0</v>
      </c>
      <c r="H12" s="193">
        <f>IF((AND(E12&gt;4,E12&lt;6)),B12*E12,0)</f>
        <v>0</v>
      </c>
      <c r="I12" s="192">
        <v>1</v>
      </c>
      <c r="J12" s="193">
        <f>IF(E12&lt;1,B12*E12*I12,0)</f>
        <v>0</v>
      </c>
      <c r="K12" s="193">
        <f>IF((AND(E12&gt;1,E12&lt;2.5)),B12*E12*I12,0)</f>
        <v>23.9605</v>
      </c>
      <c r="L12" s="193">
        <f>IF((AND(E12&gt;2.5,E12&lt;4)),B12*E12*I12,0)</f>
        <v>0</v>
      </c>
      <c r="M12" s="193">
        <f>IF((IF(E12&gt;4,E12&lt;6)),B12*E12*I12,0)</f>
        <v>0</v>
      </c>
    </row>
    <row r="13" spans="1:13">
      <c r="A13" s="192">
        <v>20</v>
      </c>
      <c r="B13" s="193"/>
      <c r="C13" s="192">
        <v>1.43</v>
      </c>
      <c r="D13" s="193"/>
      <c r="E13" s="193"/>
      <c r="F13" s="193"/>
      <c r="G13" s="193"/>
      <c r="H13" s="193"/>
      <c r="I13" s="195"/>
      <c r="J13" s="193"/>
      <c r="K13" s="193"/>
      <c r="L13" s="193"/>
      <c r="M13" s="193"/>
    </row>
    <row r="14" spans="1:13">
      <c r="A14" s="195"/>
      <c r="B14" s="193">
        <f>A15-A13</f>
        <v>2.1999999999999993</v>
      </c>
      <c r="C14" s="195"/>
      <c r="D14" s="193">
        <f>C13+C15</f>
        <v>2.87</v>
      </c>
      <c r="E14" s="193">
        <f>D14/2</f>
        <v>1.4350000000000001</v>
      </c>
      <c r="F14" s="193">
        <f>IF(E14&lt;2,E14*B14,0)</f>
        <v>3.1569999999999991</v>
      </c>
      <c r="G14" s="193">
        <f>IF((AND(E14&gt;2,E14&lt;4)),B14*E14,0)</f>
        <v>0</v>
      </c>
      <c r="H14" s="193">
        <f>IF((AND(E14&gt;4,E14&lt;6)),B14*E14,0)</f>
        <v>0</v>
      </c>
      <c r="I14" s="192">
        <v>1</v>
      </c>
      <c r="J14" s="193">
        <f>IF(E14&lt;1,B14*E14*I14,0)</f>
        <v>0</v>
      </c>
      <c r="K14" s="193">
        <f>IF((AND(E14&gt;1,E14&lt;2.5)),B14*E14*I14,0)</f>
        <v>3.1569999999999991</v>
      </c>
      <c r="L14" s="193">
        <f>IF((AND(E14&gt;2.5,E14&lt;4)),B14*E14*I14,0)</f>
        <v>0</v>
      </c>
      <c r="M14" s="193">
        <f>IF((IF(E14&gt;4,E14&lt;6)),B14*E14*I14,0)</f>
        <v>0</v>
      </c>
    </row>
    <row r="15" spans="1:13">
      <c r="A15" s="192">
        <v>22.2</v>
      </c>
      <c r="B15" s="193"/>
      <c r="C15" s="192">
        <v>1.44</v>
      </c>
      <c r="D15" s="193"/>
      <c r="E15" s="193"/>
      <c r="F15" s="193"/>
      <c r="G15" s="193"/>
      <c r="H15" s="193"/>
      <c r="I15" s="195"/>
      <c r="J15" s="193"/>
      <c r="K15" s="193"/>
      <c r="L15" s="193"/>
      <c r="M15" s="193"/>
    </row>
    <row r="16" spans="1:13">
      <c r="A16" s="195"/>
      <c r="B16" s="193">
        <f>A17-A15</f>
        <v>17.8</v>
      </c>
      <c r="C16" s="195"/>
      <c r="D16" s="193">
        <f>C15+C17</f>
        <v>2.91</v>
      </c>
      <c r="E16" s="193">
        <f>D16/2</f>
        <v>1.4550000000000001</v>
      </c>
      <c r="F16" s="193">
        <f>IF(E16&lt;2,E16*B16,0)</f>
        <v>25.899000000000001</v>
      </c>
      <c r="G16" s="193">
        <f>IF((AND(E16&gt;2,E16&lt;4)),B16*E16,0)</f>
        <v>0</v>
      </c>
      <c r="H16" s="193">
        <f>IF((AND(E16&gt;4,E16&lt;6)),B16*E16,0)</f>
        <v>0</v>
      </c>
      <c r="I16" s="192">
        <v>1</v>
      </c>
      <c r="J16" s="193">
        <f>IF(E16&lt;1,B16*E16*I16,0)</f>
        <v>0</v>
      </c>
      <c r="K16" s="193">
        <f>IF((AND(E16&gt;1,E16&lt;2.5)),B16*E16*I16,0)</f>
        <v>25.899000000000001</v>
      </c>
      <c r="L16" s="193">
        <f>IF((AND(E16&gt;2.5,E16&lt;4)),B16*E16*I16,0)</f>
        <v>0</v>
      </c>
      <c r="M16" s="193">
        <f>IF((IF(E16&gt;4,E16&lt;6)),B16*E16*I16,0)</f>
        <v>0</v>
      </c>
    </row>
    <row r="17" spans="1:13">
      <c r="A17" s="192">
        <v>40</v>
      </c>
      <c r="B17" s="193"/>
      <c r="C17" s="192">
        <v>1.47</v>
      </c>
      <c r="D17" s="193"/>
      <c r="E17" s="193"/>
      <c r="F17" s="193"/>
      <c r="G17" s="193"/>
      <c r="H17" s="193"/>
      <c r="I17" s="194"/>
      <c r="J17" s="193"/>
      <c r="K17" s="193"/>
      <c r="L17" s="193"/>
      <c r="M17" s="193"/>
    </row>
    <row r="18" spans="1:13">
      <c r="A18" s="195"/>
      <c r="B18" s="193">
        <f>A19-A17</f>
        <v>20</v>
      </c>
      <c r="C18" s="195"/>
      <c r="D18" s="193">
        <f>C17+C19</f>
        <v>2.9699999999999998</v>
      </c>
      <c r="E18" s="193">
        <f>D18/2</f>
        <v>1.4849999999999999</v>
      </c>
      <c r="F18" s="193">
        <f>IF(E18&lt;2,E18*B18,0)</f>
        <v>29.699999999999996</v>
      </c>
      <c r="G18" s="193">
        <f>IF((AND(E18&gt;2,E18&lt;4)),B18*E18,0)</f>
        <v>0</v>
      </c>
      <c r="H18" s="193">
        <f>IF((AND(E18&gt;4,E18&lt;6)),B18*E18,0)</f>
        <v>0</v>
      </c>
      <c r="I18" s="192">
        <v>1</v>
      </c>
      <c r="J18" s="193">
        <f>IF(E18&lt;1,B18*E18*I18,0)</f>
        <v>0</v>
      </c>
      <c r="K18" s="193">
        <f>IF((AND(E18&gt;1,E18&lt;2.5)),B18*E18*I18,0)</f>
        <v>29.699999999999996</v>
      </c>
      <c r="L18" s="193">
        <f>IF((AND(E18&gt;2.5,E18&lt;4)),B18*E18*I18,0)</f>
        <v>0</v>
      </c>
      <c r="M18" s="193">
        <f>IF((IF(E18&gt;4,E18&lt;6)),B18*E18*I18,0)</f>
        <v>0</v>
      </c>
    </row>
    <row r="19" spans="1:13">
      <c r="A19" s="192">
        <v>60</v>
      </c>
      <c r="B19" s="193"/>
      <c r="C19" s="192">
        <v>1.5</v>
      </c>
      <c r="D19" s="193"/>
      <c r="E19" s="193"/>
      <c r="F19" s="193"/>
      <c r="G19" s="193"/>
      <c r="H19" s="193"/>
      <c r="I19" s="194"/>
      <c r="J19" s="193"/>
      <c r="K19" s="193"/>
      <c r="L19" s="193"/>
      <c r="M19" s="193"/>
    </row>
    <row r="20" spans="1:13">
      <c r="A20" s="195"/>
      <c r="B20" s="193">
        <f>A21-A19</f>
        <v>10</v>
      </c>
      <c r="C20" s="195"/>
      <c r="D20" s="193">
        <f>C19+C21</f>
        <v>3.02</v>
      </c>
      <c r="E20" s="193">
        <f>D20/2</f>
        <v>1.51</v>
      </c>
      <c r="F20" s="193">
        <f>IF(E20&lt;2,E20*B20,0)</f>
        <v>15.1</v>
      </c>
      <c r="G20" s="193">
        <f>IF((AND(E20&gt;2,E20&lt;4)),B20*E20,0)</f>
        <v>0</v>
      </c>
      <c r="H20" s="193">
        <f>IF((AND(E20&gt;4,E20&lt;6)),B20*E20,0)</f>
        <v>0</v>
      </c>
      <c r="I20" s="192">
        <v>1</v>
      </c>
      <c r="J20" s="193">
        <f>IF(E20&lt;1,B20*E20*I20,0)</f>
        <v>0</v>
      </c>
      <c r="K20" s="193">
        <f>IF((AND(E20&gt;1,E20&lt;2.5)),B20*E20*I20,0)</f>
        <v>15.1</v>
      </c>
      <c r="L20" s="193">
        <f>IF((AND(E20&gt;2.5,E20&lt;4)),B20*E20*I20,0)</f>
        <v>0</v>
      </c>
      <c r="M20" s="193">
        <f>IF((IF(E20&gt;4,E20&lt;6)),B20*E20*I20,0)</f>
        <v>0</v>
      </c>
    </row>
    <row r="21" spans="1:13">
      <c r="A21" s="192">
        <v>70</v>
      </c>
      <c r="B21" s="193"/>
      <c r="C21" s="192">
        <v>1.52</v>
      </c>
      <c r="D21" s="193"/>
      <c r="E21" s="193"/>
      <c r="F21" s="193"/>
      <c r="G21" s="193"/>
      <c r="H21" s="193"/>
      <c r="I21" s="195"/>
      <c r="J21" s="193"/>
      <c r="K21" s="193"/>
      <c r="L21" s="193"/>
      <c r="M21" s="193"/>
    </row>
    <row r="22" spans="1:13">
      <c r="A22" s="214"/>
      <c r="B22" s="215"/>
      <c r="C22" s="214"/>
      <c r="D22" s="215"/>
      <c r="E22" s="215"/>
      <c r="F22" s="215"/>
      <c r="G22" s="215"/>
      <c r="H22" s="215"/>
      <c r="I22" s="215"/>
      <c r="J22" s="193"/>
      <c r="K22" s="193"/>
      <c r="L22" s="193"/>
      <c r="M22" s="193"/>
    </row>
    <row r="23" spans="1:13">
      <c r="A23" s="216" t="s">
        <v>862</v>
      </c>
      <c r="B23" s="215"/>
      <c r="C23" s="215"/>
      <c r="D23" s="215"/>
      <c r="E23" s="215"/>
      <c r="F23" s="215">
        <f>SUM(F9:F21)</f>
        <v>101.78549999999998</v>
      </c>
      <c r="G23" s="215">
        <f>SUM(G9:G21)</f>
        <v>0</v>
      </c>
      <c r="H23" s="215">
        <f>SUM(H9:H15)</f>
        <v>0</v>
      </c>
      <c r="I23" s="214"/>
      <c r="J23" s="198">
        <f>SUM(J9:J22)</f>
        <v>0</v>
      </c>
      <c r="K23" s="198">
        <f>SUM(K9:K22)</f>
        <v>101.78549999999998</v>
      </c>
      <c r="L23" s="198">
        <f>SUM(L9:L22)</f>
        <v>0</v>
      </c>
      <c r="M23" s="198">
        <f>SUM(M9:M22)</f>
        <v>0</v>
      </c>
    </row>
    <row r="24" spans="1:13">
      <c r="A24" s="214"/>
      <c r="B24" s="215"/>
      <c r="C24" s="214"/>
      <c r="D24" s="215"/>
      <c r="E24" s="215"/>
      <c r="F24" s="215" t="s">
        <v>893</v>
      </c>
      <c r="G24" s="215" t="s">
        <v>893</v>
      </c>
      <c r="H24" s="215" t="s">
        <v>893</v>
      </c>
      <c r="I24" s="215"/>
      <c r="J24" s="193"/>
      <c r="K24" s="193"/>
      <c r="L24" s="193"/>
      <c r="M24" s="193"/>
    </row>
    <row r="25" spans="1:13">
      <c r="A25" s="215"/>
      <c r="B25" s="215"/>
      <c r="C25" s="215"/>
      <c r="D25" s="215"/>
      <c r="E25" s="215"/>
      <c r="F25" s="216">
        <f>F23*2</f>
        <v>203.57099999999997</v>
      </c>
      <c r="G25" s="216">
        <f>G23*2</f>
        <v>0</v>
      </c>
      <c r="H25" s="215">
        <f>H23*2</f>
        <v>0</v>
      </c>
      <c r="I25" s="214"/>
      <c r="J25" s="193"/>
      <c r="K25" s="193"/>
      <c r="L25" s="193"/>
      <c r="M25" s="217"/>
    </row>
    <row r="26" spans="1:13">
      <c r="I26" s="197" t="s">
        <v>862</v>
      </c>
      <c r="M26" s="197">
        <f>J23+K23+L23+M23</f>
        <v>101.78549999999998</v>
      </c>
    </row>
    <row r="27" spans="1:13" ht="13.5" thickBot="1">
      <c r="A27" s="178" t="s">
        <v>865</v>
      </c>
      <c r="H27" s="178"/>
      <c r="L27" s="178"/>
    </row>
    <row r="28" spans="1:13" ht="13.5" thickTop="1">
      <c r="A28" s="203" t="s">
        <v>871</v>
      </c>
      <c r="B28" s="200" t="s">
        <v>870</v>
      </c>
      <c r="C28" s="202" t="s">
        <v>872</v>
      </c>
      <c r="E28" s="213"/>
      <c r="J28" s="213"/>
    </row>
    <row r="29" spans="1:13" ht="13.5" thickBot="1">
      <c r="A29" s="205" t="s">
        <v>873</v>
      </c>
      <c r="B29" s="206" t="s">
        <v>172</v>
      </c>
      <c r="C29" s="207" t="s">
        <v>183</v>
      </c>
    </row>
    <row r="30" spans="1:13" ht="13.5" thickTop="1">
      <c r="A30" s="209">
        <v>90</v>
      </c>
      <c r="B30" s="208">
        <v>49</v>
      </c>
      <c r="C30" s="210">
        <f>(3.14*0.045*0.045)*B30</f>
        <v>0.31156650000000002</v>
      </c>
      <c r="L30" s="218"/>
    </row>
    <row r="31" spans="1:13">
      <c r="A31" s="211">
        <v>110</v>
      </c>
      <c r="B31" s="210">
        <v>70</v>
      </c>
      <c r="C31" s="210">
        <f>(3.14*0.055*0.055)*B31</f>
        <v>0.66489500000000012</v>
      </c>
      <c r="L31" s="218"/>
    </row>
    <row r="32" spans="1:13">
      <c r="A32" s="211">
        <v>160</v>
      </c>
      <c r="B32" s="210">
        <v>0</v>
      </c>
      <c r="C32" s="210">
        <f>(3.14*0.08*0.08)*B32</f>
        <v>0</v>
      </c>
      <c r="L32" s="218"/>
    </row>
    <row r="33" spans="1:14">
      <c r="A33" s="211">
        <v>225</v>
      </c>
      <c r="B33" s="210">
        <v>0</v>
      </c>
      <c r="C33" s="210">
        <f>(3.14*0.125*0.125)*B33</f>
        <v>0</v>
      </c>
      <c r="L33" s="218"/>
    </row>
    <row r="34" spans="1:14">
      <c r="A34" s="197" t="s">
        <v>862</v>
      </c>
      <c r="B34" s="210"/>
      <c r="C34" s="197">
        <f>SUM(C30:C33)</f>
        <v>0.97646150000000009</v>
      </c>
      <c r="E34" s="177"/>
      <c r="H34" s="177"/>
      <c r="J34" s="177"/>
      <c r="L34" s="177"/>
      <c r="N34" s="177"/>
    </row>
    <row r="36" spans="1:14">
      <c r="A36" s="178" t="s">
        <v>885</v>
      </c>
      <c r="C36" s="212">
        <f>M26</f>
        <v>101.78549999999998</v>
      </c>
      <c r="D36" s="178" t="s">
        <v>183</v>
      </c>
      <c r="E36" s="213" t="s">
        <v>894</v>
      </c>
    </row>
    <row r="37" spans="1:14">
      <c r="C37" s="212">
        <f>M26-C34</f>
        <v>100.80903849999999</v>
      </c>
      <c r="D37" s="178" t="s">
        <v>183</v>
      </c>
      <c r="E37" s="213" t="s">
        <v>895</v>
      </c>
    </row>
  </sheetData>
  <sheetProtection password="CCA7" sheet="1" objects="1" scenarios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lcf76f155ced4ddcb4097134ff3c332f xmlns="d4cc1580-2a65-4676-bc43-8335e1d94486">
      <Terms xmlns="http://schemas.microsoft.com/office/infopath/2007/PartnerControls"/>
    </lcf76f155ced4ddcb4097134ff3c332f>
    <Odkaz xmlns="d4cc1580-2a65-4676-bc43-8335e1d94486">
      <Url xsi:nil="true"/>
      <Description xsi:nil="true"/>
    </Odkaz>
    <DATE xmlns="d4cc1580-2a65-4676-bc43-8335e1d944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A27067-48AA-4B19-B39F-EE7A7E2A1A7F}"/>
</file>

<file path=customXml/itemProps2.xml><?xml version="1.0" encoding="utf-8"?>
<ds:datastoreItem xmlns:ds="http://schemas.openxmlformats.org/officeDocument/2006/customXml" ds:itemID="{9D093E73-5C64-496E-8EA6-1918075AA4BF}"/>
</file>

<file path=customXml/itemProps3.xml><?xml version="1.0" encoding="utf-8"?>
<ds:datastoreItem xmlns:ds="http://schemas.openxmlformats.org/officeDocument/2006/customXml" ds:itemID="{63B3AB89-1145-4B4E-83A8-B45FECFF29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NB__ACER_JIRKA\Jiri</dc:creator>
  <cp:keywords/>
  <dc:description/>
  <cp:lastModifiedBy>radim.holub@gmail.com</cp:lastModifiedBy>
  <cp:revision/>
  <dcterms:created xsi:type="dcterms:W3CDTF">2025-11-11T09:35:22Z</dcterms:created>
  <dcterms:modified xsi:type="dcterms:W3CDTF">2026-03-12T06:19:05Z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  <property fmtid="{D5CDD505-2E9C-101B-9397-08002B2CF9AE}" pid="3" name="MediaServiceImageTags">
    <vt:lpwstr/>
  </property>
</Properties>
</file>