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1955"/>
  </bookViews>
  <sheets>
    <sheet name="Stavební rozpočet" sheetId="1" r:id="rId1"/>
    <sheet name="Stavební rozpočet - součet" sheetId="2" r:id="rId2"/>
    <sheet name="Krycí list rozpočtu" sheetId="3" r:id="rId3"/>
    <sheet name="VORN" sheetId="4" r:id="rId4"/>
  </sheets>
  <definedNames>
    <definedName name="vorn_sum">VORN!$I$36</definedName>
  </definedNames>
  <calcPr calcId="145621"/>
</workbook>
</file>

<file path=xl/calcChain.xml><?xml version="1.0" encoding="utf-8"?>
<calcChain xmlns="http://schemas.openxmlformats.org/spreadsheetml/2006/main">
  <c r="I36" i="4" l="1"/>
  <c r="I24" i="3" s="1"/>
  <c r="I35" i="4"/>
  <c r="I26" i="4"/>
  <c r="I19" i="3" s="1"/>
  <c r="I25" i="4"/>
  <c r="I24" i="4"/>
  <c r="I23" i="4"/>
  <c r="I22" i="4"/>
  <c r="I17" i="4"/>
  <c r="F16" i="3" s="1"/>
  <c r="I16" i="4"/>
  <c r="I15" i="4"/>
  <c r="I10" i="4"/>
  <c r="F10" i="4"/>
  <c r="C10" i="4"/>
  <c r="F8" i="4"/>
  <c r="C8" i="4"/>
  <c r="F6" i="4"/>
  <c r="C6" i="4"/>
  <c r="F4" i="4"/>
  <c r="C4" i="4"/>
  <c r="F2" i="4"/>
  <c r="C2" i="4"/>
  <c r="I18" i="3"/>
  <c r="I17" i="3"/>
  <c r="I16" i="3"/>
  <c r="I15" i="3"/>
  <c r="F15" i="3"/>
  <c r="F14" i="3"/>
  <c r="I10" i="3"/>
  <c r="F10" i="3"/>
  <c r="C10" i="3"/>
  <c r="F8" i="3"/>
  <c r="C8" i="3"/>
  <c r="F6" i="3"/>
  <c r="C6" i="3"/>
  <c r="F4" i="3"/>
  <c r="C4" i="3"/>
  <c r="F2" i="3"/>
  <c r="C2" i="3"/>
  <c r="F21" i="2"/>
  <c r="G8" i="2"/>
  <c r="C8" i="2"/>
  <c r="G6" i="2"/>
  <c r="C6" i="2"/>
  <c r="G4" i="2"/>
  <c r="C4" i="2"/>
  <c r="G2" i="2"/>
  <c r="C2" i="2"/>
  <c r="BJ200" i="1"/>
  <c r="BI200" i="1"/>
  <c r="AE200" i="1" s="1"/>
  <c r="BF200" i="1"/>
  <c r="BD200" i="1"/>
  <c r="AW200" i="1"/>
  <c r="AP200" i="1"/>
  <c r="AO200" i="1"/>
  <c r="BH200" i="1" s="1"/>
  <c r="AD200" i="1" s="1"/>
  <c r="AL200" i="1"/>
  <c r="AK200" i="1"/>
  <c r="AJ200" i="1"/>
  <c r="AS198" i="1" s="1"/>
  <c r="AH200" i="1"/>
  <c r="AG200" i="1"/>
  <c r="AF200" i="1"/>
  <c r="AC200" i="1"/>
  <c r="AB200" i="1"/>
  <c r="Z200" i="1"/>
  <c r="J200" i="1"/>
  <c r="H200" i="1"/>
  <c r="BJ199" i="1"/>
  <c r="BF199" i="1"/>
  <c r="BD199" i="1"/>
  <c r="AX199" i="1"/>
  <c r="AP199" i="1"/>
  <c r="BI199" i="1" s="1"/>
  <c r="AE199" i="1" s="1"/>
  <c r="AO199" i="1"/>
  <c r="BH199" i="1" s="1"/>
  <c r="AD199" i="1" s="1"/>
  <c r="AK199" i="1"/>
  <c r="AT198" i="1" s="1"/>
  <c r="AJ199" i="1"/>
  <c r="AH199" i="1"/>
  <c r="AG199" i="1"/>
  <c r="AF199" i="1"/>
  <c r="AC199" i="1"/>
  <c r="AB199" i="1"/>
  <c r="Z199" i="1"/>
  <c r="J199" i="1"/>
  <c r="AL199" i="1" s="1"/>
  <c r="AU198" i="1" s="1"/>
  <c r="I199" i="1"/>
  <c r="H199" i="1"/>
  <c r="H198" i="1" s="1"/>
  <c r="E33" i="2" s="1"/>
  <c r="J198" i="1"/>
  <c r="G33" i="2" s="1"/>
  <c r="I33" i="2" s="1"/>
  <c r="BJ196" i="1"/>
  <c r="BF196" i="1"/>
  <c r="BD196" i="1"/>
  <c r="AW196" i="1"/>
  <c r="AP196" i="1"/>
  <c r="AO196" i="1"/>
  <c r="BH196" i="1" s="1"/>
  <c r="AD196" i="1" s="1"/>
  <c r="AL196" i="1"/>
  <c r="AK196" i="1"/>
  <c r="AJ196" i="1"/>
  <c r="AS195" i="1" s="1"/>
  <c r="AH196" i="1"/>
  <c r="AG196" i="1"/>
  <c r="AF196" i="1"/>
  <c r="AC196" i="1"/>
  <c r="AB196" i="1"/>
  <c r="Z196" i="1"/>
  <c r="J196" i="1"/>
  <c r="H196" i="1"/>
  <c r="AU195" i="1"/>
  <c r="AT195" i="1"/>
  <c r="J195" i="1"/>
  <c r="G32" i="2" s="1"/>
  <c r="I32" i="2" s="1"/>
  <c r="H195" i="1"/>
  <c r="E32" i="2" s="1"/>
  <c r="BJ194" i="1"/>
  <c r="Z194" i="1" s="1"/>
  <c r="BH194" i="1"/>
  <c r="BF194" i="1"/>
  <c r="BD194" i="1"/>
  <c r="AX194" i="1"/>
  <c r="AP194" i="1"/>
  <c r="BI194" i="1" s="1"/>
  <c r="AO194" i="1"/>
  <c r="AK194" i="1"/>
  <c r="AJ194" i="1"/>
  <c r="AH194" i="1"/>
  <c r="AG194" i="1"/>
  <c r="AF194" i="1"/>
  <c r="AE194" i="1"/>
  <c r="AD194" i="1"/>
  <c r="AC194" i="1"/>
  <c r="AB194" i="1"/>
  <c r="J194" i="1"/>
  <c r="AL194" i="1" s="1"/>
  <c r="I194" i="1"/>
  <c r="BJ193" i="1"/>
  <c r="BF193" i="1"/>
  <c r="BD193" i="1"/>
  <c r="AW193" i="1"/>
  <c r="AP193" i="1"/>
  <c r="AO193" i="1"/>
  <c r="BH193" i="1" s="1"/>
  <c r="AD193" i="1" s="1"/>
  <c r="AL193" i="1"/>
  <c r="AK193" i="1"/>
  <c r="AJ193" i="1"/>
  <c r="AH193" i="1"/>
  <c r="AG193" i="1"/>
  <c r="AF193" i="1"/>
  <c r="AC193" i="1"/>
  <c r="AB193" i="1"/>
  <c r="Z193" i="1"/>
  <c r="J193" i="1"/>
  <c r="H193" i="1"/>
  <c r="BJ192" i="1"/>
  <c r="BF192" i="1"/>
  <c r="BD192" i="1"/>
  <c r="AX192" i="1"/>
  <c r="AP192" i="1"/>
  <c r="BI192" i="1" s="1"/>
  <c r="AE192" i="1" s="1"/>
  <c r="AO192" i="1"/>
  <c r="BH192" i="1" s="1"/>
  <c r="AD192" i="1" s="1"/>
  <c r="AK192" i="1"/>
  <c r="AJ192" i="1"/>
  <c r="AH192" i="1"/>
  <c r="AG192" i="1"/>
  <c r="AF192" i="1"/>
  <c r="AC192" i="1"/>
  <c r="AB192" i="1"/>
  <c r="Z192" i="1"/>
  <c r="J192" i="1"/>
  <c r="AL192" i="1" s="1"/>
  <c r="I192" i="1"/>
  <c r="H192" i="1"/>
  <c r="BJ191" i="1"/>
  <c r="BF191" i="1"/>
  <c r="BD191" i="1"/>
  <c r="AW191" i="1"/>
  <c r="AP191" i="1"/>
  <c r="BI191" i="1" s="1"/>
  <c r="AE191" i="1" s="1"/>
  <c r="AO191" i="1"/>
  <c r="BH191" i="1" s="1"/>
  <c r="AD191" i="1" s="1"/>
  <c r="AL191" i="1"/>
  <c r="AK191" i="1"/>
  <c r="AJ191" i="1"/>
  <c r="AH191" i="1"/>
  <c r="AG191" i="1"/>
  <c r="AF191" i="1"/>
  <c r="AC191" i="1"/>
  <c r="AB191" i="1"/>
  <c r="Z191" i="1"/>
  <c r="J191" i="1"/>
  <c r="I191" i="1"/>
  <c r="H191" i="1"/>
  <c r="BJ190" i="1"/>
  <c r="BF190" i="1"/>
  <c r="BD190" i="1"/>
  <c r="AX190" i="1"/>
  <c r="AP190" i="1"/>
  <c r="BI190" i="1" s="1"/>
  <c r="AE190" i="1" s="1"/>
  <c r="AO190" i="1"/>
  <c r="AK190" i="1"/>
  <c r="AJ190" i="1"/>
  <c r="AH190" i="1"/>
  <c r="AG190" i="1"/>
  <c r="AF190" i="1"/>
  <c r="AC190" i="1"/>
  <c r="AB190" i="1"/>
  <c r="Z190" i="1"/>
  <c r="J190" i="1"/>
  <c r="AL190" i="1" s="1"/>
  <c r="I190" i="1"/>
  <c r="BJ189" i="1"/>
  <c r="BI189" i="1"/>
  <c r="AE189" i="1" s="1"/>
  <c r="BF189" i="1"/>
  <c r="BD189" i="1"/>
  <c r="AW189" i="1"/>
  <c r="AP189" i="1"/>
  <c r="AO189" i="1"/>
  <c r="BH189" i="1" s="1"/>
  <c r="AD189" i="1" s="1"/>
  <c r="AL189" i="1"/>
  <c r="AK189" i="1"/>
  <c r="AJ189" i="1"/>
  <c r="AH189" i="1"/>
  <c r="AG189" i="1"/>
  <c r="AF189" i="1"/>
  <c r="AC189" i="1"/>
  <c r="AB189" i="1"/>
  <c r="Z189" i="1"/>
  <c r="J189" i="1"/>
  <c r="H189" i="1"/>
  <c r="BJ188" i="1"/>
  <c r="BF188" i="1"/>
  <c r="BD188" i="1"/>
  <c r="AX188" i="1"/>
  <c r="AP188" i="1"/>
  <c r="BI188" i="1" s="1"/>
  <c r="AE188" i="1" s="1"/>
  <c r="AO188" i="1"/>
  <c r="BH188" i="1" s="1"/>
  <c r="AD188" i="1" s="1"/>
  <c r="AK188" i="1"/>
  <c r="AJ188" i="1"/>
  <c r="AH188" i="1"/>
  <c r="AG188" i="1"/>
  <c r="AF188" i="1"/>
  <c r="AC188" i="1"/>
  <c r="AB188" i="1"/>
  <c r="Z188" i="1"/>
  <c r="J188" i="1"/>
  <c r="AL188" i="1" s="1"/>
  <c r="I188" i="1"/>
  <c r="H188" i="1"/>
  <c r="BJ187" i="1"/>
  <c r="BF187" i="1"/>
  <c r="BD187" i="1"/>
  <c r="AW187" i="1"/>
  <c r="AP187" i="1"/>
  <c r="BI187" i="1" s="1"/>
  <c r="AE187" i="1" s="1"/>
  <c r="AO187" i="1"/>
  <c r="BH187" i="1" s="1"/>
  <c r="AD187" i="1" s="1"/>
  <c r="AL187" i="1"/>
  <c r="AK187" i="1"/>
  <c r="AJ187" i="1"/>
  <c r="AH187" i="1"/>
  <c r="AG187" i="1"/>
  <c r="AF187" i="1"/>
  <c r="AC187" i="1"/>
  <c r="AB187" i="1"/>
  <c r="Z187" i="1"/>
  <c r="J187" i="1"/>
  <c r="I187" i="1"/>
  <c r="H187" i="1"/>
  <c r="BJ186" i="1"/>
  <c r="BH186" i="1"/>
  <c r="AD186" i="1" s="1"/>
  <c r="BF186" i="1"/>
  <c r="BD186" i="1"/>
  <c r="AX186" i="1"/>
  <c r="AP186" i="1"/>
  <c r="BI186" i="1" s="1"/>
  <c r="AE186" i="1" s="1"/>
  <c r="AO186" i="1"/>
  <c r="AK186" i="1"/>
  <c r="AJ186" i="1"/>
  <c r="AH186" i="1"/>
  <c r="AG186" i="1"/>
  <c r="AF186" i="1"/>
  <c r="AC186" i="1"/>
  <c r="AB186" i="1"/>
  <c r="Z186" i="1"/>
  <c r="J186" i="1"/>
  <c r="AL186" i="1" s="1"/>
  <c r="I186" i="1"/>
  <c r="BJ185" i="1"/>
  <c r="BF185" i="1"/>
  <c r="BD185" i="1"/>
  <c r="AW185" i="1"/>
  <c r="AP185" i="1"/>
  <c r="AO185" i="1"/>
  <c r="BH185" i="1" s="1"/>
  <c r="AD185" i="1" s="1"/>
  <c r="AL185" i="1"/>
  <c r="AK185" i="1"/>
  <c r="AJ185" i="1"/>
  <c r="AH185" i="1"/>
  <c r="AG185" i="1"/>
  <c r="AF185" i="1"/>
  <c r="AC185" i="1"/>
  <c r="AB185" i="1"/>
  <c r="Z185" i="1"/>
  <c r="J185" i="1"/>
  <c r="H185" i="1"/>
  <c r="BJ184" i="1"/>
  <c r="BF184" i="1"/>
  <c r="BD184" i="1"/>
  <c r="AX184" i="1"/>
  <c r="AP184" i="1"/>
  <c r="BI184" i="1" s="1"/>
  <c r="AE184" i="1" s="1"/>
  <c r="AO184" i="1"/>
  <c r="BH184" i="1" s="1"/>
  <c r="AD184" i="1" s="1"/>
  <c r="AK184" i="1"/>
  <c r="AT182" i="1" s="1"/>
  <c r="AJ184" i="1"/>
  <c r="AH184" i="1"/>
  <c r="AG184" i="1"/>
  <c r="AF184" i="1"/>
  <c r="AC184" i="1"/>
  <c r="AB184" i="1"/>
  <c r="Z184" i="1"/>
  <c r="J184" i="1"/>
  <c r="J182" i="1" s="1"/>
  <c r="G31" i="2" s="1"/>
  <c r="I31" i="2" s="1"/>
  <c r="I184" i="1"/>
  <c r="H184" i="1"/>
  <c r="BJ183" i="1"/>
  <c r="BF183" i="1"/>
  <c r="BD183" i="1"/>
  <c r="AW183" i="1"/>
  <c r="AP183" i="1"/>
  <c r="BI183" i="1" s="1"/>
  <c r="AE183" i="1" s="1"/>
  <c r="AO183" i="1"/>
  <c r="BH183" i="1" s="1"/>
  <c r="AD183" i="1" s="1"/>
  <c r="AL183" i="1"/>
  <c r="AK183" i="1"/>
  <c r="AJ183" i="1"/>
  <c r="AH183" i="1"/>
  <c r="AG183" i="1"/>
  <c r="AF183" i="1"/>
  <c r="AC183" i="1"/>
  <c r="AB183" i="1"/>
  <c r="Z183" i="1"/>
  <c r="J183" i="1"/>
  <c r="I183" i="1"/>
  <c r="H183" i="1"/>
  <c r="AS182" i="1"/>
  <c r="BJ181" i="1"/>
  <c r="Z181" i="1" s="1"/>
  <c r="BF181" i="1"/>
  <c r="BD181" i="1"/>
  <c r="AX181" i="1"/>
  <c r="AP181" i="1"/>
  <c r="BI181" i="1" s="1"/>
  <c r="AO181" i="1"/>
  <c r="BH181" i="1" s="1"/>
  <c r="AK181" i="1"/>
  <c r="AJ181" i="1"/>
  <c r="AH181" i="1"/>
  <c r="AG181" i="1"/>
  <c r="AF181" i="1"/>
  <c r="AE181" i="1"/>
  <c r="AD181" i="1"/>
  <c r="AC181" i="1"/>
  <c r="AB181" i="1"/>
  <c r="J181" i="1"/>
  <c r="AL181" i="1" s="1"/>
  <c r="I181" i="1"/>
  <c r="H181" i="1"/>
  <c r="BJ178" i="1"/>
  <c r="BF178" i="1"/>
  <c r="BD178" i="1"/>
  <c r="AW178" i="1"/>
  <c r="AP178" i="1"/>
  <c r="BI178" i="1" s="1"/>
  <c r="AE178" i="1" s="1"/>
  <c r="AO178" i="1"/>
  <c r="BH178" i="1" s="1"/>
  <c r="AD178" i="1" s="1"/>
  <c r="AL178" i="1"/>
  <c r="AK178" i="1"/>
  <c r="AJ178" i="1"/>
  <c r="AH178" i="1"/>
  <c r="AG178" i="1"/>
  <c r="AF178" i="1"/>
  <c r="AC178" i="1"/>
  <c r="AB178" i="1"/>
  <c r="Z178" i="1"/>
  <c r="J178" i="1"/>
  <c r="I178" i="1"/>
  <c r="H178" i="1"/>
  <c r="BJ177" i="1"/>
  <c r="BH177" i="1"/>
  <c r="AD177" i="1" s="1"/>
  <c r="BF177" i="1"/>
  <c r="BD177" i="1"/>
  <c r="AX177" i="1"/>
  <c r="AP177" i="1"/>
  <c r="BI177" i="1" s="1"/>
  <c r="AE177" i="1" s="1"/>
  <c r="AO177" i="1"/>
  <c r="AK177" i="1"/>
  <c r="AJ177" i="1"/>
  <c r="AH177" i="1"/>
  <c r="AG177" i="1"/>
  <c r="AF177" i="1"/>
  <c r="AC177" i="1"/>
  <c r="AB177" i="1"/>
  <c r="Z177" i="1"/>
  <c r="J177" i="1"/>
  <c r="AL177" i="1" s="1"/>
  <c r="I177" i="1"/>
  <c r="BJ176" i="1"/>
  <c r="BF176" i="1"/>
  <c r="BD176" i="1"/>
  <c r="AW176" i="1"/>
  <c r="AP176" i="1"/>
  <c r="AO176" i="1"/>
  <c r="BH176" i="1" s="1"/>
  <c r="AD176" i="1" s="1"/>
  <c r="AL176" i="1"/>
  <c r="AK176" i="1"/>
  <c r="AJ176" i="1"/>
  <c r="AH176" i="1"/>
  <c r="AG176" i="1"/>
  <c r="AF176" i="1"/>
  <c r="AC176" i="1"/>
  <c r="AB176" i="1"/>
  <c r="Z176" i="1"/>
  <c r="J176" i="1"/>
  <c r="H176" i="1"/>
  <c r="BJ174" i="1"/>
  <c r="BF174" i="1"/>
  <c r="BD174" i="1"/>
  <c r="AX174" i="1"/>
  <c r="AP174" i="1"/>
  <c r="BI174" i="1" s="1"/>
  <c r="AE174" i="1" s="1"/>
  <c r="AO174" i="1"/>
  <c r="BH174" i="1" s="1"/>
  <c r="AD174" i="1" s="1"/>
  <c r="AK174" i="1"/>
  <c r="AJ174" i="1"/>
  <c r="AH174" i="1"/>
  <c r="AG174" i="1"/>
  <c r="AF174" i="1"/>
  <c r="AC174" i="1"/>
  <c r="AB174" i="1"/>
  <c r="Z174" i="1"/>
  <c r="J174" i="1"/>
  <c r="AL174" i="1" s="1"/>
  <c r="I174" i="1"/>
  <c r="H174" i="1"/>
  <c r="BJ172" i="1"/>
  <c r="BF172" i="1"/>
  <c r="BD172" i="1"/>
  <c r="AW172" i="1"/>
  <c r="AP172" i="1"/>
  <c r="BI172" i="1" s="1"/>
  <c r="AE172" i="1" s="1"/>
  <c r="AO172" i="1"/>
  <c r="BH172" i="1" s="1"/>
  <c r="AD172" i="1" s="1"/>
  <c r="AL172" i="1"/>
  <c r="AK172" i="1"/>
  <c r="AJ172" i="1"/>
  <c r="AH172" i="1"/>
  <c r="AG172" i="1"/>
  <c r="AF172" i="1"/>
  <c r="AC172" i="1"/>
  <c r="AB172" i="1"/>
  <c r="Z172" i="1"/>
  <c r="J172" i="1"/>
  <c r="I172" i="1"/>
  <c r="H172" i="1"/>
  <c r="BJ171" i="1"/>
  <c r="BF171" i="1"/>
  <c r="BD171" i="1"/>
  <c r="AX171" i="1"/>
  <c r="AP171" i="1"/>
  <c r="BI171" i="1" s="1"/>
  <c r="AE171" i="1" s="1"/>
  <c r="AO171" i="1"/>
  <c r="AW171" i="1" s="1"/>
  <c r="AK171" i="1"/>
  <c r="AJ171" i="1"/>
  <c r="AH171" i="1"/>
  <c r="AG171" i="1"/>
  <c r="AF171" i="1"/>
  <c r="AC171" i="1"/>
  <c r="AB171" i="1"/>
  <c r="Z171" i="1"/>
  <c r="J171" i="1"/>
  <c r="AL171" i="1" s="1"/>
  <c r="I171" i="1"/>
  <c r="H171" i="1"/>
  <c r="BJ169" i="1"/>
  <c r="BI169" i="1"/>
  <c r="AE169" i="1" s="1"/>
  <c r="BF169" i="1"/>
  <c r="BD169" i="1"/>
  <c r="BC169" i="1"/>
  <c r="AW169" i="1"/>
  <c r="AV169" i="1" s="1"/>
  <c r="AP169" i="1"/>
  <c r="AX169" i="1" s="1"/>
  <c r="AO169" i="1"/>
  <c r="BH169" i="1" s="1"/>
  <c r="AL169" i="1"/>
  <c r="AU168" i="1" s="1"/>
  <c r="AK169" i="1"/>
  <c r="AT168" i="1" s="1"/>
  <c r="AJ169" i="1"/>
  <c r="AH169" i="1"/>
  <c r="AG169" i="1"/>
  <c r="AF169" i="1"/>
  <c r="AD169" i="1"/>
  <c r="AC169" i="1"/>
  <c r="AB169" i="1"/>
  <c r="Z169" i="1"/>
  <c r="J169" i="1"/>
  <c r="I169" i="1"/>
  <c r="H169" i="1"/>
  <c r="AS168" i="1"/>
  <c r="J168" i="1"/>
  <c r="G30" i="2" s="1"/>
  <c r="I30" i="2" s="1"/>
  <c r="BJ167" i="1"/>
  <c r="Z167" i="1" s="1"/>
  <c r="BF167" i="1"/>
  <c r="BD167" i="1"/>
  <c r="AW167" i="1"/>
  <c r="AP167" i="1"/>
  <c r="BI167" i="1" s="1"/>
  <c r="AO167" i="1"/>
  <c r="BH167" i="1" s="1"/>
  <c r="AL167" i="1"/>
  <c r="AK167" i="1"/>
  <c r="AJ167" i="1"/>
  <c r="AH167" i="1"/>
  <c r="AG167" i="1"/>
  <c r="AF167" i="1"/>
  <c r="AE167" i="1"/>
  <c r="AD167" i="1"/>
  <c r="AC167" i="1"/>
  <c r="AB167" i="1"/>
  <c r="J167" i="1"/>
  <c r="H167" i="1"/>
  <c r="BJ165" i="1"/>
  <c r="BF165" i="1"/>
  <c r="BD165" i="1"/>
  <c r="AX165" i="1"/>
  <c r="AW165" i="1"/>
  <c r="AP165" i="1"/>
  <c r="BI165" i="1" s="1"/>
  <c r="AE165" i="1" s="1"/>
  <c r="AO165" i="1"/>
  <c r="BH165" i="1" s="1"/>
  <c r="AD165" i="1" s="1"/>
  <c r="AL165" i="1"/>
  <c r="AK165" i="1"/>
  <c r="AJ165" i="1"/>
  <c r="AH165" i="1"/>
  <c r="AG165" i="1"/>
  <c r="AF165" i="1"/>
  <c r="AC165" i="1"/>
  <c r="AB165" i="1"/>
  <c r="Z165" i="1"/>
  <c r="J165" i="1"/>
  <c r="I165" i="1"/>
  <c r="H165" i="1"/>
  <c r="BJ162" i="1"/>
  <c r="BF162" i="1"/>
  <c r="BD162" i="1"/>
  <c r="AX162" i="1"/>
  <c r="AP162" i="1"/>
  <c r="BI162" i="1" s="1"/>
  <c r="AE162" i="1" s="1"/>
  <c r="AO162" i="1"/>
  <c r="AK162" i="1"/>
  <c r="AJ162" i="1"/>
  <c r="AH162" i="1"/>
  <c r="AG162" i="1"/>
  <c r="AF162" i="1"/>
  <c r="AC162" i="1"/>
  <c r="AB162" i="1"/>
  <c r="Z162" i="1"/>
  <c r="J162" i="1"/>
  <c r="AL162" i="1" s="1"/>
  <c r="I162" i="1"/>
  <c r="BJ159" i="1"/>
  <c r="BI159" i="1"/>
  <c r="AE159" i="1" s="1"/>
  <c r="BF159" i="1"/>
  <c r="BD159" i="1"/>
  <c r="AP159" i="1"/>
  <c r="AO159" i="1"/>
  <c r="BH159" i="1" s="1"/>
  <c r="AD159" i="1" s="1"/>
  <c r="AK159" i="1"/>
  <c r="AJ159" i="1"/>
  <c r="AH159" i="1"/>
  <c r="AG159" i="1"/>
  <c r="AF159" i="1"/>
  <c r="AC159" i="1"/>
  <c r="AB159" i="1"/>
  <c r="Z159" i="1"/>
  <c r="J159" i="1"/>
  <c r="AL159" i="1" s="1"/>
  <c r="BJ158" i="1"/>
  <c r="BF158" i="1"/>
  <c r="BD158" i="1"/>
  <c r="AW158" i="1"/>
  <c r="AP158" i="1"/>
  <c r="BI158" i="1" s="1"/>
  <c r="AE158" i="1" s="1"/>
  <c r="AO158" i="1"/>
  <c r="BH158" i="1" s="1"/>
  <c r="AD158" i="1" s="1"/>
  <c r="AK158" i="1"/>
  <c r="AJ158" i="1"/>
  <c r="AH158" i="1"/>
  <c r="AG158" i="1"/>
  <c r="AF158" i="1"/>
  <c r="AC158" i="1"/>
  <c r="AB158" i="1"/>
  <c r="Z158" i="1"/>
  <c r="J158" i="1"/>
  <c r="AL158" i="1" s="1"/>
  <c r="H158" i="1"/>
  <c r="BJ155" i="1"/>
  <c r="BF155" i="1"/>
  <c r="BD155" i="1"/>
  <c r="AX155" i="1"/>
  <c r="AW155" i="1"/>
  <c r="AP155" i="1"/>
  <c r="BI155" i="1" s="1"/>
  <c r="AE155" i="1" s="1"/>
  <c r="AO155" i="1"/>
  <c r="BH155" i="1" s="1"/>
  <c r="AD155" i="1" s="1"/>
  <c r="AL155" i="1"/>
  <c r="AK155" i="1"/>
  <c r="AJ155" i="1"/>
  <c r="AH155" i="1"/>
  <c r="AG155" i="1"/>
  <c r="AF155" i="1"/>
  <c r="AC155" i="1"/>
  <c r="AB155" i="1"/>
  <c r="Z155" i="1"/>
  <c r="J155" i="1"/>
  <c r="I155" i="1"/>
  <c r="H155" i="1"/>
  <c r="BJ152" i="1"/>
  <c r="BH152" i="1"/>
  <c r="BF152" i="1"/>
  <c r="BD152" i="1"/>
  <c r="AX152" i="1"/>
  <c r="AP152" i="1"/>
  <c r="BI152" i="1" s="1"/>
  <c r="AE152" i="1" s="1"/>
  <c r="AO152" i="1"/>
  <c r="AK152" i="1"/>
  <c r="AJ152" i="1"/>
  <c r="AH152" i="1"/>
  <c r="AG152" i="1"/>
  <c r="AF152" i="1"/>
  <c r="AD152" i="1"/>
  <c r="AC152" i="1"/>
  <c r="AB152" i="1"/>
  <c r="Z152" i="1"/>
  <c r="J152" i="1"/>
  <c r="AL152" i="1" s="1"/>
  <c r="I152" i="1"/>
  <c r="BJ151" i="1"/>
  <c r="BF151" i="1"/>
  <c r="BD151" i="1"/>
  <c r="AP151" i="1"/>
  <c r="AO151" i="1"/>
  <c r="BH151" i="1" s="1"/>
  <c r="AD151" i="1" s="1"/>
  <c r="AK151" i="1"/>
  <c r="AJ151" i="1"/>
  <c r="AH151" i="1"/>
  <c r="AG151" i="1"/>
  <c r="AF151" i="1"/>
  <c r="AC151" i="1"/>
  <c r="AB151" i="1"/>
  <c r="Z151" i="1"/>
  <c r="J151" i="1"/>
  <c r="AL151" i="1" s="1"/>
  <c r="BJ149" i="1"/>
  <c r="BF149" i="1"/>
  <c r="BD149" i="1"/>
  <c r="AW149" i="1"/>
  <c r="AP149" i="1"/>
  <c r="BI149" i="1" s="1"/>
  <c r="AE149" i="1" s="1"/>
  <c r="AO149" i="1"/>
  <c r="BH149" i="1" s="1"/>
  <c r="AD149" i="1" s="1"/>
  <c r="AK149" i="1"/>
  <c r="AT140" i="1" s="1"/>
  <c r="AJ149" i="1"/>
  <c r="AH149" i="1"/>
  <c r="AG149" i="1"/>
  <c r="AF149" i="1"/>
  <c r="AC149" i="1"/>
  <c r="AB149" i="1"/>
  <c r="Z149" i="1"/>
  <c r="J149" i="1"/>
  <c r="AL149" i="1" s="1"/>
  <c r="H149" i="1"/>
  <c r="BJ146" i="1"/>
  <c r="BF146" i="1"/>
  <c r="BD146" i="1"/>
  <c r="AX146" i="1"/>
  <c r="AW146" i="1"/>
  <c r="AP146" i="1"/>
  <c r="BI146" i="1" s="1"/>
  <c r="AE146" i="1" s="1"/>
  <c r="AO146" i="1"/>
  <c r="BH146" i="1" s="1"/>
  <c r="AD146" i="1" s="1"/>
  <c r="AL146" i="1"/>
  <c r="AK146" i="1"/>
  <c r="AJ146" i="1"/>
  <c r="AH146" i="1"/>
  <c r="AG146" i="1"/>
  <c r="AF146" i="1"/>
  <c r="AC146" i="1"/>
  <c r="AB146" i="1"/>
  <c r="Z146" i="1"/>
  <c r="J146" i="1"/>
  <c r="I146" i="1"/>
  <c r="H146" i="1"/>
  <c r="BJ144" i="1"/>
  <c r="BH144" i="1"/>
  <c r="AD144" i="1" s="1"/>
  <c r="BF144" i="1"/>
  <c r="BD144" i="1"/>
  <c r="AX144" i="1"/>
  <c r="AP144" i="1"/>
  <c r="BI144" i="1" s="1"/>
  <c r="AE144" i="1" s="1"/>
  <c r="AO144" i="1"/>
  <c r="AK144" i="1"/>
  <c r="AJ144" i="1"/>
  <c r="AH144" i="1"/>
  <c r="AG144" i="1"/>
  <c r="AF144" i="1"/>
  <c r="AC144" i="1"/>
  <c r="AB144" i="1"/>
  <c r="Z144" i="1"/>
  <c r="J144" i="1"/>
  <c r="AL144" i="1" s="1"/>
  <c r="I144" i="1"/>
  <c r="BJ141" i="1"/>
  <c r="BF141" i="1"/>
  <c r="BD141" i="1"/>
  <c r="AP141" i="1"/>
  <c r="AO141" i="1"/>
  <c r="BH141" i="1" s="1"/>
  <c r="AD141" i="1" s="1"/>
  <c r="AK141" i="1"/>
  <c r="AJ141" i="1"/>
  <c r="AS140" i="1" s="1"/>
  <c r="AH141" i="1"/>
  <c r="AG141" i="1"/>
  <c r="AF141" i="1"/>
  <c r="AC141" i="1"/>
  <c r="AB141" i="1"/>
  <c r="Z141" i="1"/>
  <c r="J141" i="1"/>
  <c r="AL141" i="1" s="1"/>
  <c r="BJ139" i="1"/>
  <c r="BH139" i="1"/>
  <c r="BF139" i="1"/>
  <c r="BD139" i="1"/>
  <c r="AX139" i="1"/>
  <c r="AP139" i="1"/>
  <c r="BI139" i="1" s="1"/>
  <c r="AO139" i="1"/>
  <c r="AK139" i="1"/>
  <c r="AJ139" i="1"/>
  <c r="AH139" i="1"/>
  <c r="AG139" i="1"/>
  <c r="AF139" i="1"/>
  <c r="AE139" i="1"/>
  <c r="AD139" i="1"/>
  <c r="AC139" i="1"/>
  <c r="AB139" i="1"/>
  <c r="Z139" i="1"/>
  <c r="J139" i="1"/>
  <c r="AL139" i="1" s="1"/>
  <c r="I139" i="1"/>
  <c r="BJ136" i="1"/>
  <c r="BI136" i="1"/>
  <c r="AE136" i="1" s="1"/>
  <c r="BF136" i="1"/>
  <c r="BD136" i="1"/>
  <c r="AP136" i="1"/>
  <c r="AO136" i="1"/>
  <c r="BH136" i="1" s="1"/>
  <c r="AD136" i="1" s="1"/>
  <c r="AK136" i="1"/>
  <c r="AJ136" i="1"/>
  <c r="AS128" i="1" s="1"/>
  <c r="AH136" i="1"/>
  <c r="AG136" i="1"/>
  <c r="AF136" i="1"/>
  <c r="AC136" i="1"/>
  <c r="AB136" i="1"/>
  <c r="Z136" i="1"/>
  <c r="J136" i="1"/>
  <c r="AL136" i="1" s="1"/>
  <c r="BJ134" i="1"/>
  <c r="BF134" i="1"/>
  <c r="BD134" i="1"/>
  <c r="AW134" i="1"/>
  <c r="AP134" i="1"/>
  <c r="BI134" i="1" s="1"/>
  <c r="AE134" i="1" s="1"/>
  <c r="AO134" i="1"/>
  <c r="BH134" i="1" s="1"/>
  <c r="AD134" i="1" s="1"/>
  <c r="AK134" i="1"/>
  <c r="AT128" i="1" s="1"/>
  <c r="AJ134" i="1"/>
  <c r="AH134" i="1"/>
  <c r="AG134" i="1"/>
  <c r="AF134" i="1"/>
  <c r="AC134" i="1"/>
  <c r="AB134" i="1"/>
  <c r="Z134" i="1"/>
  <c r="J134" i="1"/>
  <c r="AL134" i="1" s="1"/>
  <c r="H134" i="1"/>
  <c r="BJ131" i="1"/>
  <c r="BF131" i="1"/>
  <c r="BD131" i="1"/>
  <c r="AX131" i="1"/>
  <c r="AW131" i="1"/>
  <c r="AP131" i="1"/>
  <c r="BI131" i="1" s="1"/>
  <c r="AE131" i="1" s="1"/>
  <c r="AO131" i="1"/>
  <c r="BH131" i="1" s="1"/>
  <c r="AD131" i="1" s="1"/>
  <c r="AL131" i="1"/>
  <c r="AK131" i="1"/>
  <c r="AJ131" i="1"/>
  <c r="AH131" i="1"/>
  <c r="AG131" i="1"/>
  <c r="AF131" i="1"/>
  <c r="AC131" i="1"/>
  <c r="AB131" i="1"/>
  <c r="Z131" i="1"/>
  <c r="J131" i="1"/>
  <c r="I131" i="1"/>
  <c r="H131" i="1"/>
  <c r="BJ129" i="1"/>
  <c r="BH129" i="1"/>
  <c r="BF129" i="1"/>
  <c r="BD129" i="1"/>
  <c r="AX129" i="1"/>
  <c r="AP129" i="1"/>
  <c r="BI129" i="1" s="1"/>
  <c r="AE129" i="1" s="1"/>
  <c r="AO129" i="1"/>
  <c r="AK129" i="1"/>
  <c r="AJ129" i="1"/>
  <c r="AH129" i="1"/>
  <c r="AG129" i="1"/>
  <c r="AF129" i="1"/>
  <c r="AD129" i="1"/>
  <c r="AC129" i="1"/>
  <c r="AB129" i="1"/>
  <c r="Z129" i="1"/>
  <c r="J129" i="1"/>
  <c r="I129" i="1"/>
  <c r="BJ127" i="1"/>
  <c r="Z127" i="1" s="1"/>
  <c r="BF127" i="1"/>
  <c r="BD127" i="1"/>
  <c r="AX127" i="1"/>
  <c r="AW127" i="1"/>
  <c r="AP127" i="1"/>
  <c r="BI127" i="1" s="1"/>
  <c r="AO127" i="1"/>
  <c r="BH127" i="1" s="1"/>
  <c r="AL127" i="1"/>
  <c r="AK127" i="1"/>
  <c r="AJ127" i="1"/>
  <c r="AH127" i="1"/>
  <c r="AG127" i="1"/>
  <c r="AF127" i="1"/>
  <c r="AE127" i="1"/>
  <c r="AD127" i="1"/>
  <c r="AC127" i="1"/>
  <c r="AB127" i="1"/>
  <c r="J127" i="1"/>
  <c r="I127" i="1"/>
  <c r="H127" i="1"/>
  <c r="BJ125" i="1"/>
  <c r="BH125" i="1"/>
  <c r="BF125" i="1"/>
  <c r="BD125" i="1"/>
  <c r="AX125" i="1"/>
  <c r="AP125" i="1"/>
  <c r="BI125" i="1" s="1"/>
  <c r="AE125" i="1" s="1"/>
  <c r="AO125" i="1"/>
  <c r="AK125" i="1"/>
  <c r="AJ125" i="1"/>
  <c r="AH125" i="1"/>
  <c r="AG125" i="1"/>
  <c r="AF125" i="1"/>
  <c r="AD125" i="1"/>
  <c r="AC125" i="1"/>
  <c r="AB125" i="1"/>
  <c r="Z125" i="1"/>
  <c r="J125" i="1"/>
  <c r="I125" i="1"/>
  <c r="BJ123" i="1"/>
  <c r="BF123" i="1"/>
  <c r="BD123" i="1"/>
  <c r="AP123" i="1"/>
  <c r="AO123" i="1"/>
  <c r="BH123" i="1" s="1"/>
  <c r="AD123" i="1" s="1"/>
  <c r="AK123" i="1"/>
  <c r="AJ123" i="1"/>
  <c r="AH123" i="1"/>
  <c r="AG123" i="1"/>
  <c r="AF123" i="1"/>
  <c r="AC123" i="1"/>
  <c r="AB123" i="1"/>
  <c r="Z123" i="1"/>
  <c r="J123" i="1"/>
  <c r="AL123" i="1" s="1"/>
  <c r="BJ120" i="1"/>
  <c r="BF120" i="1"/>
  <c r="BD120" i="1"/>
  <c r="AW120" i="1"/>
  <c r="AP120" i="1"/>
  <c r="BI120" i="1" s="1"/>
  <c r="AE120" i="1" s="1"/>
  <c r="AO120" i="1"/>
  <c r="BH120" i="1" s="1"/>
  <c r="AD120" i="1" s="1"/>
  <c r="AK120" i="1"/>
  <c r="AJ120" i="1"/>
  <c r="AH120" i="1"/>
  <c r="AG120" i="1"/>
  <c r="AF120" i="1"/>
  <c r="AC120" i="1"/>
  <c r="AB120" i="1"/>
  <c r="Z120" i="1"/>
  <c r="J120" i="1"/>
  <c r="AL120" i="1" s="1"/>
  <c r="H120" i="1"/>
  <c r="BJ119" i="1"/>
  <c r="BF119" i="1"/>
  <c r="BD119" i="1"/>
  <c r="AX119" i="1"/>
  <c r="AW119" i="1"/>
  <c r="AP119" i="1"/>
  <c r="BI119" i="1" s="1"/>
  <c r="AE119" i="1" s="1"/>
  <c r="AO119" i="1"/>
  <c r="BH119" i="1" s="1"/>
  <c r="AD119" i="1" s="1"/>
  <c r="AL119" i="1"/>
  <c r="AK119" i="1"/>
  <c r="AT118" i="1" s="1"/>
  <c r="AJ119" i="1"/>
  <c r="AH119" i="1"/>
  <c r="AG119" i="1"/>
  <c r="AF119" i="1"/>
  <c r="AC119" i="1"/>
  <c r="AB119" i="1"/>
  <c r="Z119" i="1"/>
  <c r="J119" i="1"/>
  <c r="I119" i="1"/>
  <c r="H119" i="1"/>
  <c r="AS118" i="1"/>
  <c r="BJ117" i="1"/>
  <c r="Z117" i="1" s="1"/>
  <c r="BF117" i="1"/>
  <c r="BD117" i="1"/>
  <c r="AW117" i="1"/>
  <c r="AP117" i="1"/>
  <c r="BI117" i="1" s="1"/>
  <c r="AO117" i="1"/>
  <c r="BH117" i="1" s="1"/>
  <c r="AK117" i="1"/>
  <c r="AJ117" i="1"/>
  <c r="AH117" i="1"/>
  <c r="AG117" i="1"/>
  <c r="AF117" i="1"/>
  <c r="AE117" i="1"/>
  <c r="AD117" i="1"/>
  <c r="AC117" i="1"/>
  <c r="AB117" i="1"/>
  <c r="J117" i="1"/>
  <c r="AL117" i="1" s="1"/>
  <c r="H117" i="1"/>
  <c r="BJ116" i="1"/>
  <c r="Z116" i="1" s="1"/>
  <c r="BF116" i="1"/>
  <c r="BD116" i="1"/>
  <c r="AW116" i="1"/>
  <c r="AP116" i="1"/>
  <c r="BI116" i="1" s="1"/>
  <c r="AO116" i="1"/>
  <c r="BH116" i="1" s="1"/>
  <c r="AL116" i="1"/>
  <c r="AK116" i="1"/>
  <c r="AJ116" i="1"/>
  <c r="AH116" i="1"/>
  <c r="AG116" i="1"/>
  <c r="AF116" i="1"/>
  <c r="AE116" i="1"/>
  <c r="AD116" i="1"/>
  <c r="AC116" i="1"/>
  <c r="AB116" i="1"/>
  <c r="J116" i="1"/>
  <c r="I116" i="1"/>
  <c r="H116" i="1"/>
  <c r="BJ115" i="1"/>
  <c r="BF115" i="1"/>
  <c r="BD115" i="1"/>
  <c r="AX115" i="1"/>
  <c r="AP115" i="1"/>
  <c r="BI115" i="1" s="1"/>
  <c r="AO115" i="1"/>
  <c r="AK115" i="1"/>
  <c r="AJ115" i="1"/>
  <c r="AH115" i="1"/>
  <c r="AG115" i="1"/>
  <c r="AF115" i="1"/>
  <c r="AE115" i="1"/>
  <c r="AD115" i="1"/>
  <c r="AC115" i="1"/>
  <c r="AB115" i="1"/>
  <c r="Z115" i="1"/>
  <c r="J115" i="1"/>
  <c r="AL115" i="1" s="1"/>
  <c r="I115" i="1"/>
  <c r="BJ114" i="1"/>
  <c r="BF114" i="1"/>
  <c r="BD114" i="1"/>
  <c r="AP114" i="1"/>
  <c r="AO114" i="1"/>
  <c r="BH114" i="1" s="1"/>
  <c r="AK114" i="1"/>
  <c r="AJ114" i="1"/>
  <c r="AH114" i="1"/>
  <c r="AG114" i="1"/>
  <c r="AF114" i="1"/>
  <c r="AE114" i="1"/>
  <c r="AD114" i="1"/>
  <c r="AC114" i="1"/>
  <c r="AB114" i="1"/>
  <c r="Z114" i="1"/>
  <c r="J114" i="1"/>
  <c r="AL114" i="1" s="1"/>
  <c r="H114" i="1"/>
  <c r="BJ113" i="1"/>
  <c r="Z113" i="1" s="1"/>
  <c r="BF113" i="1"/>
  <c r="BD113" i="1"/>
  <c r="AW113" i="1"/>
  <c r="AP113" i="1"/>
  <c r="BI113" i="1" s="1"/>
  <c r="AO113" i="1"/>
  <c r="BH113" i="1" s="1"/>
  <c r="AK113" i="1"/>
  <c r="AJ113" i="1"/>
  <c r="AH113" i="1"/>
  <c r="AG113" i="1"/>
  <c r="AF113" i="1"/>
  <c r="AE113" i="1"/>
  <c r="AD113" i="1"/>
  <c r="AC113" i="1"/>
  <c r="AB113" i="1"/>
  <c r="J113" i="1"/>
  <c r="AL113" i="1" s="1"/>
  <c r="I113" i="1"/>
  <c r="H113" i="1"/>
  <c r="BJ112" i="1"/>
  <c r="BF112" i="1"/>
  <c r="BD112" i="1"/>
  <c r="AX112" i="1"/>
  <c r="AW112" i="1"/>
  <c r="AP112" i="1"/>
  <c r="BI112" i="1" s="1"/>
  <c r="AO112" i="1"/>
  <c r="BH112" i="1" s="1"/>
  <c r="AK112" i="1"/>
  <c r="AJ112" i="1"/>
  <c r="AH112" i="1"/>
  <c r="AG112" i="1"/>
  <c r="AF112" i="1"/>
  <c r="AE112" i="1"/>
  <c r="AD112" i="1"/>
  <c r="AC112" i="1"/>
  <c r="AB112" i="1"/>
  <c r="Z112" i="1"/>
  <c r="J112" i="1"/>
  <c r="AL112" i="1" s="1"/>
  <c r="I112" i="1"/>
  <c r="H112" i="1"/>
  <c r="BJ111" i="1"/>
  <c r="BF111" i="1"/>
  <c r="BD111" i="1"/>
  <c r="AP111" i="1"/>
  <c r="AO111" i="1"/>
  <c r="BH111" i="1" s="1"/>
  <c r="AK111" i="1"/>
  <c r="AJ111" i="1"/>
  <c r="AH111" i="1"/>
  <c r="AG111" i="1"/>
  <c r="AF111" i="1"/>
  <c r="AE111" i="1"/>
  <c r="AD111" i="1"/>
  <c r="AC111" i="1"/>
  <c r="AB111" i="1"/>
  <c r="Z111" i="1"/>
  <c r="J111" i="1"/>
  <c r="AL111" i="1" s="1"/>
  <c r="BJ110" i="1"/>
  <c r="Z110" i="1" s="1"/>
  <c r="BF110" i="1"/>
  <c r="BD110" i="1"/>
  <c r="AP110" i="1"/>
  <c r="BI110" i="1" s="1"/>
  <c r="AO110" i="1"/>
  <c r="BH110" i="1" s="1"/>
  <c r="AK110" i="1"/>
  <c r="AT109" i="1" s="1"/>
  <c r="AJ110" i="1"/>
  <c r="AH110" i="1"/>
  <c r="AG110" i="1"/>
  <c r="AF110" i="1"/>
  <c r="AE110" i="1"/>
  <c r="AD110" i="1"/>
  <c r="AC110" i="1"/>
  <c r="AB110" i="1"/>
  <c r="J110" i="1"/>
  <c r="AL110" i="1" s="1"/>
  <c r="AU109" i="1" s="1"/>
  <c r="H110" i="1"/>
  <c r="J109" i="1"/>
  <c r="G26" i="2" s="1"/>
  <c r="I26" i="2" s="1"/>
  <c r="BJ107" i="1"/>
  <c r="BF107" i="1"/>
  <c r="BD107" i="1"/>
  <c r="AP107" i="1"/>
  <c r="AO107" i="1"/>
  <c r="BH107" i="1" s="1"/>
  <c r="AB107" i="1" s="1"/>
  <c r="AK107" i="1"/>
  <c r="AJ107" i="1"/>
  <c r="AH107" i="1"/>
  <c r="AG107" i="1"/>
  <c r="AF107" i="1"/>
  <c r="AE107" i="1"/>
  <c r="AD107" i="1"/>
  <c r="Z107" i="1"/>
  <c r="J107" i="1"/>
  <c r="AL107" i="1" s="1"/>
  <c r="BJ105" i="1"/>
  <c r="BF105" i="1"/>
  <c r="BD105" i="1"/>
  <c r="AP105" i="1"/>
  <c r="BI105" i="1" s="1"/>
  <c r="AC105" i="1" s="1"/>
  <c r="AO105" i="1"/>
  <c r="BH105" i="1" s="1"/>
  <c r="AK105" i="1"/>
  <c r="AT104" i="1" s="1"/>
  <c r="AJ105" i="1"/>
  <c r="AS104" i="1" s="1"/>
  <c r="AH105" i="1"/>
  <c r="AG105" i="1"/>
  <c r="AF105" i="1"/>
  <c r="AE105" i="1"/>
  <c r="AD105" i="1"/>
  <c r="AB105" i="1"/>
  <c r="Z105" i="1"/>
  <c r="J105" i="1"/>
  <c r="AL105" i="1" s="1"/>
  <c r="AU104" i="1" s="1"/>
  <c r="H105" i="1"/>
  <c r="J104" i="1"/>
  <c r="G25" i="2" s="1"/>
  <c r="I25" i="2" s="1"/>
  <c r="BJ103" i="1"/>
  <c r="BF103" i="1"/>
  <c r="BD103" i="1"/>
  <c r="AP103" i="1"/>
  <c r="AO103" i="1"/>
  <c r="BH103" i="1" s="1"/>
  <c r="AB103" i="1" s="1"/>
  <c r="AK103" i="1"/>
  <c r="AJ103" i="1"/>
  <c r="AH103" i="1"/>
  <c r="AG103" i="1"/>
  <c r="AF103" i="1"/>
  <c r="AE103" i="1"/>
  <c r="AD103" i="1"/>
  <c r="Z103" i="1"/>
  <c r="J103" i="1"/>
  <c r="AL103" i="1" s="1"/>
  <c r="BJ102" i="1"/>
  <c r="BF102" i="1"/>
  <c r="BD102" i="1"/>
  <c r="AP102" i="1"/>
  <c r="BI102" i="1" s="1"/>
  <c r="AC102" i="1" s="1"/>
  <c r="AO102" i="1"/>
  <c r="BH102" i="1" s="1"/>
  <c r="AK102" i="1"/>
  <c r="AJ102" i="1"/>
  <c r="AH102" i="1"/>
  <c r="AG102" i="1"/>
  <c r="AF102" i="1"/>
  <c r="AE102" i="1"/>
  <c r="AD102" i="1"/>
  <c r="AB102" i="1"/>
  <c r="Z102" i="1"/>
  <c r="J102" i="1"/>
  <c r="AL102" i="1" s="1"/>
  <c r="H102" i="1"/>
  <c r="BJ101" i="1"/>
  <c r="BF101" i="1"/>
  <c r="BD101" i="1"/>
  <c r="AW101" i="1"/>
  <c r="AP101" i="1"/>
  <c r="BI101" i="1" s="1"/>
  <c r="AC101" i="1" s="1"/>
  <c r="AO101" i="1"/>
  <c r="BH101" i="1" s="1"/>
  <c r="AB101" i="1" s="1"/>
  <c r="AL101" i="1"/>
  <c r="AK101" i="1"/>
  <c r="AJ101" i="1"/>
  <c r="AH101" i="1"/>
  <c r="AG101" i="1"/>
  <c r="AF101" i="1"/>
  <c r="AE101" i="1"/>
  <c r="AD101" i="1"/>
  <c r="Z101" i="1"/>
  <c r="J101" i="1"/>
  <c r="I101" i="1"/>
  <c r="H101" i="1"/>
  <c r="BJ100" i="1"/>
  <c r="BH100" i="1"/>
  <c r="AB100" i="1" s="1"/>
  <c r="BF100" i="1"/>
  <c r="BD100" i="1"/>
  <c r="AX100" i="1"/>
  <c r="AP100" i="1"/>
  <c r="BI100" i="1" s="1"/>
  <c r="AC100" i="1" s="1"/>
  <c r="AO100" i="1"/>
  <c r="AK100" i="1"/>
  <c r="AJ100" i="1"/>
  <c r="AH100" i="1"/>
  <c r="AG100" i="1"/>
  <c r="AF100" i="1"/>
  <c r="AE100" i="1"/>
  <c r="AD100" i="1"/>
  <c r="Z100" i="1"/>
  <c r="J100" i="1"/>
  <c r="AL100" i="1" s="1"/>
  <c r="I100" i="1"/>
  <c r="BJ99" i="1"/>
  <c r="BF99" i="1"/>
  <c r="BD99" i="1"/>
  <c r="AP99" i="1"/>
  <c r="AO99" i="1"/>
  <c r="BH99" i="1" s="1"/>
  <c r="AB99" i="1" s="1"/>
  <c r="AK99" i="1"/>
  <c r="AJ99" i="1"/>
  <c r="AH99" i="1"/>
  <c r="AG99" i="1"/>
  <c r="AF99" i="1"/>
  <c r="AE99" i="1"/>
  <c r="AD99" i="1"/>
  <c r="Z99" i="1"/>
  <c r="J99" i="1"/>
  <c r="AL99" i="1" s="1"/>
  <c r="BJ98" i="1"/>
  <c r="BF98" i="1"/>
  <c r="BD98" i="1"/>
  <c r="AP98" i="1"/>
  <c r="BI98" i="1" s="1"/>
  <c r="AC98" i="1" s="1"/>
  <c r="AO98" i="1"/>
  <c r="BH98" i="1" s="1"/>
  <c r="AK98" i="1"/>
  <c r="AT92" i="1" s="1"/>
  <c r="AJ98" i="1"/>
  <c r="AH98" i="1"/>
  <c r="AG98" i="1"/>
  <c r="AF98" i="1"/>
  <c r="AE98" i="1"/>
  <c r="AD98" i="1"/>
  <c r="AB98" i="1"/>
  <c r="Z98" i="1"/>
  <c r="J98" i="1"/>
  <c r="AL98" i="1" s="1"/>
  <c r="H98" i="1"/>
  <c r="BJ96" i="1"/>
  <c r="BF96" i="1"/>
  <c r="BD96" i="1"/>
  <c r="AW96" i="1"/>
  <c r="AP96" i="1"/>
  <c r="BI96" i="1" s="1"/>
  <c r="AC96" i="1" s="1"/>
  <c r="AO96" i="1"/>
  <c r="BH96" i="1" s="1"/>
  <c r="AB96" i="1" s="1"/>
  <c r="AL96" i="1"/>
  <c r="AK96" i="1"/>
  <c r="AJ96" i="1"/>
  <c r="AH96" i="1"/>
  <c r="AG96" i="1"/>
  <c r="AF96" i="1"/>
  <c r="AE96" i="1"/>
  <c r="AD96" i="1"/>
  <c r="Z96" i="1"/>
  <c r="J96" i="1"/>
  <c r="I96" i="1"/>
  <c r="H96" i="1"/>
  <c r="BJ95" i="1"/>
  <c r="BF95" i="1"/>
  <c r="BD95" i="1"/>
  <c r="AX95" i="1"/>
  <c r="AP95" i="1"/>
  <c r="BI95" i="1" s="1"/>
  <c r="AC95" i="1" s="1"/>
  <c r="AO95" i="1"/>
  <c r="BH95" i="1" s="1"/>
  <c r="AB95" i="1" s="1"/>
  <c r="AK95" i="1"/>
  <c r="AJ95" i="1"/>
  <c r="AH95" i="1"/>
  <c r="AG95" i="1"/>
  <c r="AF95" i="1"/>
  <c r="AE95" i="1"/>
  <c r="AD95" i="1"/>
  <c r="Z95" i="1"/>
  <c r="J95" i="1"/>
  <c r="AL95" i="1" s="1"/>
  <c r="I95" i="1"/>
  <c r="BJ93" i="1"/>
  <c r="BF93" i="1"/>
  <c r="BD93" i="1"/>
  <c r="AP93" i="1"/>
  <c r="AO93" i="1"/>
  <c r="BH93" i="1" s="1"/>
  <c r="AB93" i="1" s="1"/>
  <c r="AK93" i="1"/>
  <c r="AJ93" i="1"/>
  <c r="AH93" i="1"/>
  <c r="AG93" i="1"/>
  <c r="AF93" i="1"/>
  <c r="AE93" i="1"/>
  <c r="AD93" i="1"/>
  <c r="Z93" i="1"/>
  <c r="J93" i="1"/>
  <c r="AL93" i="1" s="1"/>
  <c r="AU92" i="1" s="1"/>
  <c r="BJ91" i="1"/>
  <c r="BH91" i="1"/>
  <c r="AB91" i="1" s="1"/>
  <c r="BF91" i="1"/>
  <c r="BD91" i="1"/>
  <c r="AX91" i="1"/>
  <c r="AP91" i="1"/>
  <c r="BI91" i="1" s="1"/>
  <c r="AC91" i="1" s="1"/>
  <c r="AO91" i="1"/>
  <c r="AK91" i="1"/>
  <c r="AJ91" i="1"/>
  <c r="AH91" i="1"/>
  <c r="AG91" i="1"/>
  <c r="AF91" i="1"/>
  <c r="AE91" i="1"/>
  <c r="AD91" i="1"/>
  <c r="Z91" i="1"/>
  <c r="J91" i="1"/>
  <c r="AL91" i="1" s="1"/>
  <c r="I91" i="1"/>
  <c r="BJ90" i="1"/>
  <c r="BF90" i="1"/>
  <c r="BD90" i="1"/>
  <c r="AP90" i="1"/>
  <c r="AO90" i="1"/>
  <c r="BH90" i="1" s="1"/>
  <c r="AB90" i="1" s="1"/>
  <c r="AK90" i="1"/>
  <c r="AJ90" i="1"/>
  <c r="AH90" i="1"/>
  <c r="AG90" i="1"/>
  <c r="AF90" i="1"/>
  <c r="AE90" i="1"/>
  <c r="AD90" i="1"/>
  <c r="Z90" i="1"/>
  <c r="J90" i="1"/>
  <c r="AL90" i="1" s="1"/>
  <c r="H90" i="1"/>
  <c r="BJ89" i="1"/>
  <c r="BF89" i="1"/>
  <c r="BD89" i="1"/>
  <c r="AP89" i="1"/>
  <c r="BI89" i="1" s="1"/>
  <c r="AC89" i="1" s="1"/>
  <c r="AO89" i="1"/>
  <c r="BH89" i="1" s="1"/>
  <c r="AK89" i="1"/>
  <c r="AJ89" i="1"/>
  <c r="AH89" i="1"/>
  <c r="AG89" i="1"/>
  <c r="AF89" i="1"/>
  <c r="AE89" i="1"/>
  <c r="AD89" i="1"/>
  <c r="AB89" i="1"/>
  <c r="Z89" i="1"/>
  <c r="J89" i="1"/>
  <c r="AL89" i="1" s="1"/>
  <c r="I89" i="1"/>
  <c r="H89" i="1"/>
  <c r="BJ88" i="1"/>
  <c r="BF88" i="1"/>
  <c r="BD88" i="1"/>
  <c r="AX88" i="1"/>
  <c r="AW88" i="1"/>
  <c r="AP88" i="1"/>
  <c r="BI88" i="1" s="1"/>
  <c r="AC88" i="1" s="1"/>
  <c r="AO88" i="1"/>
  <c r="BH88" i="1" s="1"/>
  <c r="AB88" i="1" s="1"/>
  <c r="AL88" i="1"/>
  <c r="AK88" i="1"/>
  <c r="AJ88" i="1"/>
  <c r="AH88" i="1"/>
  <c r="AG88" i="1"/>
  <c r="AF88" i="1"/>
  <c r="AE88" i="1"/>
  <c r="AD88" i="1"/>
  <c r="Z88" i="1"/>
  <c r="J88" i="1"/>
  <c r="I88" i="1"/>
  <c r="H88" i="1"/>
  <c r="BJ87" i="1"/>
  <c r="BH87" i="1"/>
  <c r="AB87" i="1" s="1"/>
  <c r="BF87" i="1"/>
  <c r="BD87" i="1"/>
  <c r="AX87" i="1"/>
  <c r="AP87" i="1"/>
  <c r="BI87" i="1" s="1"/>
  <c r="AC87" i="1" s="1"/>
  <c r="AO87" i="1"/>
  <c r="AK87" i="1"/>
  <c r="AJ87" i="1"/>
  <c r="AH87" i="1"/>
  <c r="AG87" i="1"/>
  <c r="AF87" i="1"/>
  <c r="AE87" i="1"/>
  <c r="AD87" i="1"/>
  <c r="Z87" i="1"/>
  <c r="J87" i="1"/>
  <c r="AL87" i="1" s="1"/>
  <c r="I87" i="1"/>
  <c r="BJ86" i="1"/>
  <c r="BF86" i="1"/>
  <c r="BD86" i="1"/>
  <c r="AP86" i="1"/>
  <c r="AO86" i="1"/>
  <c r="BH86" i="1" s="1"/>
  <c r="AB86" i="1" s="1"/>
  <c r="AK86" i="1"/>
  <c r="AJ86" i="1"/>
  <c r="AS84" i="1" s="1"/>
  <c r="AH86" i="1"/>
  <c r="AG86" i="1"/>
  <c r="AF86" i="1"/>
  <c r="AE86" i="1"/>
  <c r="AD86" i="1"/>
  <c r="Z86" i="1"/>
  <c r="J86" i="1"/>
  <c r="AL86" i="1" s="1"/>
  <c r="H86" i="1"/>
  <c r="BJ85" i="1"/>
  <c r="BF85" i="1"/>
  <c r="BD85" i="1"/>
  <c r="AW85" i="1"/>
  <c r="AP85" i="1"/>
  <c r="BI85" i="1" s="1"/>
  <c r="AC85" i="1" s="1"/>
  <c r="AO85" i="1"/>
  <c r="BH85" i="1" s="1"/>
  <c r="AK85" i="1"/>
  <c r="AT84" i="1" s="1"/>
  <c r="AJ85" i="1"/>
  <c r="AH85" i="1"/>
  <c r="AG85" i="1"/>
  <c r="AF85" i="1"/>
  <c r="AE85" i="1"/>
  <c r="AD85" i="1"/>
  <c r="AB85" i="1"/>
  <c r="Z85" i="1"/>
  <c r="J85" i="1"/>
  <c r="AL85" i="1" s="1"/>
  <c r="I85" i="1"/>
  <c r="H85" i="1"/>
  <c r="J84" i="1"/>
  <c r="G23" i="2" s="1"/>
  <c r="I23" i="2" s="1"/>
  <c r="BJ82" i="1"/>
  <c r="BF82" i="1"/>
  <c r="BD82" i="1"/>
  <c r="AP82" i="1"/>
  <c r="AO82" i="1"/>
  <c r="BH82" i="1" s="1"/>
  <c r="AB82" i="1" s="1"/>
  <c r="AK82" i="1"/>
  <c r="AJ82" i="1"/>
  <c r="AS81" i="1" s="1"/>
  <c r="AH82" i="1"/>
  <c r="AG82" i="1"/>
  <c r="AF82" i="1"/>
  <c r="AE82" i="1"/>
  <c r="AD82" i="1"/>
  <c r="Z82" i="1"/>
  <c r="J82" i="1"/>
  <c r="AL82" i="1" s="1"/>
  <c r="AU81" i="1" s="1"/>
  <c r="H82" i="1"/>
  <c r="H81" i="1" s="1"/>
  <c r="E22" i="2" s="1"/>
  <c r="AT81" i="1"/>
  <c r="J81" i="1"/>
  <c r="G22" i="2" s="1"/>
  <c r="I22" i="2" s="1"/>
  <c r="BJ79" i="1"/>
  <c r="BF79" i="1"/>
  <c r="BD79" i="1"/>
  <c r="AX79" i="1"/>
  <c r="AP79" i="1"/>
  <c r="I79" i="1" s="1"/>
  <c r="I78" i="1" s="1"/>
  <c r="AO79" i="1"/>
  <c r="AK79" i="1"/>
  <c r="AJ79" i="1"/>
  <c r="AS78" i="1" s="1"/>
  <c r="AH79" i="1"/>
  <c r="AG79" i="1"/>
  <c r="AF79" i="1"/>
  <c r="AE79" i="1"/>
  <c r="AD79" i="1"/>
  <c r="Z79" i="1"/>
  <c r="J79" i="1"/>
  <c r="AT78" i="1"/>
  <c r="BJ76" i="1"/>
  <c r="BF76" i="1"/>
  <c r="BD76" i="1"/>
  <c r="AX76" i="1"/>
  <c r="AW76" i="1"/>
  <c r="AP76" i="1"/>
  <c r="BI76" i="1" s="1"/>
  <c r="AC76" i="1" s="1"/>
  <c r="AO76" i="1"/>
  <c r="H76" i="1" s="1"/>
  <c r="AL76" i="1"/>
  <c r="AK76" i="1"/>
  <c r="AJ76" i="1"/>
  <c r="AH76" i="1"/>
  <c r="AG76" i="1"/>
  <c r="AF76" i="1"/>
  <c r="AE76" i="1"/>
  <c r="AD76" i="1"/>
  <c r="Z76" i="1"/>
  <c r="J76" i="1"/>
  <c r="I76" i="1"/>
  <c r="BJ75" i="1"/>
  <c r="BH75" i="1"/>
  <c r="AB75" i="1" s="1"/>
  <c r="BF75" i="1"/>
  <c r="BD75" i="1"/>
  <c r="AP75" i="1"/>
  <c r="AO75" i="1"/>
  <c r="AK75" i="1"/>
  <c r="AJ75" i="1"/>
  <c r="AH75" i="1"/>
  <c r="AG75" i="1"/>
  <c r="AF75" i="1"/>
  <c r="AE75" i="1"/>
  <c r="AD75" i="1"/>
  <c r="Z75" i="1"/>
  <c r="J75" i="1"/>
  <c r="AL75" i="1" s="1"/>
  <c r="AU74" i="1" s="1"/>
  <c r="AT74" i="1"/>
  <c r="AS74" i="1"/>
  <c r="J74" i="1"/>
  <c r="G20" i="2" s="1"/>
  <c r="I20" i="2" s="1"/>
  <c r="BJ73" i="1"/>
  <c r="BF73" i="1"/>
  <c r="BD73" i="1"/>
  <c r="AW73" i="1"/>
  <c r="AP73" i="1"/>
  <c r="BI73" i="1" s="1"/>
  <c r="AO73" i="1"/>
  <c r="BH73" i="1" s="1"/>
  <c r="AB73" i="1" s="1"/>
  <c r="AL73" i="1"/>
  <c r="AK73" i="1"/>
  <c r="AJ73" i="1"/>
  <c r="AH73" i="1"/>
  <c r="AG73" i="1"/>
  <c r="AF73" i="1"/>
  <c r="AE73" i="1"/>
  <c r="AD73" i="1"/>
  <c r="AC73" i="1"/>
  <c r="Z73" i="1"/>
  <c r="J73" i="1"/>
  <c r="I73" i="1"/>
  <c r="H73" i="1"/>
  <c r="BJ70" i="1"/>
  <c r="BF70" i="1"/>
  <c r="BD70" i="1"/>
  <c r="AX70" i="1"/>
  <c r="AP70" i="1"/>
  <c r="BI70" i="1" s="1"/>
  <c r="AC70" i="1" s="1"/>
  <c r="AO70" i="1"/>
  <c r="AK70" i="1"/>
  <c r="AJ70" i="1"/>
  <c r="AH70" i="1"/>
  <c r="AG70" i="1"/>
  <c r="AF70" i="1"/>
  <c r="AE70" i="1"/>
  <c r="AD70" i="1"/>
  <c r="Z70" i="1"/>
  <c r="J70" i="1"/>
  <c r="AL70" i="1" s="1"/>
  <c r="I70" i="1"/>
  <c r="BJ67" i="1"/>
  <c r="BF67" i="1"/>
  <c r="BD67" i="1"/>
  <c r="AW67" i="1"/>
  <c r="AP67" i="1"/>
  <c r="AO67" i="1"/>
  <c r="H67" i="1" s="1"/>
  <c r="AL67" i="1"/>
  <c r="AK67" i="1"/>
  <c r="AJ67" i="1"/>
  <c r="AH67" i="1"/>
  <c r="AG67" i="1"/>
  <c r="AF67" i="1"/>
  <c r="AE67" i="1"/>
  <c r="AD67" i="1"/>
  <c r="Z67" i="1"/>
  <c r="J67" i="1"/>
  <c r="BJ66" i="1"/>
  <c r="BF66" i="1"/>
  <c r="BD66" i="1"/>
  <c r="AX66" i="1"/>
  <c r="AP66" i="1"/>
  <c r="I66" i="1" s="1"/>
  <c r="AO66" i="1"/>
  <c r="BH66" i="1" s="1"/>
  <c r="AK66" i="1"/>
  <c r="AJ66" i="1"/>
  <c r="AH66" i="1"/>
  <c r="AG66" i="1"/>
  <c r="AF66" i="1"/>
  <c r="AE66" i="1"/>
  <c r="AD66" i="1"/>
  <c r="AB66" i="1"/>
  <c r="Z66" i="1"/>
  <c r="J66" i="1"/>
  <c r="AL66" i="1" s="1"/>
  <c r="H66" i="1"/>
  <c r="BJ64" i="1"/>
  <c r="BF64" i="1"/>
  <c r="BD64" i="1"/>
  <c r="AW64" i="1"/>
  <c r="AP64" i="1"/>
  <c r="BI64" i="1" s="1"/>
  <c r="AO64" i="1"/>
  <c r="BH64" i="1" s="1"/>
  <c r="AB64" i="1" s="1"/>
  <c r="AL64" i="1"/>
  <c r="AK64" i="1"/>
  <c r="AJ64" i="1"/>
  <c r="AH64" i="1"/>
  <c r="AG64" i="1"/>
  <c r="AF64" i="1"/>
  <c r="AE64" i="1"/>
  <c r="AD64" i="1"/>
  <c r="AC64" i="1"/>
  <c r="Z64" i="1"/>
  <c r="J64" i="1"/>
  <c r="I64" i="1"/>
  <c r="H64" i="1"/>
  <c r="BJ63" i="1"/>
  <c r="BF63" i="1"/>
  <c r="BD63" i="1"/>
  <c r="AX63" i="1"/>
  <c r="AP63" i="1"/>
  <c r="BI63" i="1" s="1"/>
  <c r="AC63" i="1" s="1"/>
  <c r="AO63" i="1"/>
  <c r="AK63" i="1"/>
  <c r="AJ63" i="1"/>
  <c r="AH63" i="1"/>
  <c r="AG63" i="1"/>
  <c r="AF63" i="1"/>
  <c r="AE63" i="1"/>
  <c r="AD63" i="1"/>
  <c r="Z63" i="1"/>
  <c r="J63" i="1"/>
  <c r="AL63" i="1" s="1"/>
  <c r="I63" i="1"/>
  <c r="BJ62" i="1"/>
  <c r="BF62" i="1"/>
  <c r="BD62" i="1"/>
  <c r="AW62" i="1"/>
  <c r="AP62" i="1"/>
  <c r="AO62" i="1"/>
  <c r="H62" i="1" s="1"/>
  <c r="AL62" i="1"/>
  <c r="AK62" i="1"/>
  <c r="AJ62" i="1"/>
  <c r="AH62" i="1"/>
  <c r="AG62" i="1"/>
  <c r="AF62" i="1"/>
  <c r="AE62" i="1"/>
  <c r="AD62" i="1"/>
  <c r="Z62" i="1"/>
  <c r="J62" i="1"/>
  <c r="BJ61" i="1"/>
  <c r="BF61" i="1"/>
  <c r="BD61" i="1"/>
  <c r="AX61" i="1"/>
  <c r="AP61" i="1"/>
  <c r="I61" i="1" s="1"/>
  <c r="AO61" i="1"/>
  <c r="BH61" i="1" s="1"/>
  <c r="AK61" i="1"/>
  <c r="AJ61" i="1"/>
  <c r="AH61" i="1"/>
  <c r="AG61" i="1"/>
  <c r="AF61" i="1"/>
  <c r="AE61" i="1"/>
  <c r="AD61" i="1"/>
  <c r="AB61" i="1"/>
  <c r="Z61" i="1"/>
  <c r="J61" i="1"/>
  <c r="AL61" i="1" s="1"/>
  <c r="H61" i="1"/>
  <c r="BJ60" i="1"/>
  <c r="BF60" i="1"/>
  <c r="BD60" i="1"/>
  <c r="AW60" i="1"/>
  <c r="AP60" i="1"/>
  <c r="BI60" i="1" s="1"/>
  <c r="AO60" i="1"/>
  <c r="BH60" i="1" s="1"/>
  <c r="AB60" i="1" s="1"/>
  <c r="AL60" i="1"/>
  <c r="AK60" i="1"/>
  <c r="AJ60" i="1"/>
  <c r="AH60" i="1"/>
  <c r="AG60" i="1"/>
  <c r="AF60" i="1"/>
  <c r="AE60" i="1"/>
  <c r="AD60" i="1"/>
  <c r="AC60" i="1"/>
  <c r="Z60" i="1"/>
  <c r="J60" i="1"/>
  <c r="I60" i="1"/>
  <c r="H60" i="1"/>
  <c r="BJ57" i="1"/>
  <c r="BF57" i="1"/>
  <c r="BD57" i="1"/>
  <c r="AX57" i="1"/>
  <c r="AP57" i="1"/>
  <c r="BI57" i="1" s="1"/>
  <c r="AC57" i="1" s="1"/>
  <c r="AO57" i="1"/>
  <c r="AK57" i="1"/>
  <c r="AJ57" i="1"/>
  <c r="AH57" i="1"/>
  <c r="AG57" i="1"/>
  <c r="AF57" i="1"/>
  <c r="AE57" i="1"/>
  <c r="AD57" i="1"/>
  <c r="Z57" i="1"/>
  <c r="J57" i="1"/>
  <c r="AL57" i="1" s="1"/>
  <c r="I57" i="1"/>
  <c r="BJ54" i="1"/>
  <c r="BF54" i="1"/>
  <c r="BD54" i="1"/>
  <c r="AW54" i="1"/>
  <c r="AP54" i="1"/>
  <c r="AO54" i="1"/>
  <c r="H54" i="1" s="1"/>
  <c r="AL54" i="1"/>
  <c r="AK54" i="1"/>
  <c r="AJ54" i="1"/>
  <c r="AH54" i="1"/>
  <c r="AG54" i="1"/>
  <c r="AF54" i="1"/>
  <c r="AE54" i="1"/>
  <c r="AD54" i="1"/>
  <c r="Z54" i="1"/>
  <c r="J54" i="1"/>
  <c r="BJ51" i="1"/>
  <c r="BF51" i="1"/>
  <c r="BD51" i="1"/>
  <c r="AX51" i="1"/>
  <c r="AP51" i="1"/>
  <c r="I51" i="1" s="1"/>
  <c r="AO51" i="1"/>
  <c r="BH51" i="1" s="1"/>
  <c r="AK51" i="1"/>
  <c r="AT43" i="1" s="1"/>
  <c r="AJ51" i="1"/>
  <c r="AH51" i="1"/>
  <c r="AG51" i="1"/>
  <c r="AF51" i="1"/>
  <c r="AE51" i="1"/>
  <c r="AD51" i="1"/>
  <c r="AB51" i="1"/>
  <c r="Z51" i="1"/>
  <c r="J51" i="1"/>
  <c r="AL51" i="1" s="1"/>
  <c r="H51" i="1"/>
  <c r="BJ45" i="1"/>
  <c r="BF45" i="1"/>
  <c r="BD45" i="1"/>
  <c r="AW45" i="1"/>
  <c r="AP45" i="1"/>
  <c r="BI45" i="1" s="1"/>
  <c r="AO45" i="1"/>
  <c r="BH45" i="1" s="1"/>
  <c r="AB45" i="1" s="1"/>
  <c r="AL45" i="1"/>
  <c r="AK45" i="1"/>
  <c r="AJ45" i="1"/>
  <c r="AH45" i="1"/>
  <c r="AG45" i="1"/>
  <c r="AF45" i="1"/>
  <c r="AE45" i="1"/>
  <c r="AD45" i="1"/>
  <c r="AC45" i="1"/>
  <c r="Z45" i="1"/>
  <c r="J45" i="1"/>
  <c r="I45" i="1"/>
  <c r="H45" i="1"/>
  <c r="BJ44" i="1"/>
  <c r="BF44" i="1"/>
  <c r="BD44" i="1"/>
  <c r="AX44" i="1"/>
  <c r="AP44" i="1"/>
  <c r="BI44" i="1" s="1"/>
  <c r="AC44" i="1" s="1"/>
  <c r="AO44" i="1"/>
  <c r="AK44" i="1"/>
  <c r="AJ44" i="1"/>
  <c r="AH44" i="1"/>
  <c r="AG44" i="1"/>
  <c r="AF44" i="1"/>
  <c r="AE44" i="1"/>
  <c r="AD44" i="1"/>
  <c r="Z44" i="1"/>
  <c r="J44" i="1"/>
  <c r="I44" i="1"/>
  <c r="BJ42" i="1"/>
  <c r="BF42" i="1"/>
  <c r="BD42" i="1"/>
  <c r="AW42" i="1"/>
  <c r="AP42" i="1"/>
  <c r="BI42" i="1" s="1"/>
  <c r="AC42" i="1" s="1"/>
  <c r="AO42" i="1"/>
  <c r="BH42" i="1" s="1"/>
  <c r="AB42" i="1" s="1"/>
  <c r="AL42" i="1"/>
  <c r="AK42" i="1"/>
  <c r="AJ42" i="1"/>
  <c r="AH42" i="1"/>
  <c r="AG42" i="1"/>
  <c r="AF42" i="1"/>
  <c r="AE42" i="1"/>
  <c r="AD42" i="1"/>
  <c r="Z42" i="1"/>
  <c r="J42" i="1"/>
  <c r="I42" i="1"/>
  <c r="H42" i="1"/>
  <c r="BJ41" i="1"/>
  <c r="BH41" i="1"/>
  <c r="AB41" i="1" s="1"/>
  <c r="BF41" i="1"/>
  <c r="BD41" i="1"/>
  <c r="AX41" i="1"/>
  <c r="AV41" i="1"/>
  <c r="AP41" i="1"/>
  <c r="BI41" i="1" s="1"/>
  <c r="AC41" i="1" s="1"/>
  <c r="AO41" i="1"/>
  <c r="AW41" i="1" s="1"/>
  <c r="AK41" i="1"/>
  <c r="AT39" i="1" s="1"/>
  <c r="AJ41" i="1"/>
  <c r="AH41" i="1"/>
  <c r="AG41" i="1"/>
  <c r="AF41" i="1"/>
  <c r="AE41" i="1"/>
  <c r="AD41" i="1"/>
  <c r="Z41" i="1"/>
  <c r="J41" i="1"/>
  <c r="AL41" i="1" s="1"/>
  <c r="AU39" i="1" s="1"/>
  <c r="I41" i="1"/>
  <c r="H41" i="1"/>
  <c r="BJ40" i="1"/>
  <c r="BI40" i="1"/>
  <c r="AC40" i="1" s="1"/>
  <c r="BF40" i="1"/>
  <c r="BD40" i="1"/>
  <c r="AW40" i="1"/>
  <c r="AV40" i="1" s="1"/>
  <c r="AP40" i="1"/>
  <c r="AX40" i="1" s="1"/>
  <c r="AO40" i="1"/>
  <c r="H40" i="1" s="1"/>
  <c r="H39" i="1" s="1"/>
  <c r="E18" i="2" s="1"/>
  <c r="AL40" i="1"/>
  <c r="AK40" i="1"/>
  <c r="AJ40" i="1"/>
  <c r="AH40" i="1"/>
  <c r="AG40" i="1"/>
  <c r="AF40" i="1"/>
  <c r="AE40" i="1"/>
  <c r="AD40" i="1"/>
  <c r="Z40" i="1"/>
  <c r="J40" i="1"/>
  <c r="I40" i="1"/>
  <c r="I39" i="1" s="1"/>
  <c r="F18" i="2" s="1"/>
  <c r="AS39" i="1"/>
  <c r="BJ38" i="1"/>
  <c r="BH38" i="1"/>
  <c r="AB38" i="1" s="1"/>
  <c r="BF38" i="1"/>
  <c r="BD38" i="1"/>
  <c r="AX38" i="1"/>
  <c r="AV38" i="1"/>
  <c r="AP38" i="1"/>
  <c r="BI38" i="1" s="1"/>
  <c r="AC38" i="1" s="1"/>
  <c r="AO38" i="1"/>
  <c r="AW38" i="1" s="1"/>
  <c r="AK38" i="1"/>
  <c r="AJ38" i="1"/>
  <c r="AH38" i="1"/>
  <c r="AG38" i="1"/>
  <c r="AF38" i="1"/>
  <c r="AE38" i="1"/>
  <c r="AD38" i="1"/>
  <c r="Z38" i="1"/>
  <c r="J38" i="1"/>
  <c r="AL38" i="1" s="1"/>
  <c r="I38" i="1"/>
  <c r="H38" i="1"/>
  <c r="BJ36" i="1"/>
  <c r="BF36" i="1"/>
  <c r="BD36" i="1"/>
  <c r="AW36" i="1"/>
  <c r="AP36" i="1"/>
  <c r="AX36" i="1" s="1"/>
  <c r="AO36" i="1"/>
  <c r="H36" i="1" s="1"/>
  <c r="AL36" i="1"/>
  <c r="AK36" i="1"/>
  <c r="AJ36" i="1"/>
  <c r="AH36" i="1"/>
  <c r="AG36" i="1"/>
  <c r="AF36" i="1"/>
  <c r="AE36" i="1"/>
  <c r="AD36" i="1"/>
  <c r="Z36" i="1"/>
  <c r="J36" i="1"/>
  <c r="BJ33" i="1"/>
  <c r="BH33" i="1"/>
  <c r="AB33" i="1" s="1"/>
  <c r="BF33" i="1"/>
  <c r="BD33" i="1"/>
  <c r="AX33" i="1"/>
  <c r="AV33" i="1"/>
  <c r="AP33" i="1"/>
  <c r="I33" i="1" s="1"/>
  <c r="AO33" i="1"/>
  <c r="AW33" i="1" s="1"/>
  <c r="AK33" i="1"/>
  <c r="AJ33" i="1"/>
  <c r="AH33" i="1"/>
  <c r="AG33" i="1"/>
  <c r="AF33" i="1"/>
  <c r="AE33" i="1"/>
  <c r="AD33" i="1"/>
  <c r="Z33" i="1"/>
  <c r="J33" i="1"/>
  <c r="H33" i="1"/>
  <c r="BJ31" i="1"/>
  <c r="BF31" i="1"/>
  <c r="BD31" i="1"/>
  <c r="AW31" i="1"/>
  <c r="BC31" i="1" s="1"/>
  <c r="AP31" i="1"/>
  <c r="AX31" i="1" s="1"/>
  <c r="AO31" i="1"/>
  <c r="BH31" i="1" s="1"/>
  <c r="AB31" i="1" s="1"/>
  <c r="AL31" i="1"/>
  <c r="AK31" i="1"/>
  <c r="AT30" i="1" s="1"/>
  <c r="AJ31" i="1"/>
  <c r="AS30" i="1" s="1"/>
  <c r="AH31" i="1"/>
  <c r="AG31" i="1"/>
  <c r="AF31" i="1"/>
  <c r="AE31" i="1"/>
  <c r="AD31" i="1"/>
  <c r="Z31" i="1"/>
  <c r="J31" i="1"/>
  <c r="I31" i="1"/>
  <c r="H31" i="1"/>
  <c r="BJ28" i="1"/>
  <c r="BF28" i="1"/>
  <c r="BD28" i="1"/>
  <c r="AX28" i="1"/>
  <c r="AP28" i="1"/>
  <c r="I28" i="1" s="1"/>
  <c r="I27" i="1" s="1"/>
  <c r="F16" i="2" s="1"/>
  <c r="AO28" i="1"/>
  <c r="AW28" i="1" s="1"/>
  <c r="BC28" i="1" s="1"/>
  <c r="AK28" i="1"/>
  <c r="AJ28" i="1"/>
  <c r="AS27" i="1" s="1"/>
  <c r="AH28" i="1"/>
  <c r="AG28" i="1"/>
  <c r="AF28" i="1"/>
  <c r="AE28" i="1"/>
  <c r="AD28" i="1"/>
  <c r="Z28" i="1"/>
  <c r="J28" i="1"/>
  <c r="AL28" i="1" s="1"/>
  <c r="AU27" i="1" s="1"/>
  <c r="AT27" i="1"/>
  <c r="BJ26" i="1"/>
  <c r="BI26" i="1"/>
  <c r="AC26" i="1" s="1"/>
  <c r="BF26" i="1"/>
  <c r="BD26" i="1"/>
  <c r="AW26" i="1"/>
  <c r="AV26" i="1" s="1"/>
  <c r="AP26" i="1"/>
  <c r="AX26" i="1" s="1"/>
  <c r="AO26" i="1"/>
  <c r="H26" i="1" s="1"/>
  <c r="H25" i="1" s="1"/>
  <c r="E15" i="2" s="1"/>
  <c r="AL26" i="1"/>
  <c r="AK26" i="1"/>
  <c r="AJ26" i="1"/>
  <c r="AH26" i="1"/>
  <c r="AG26" i="1"/>
  <c r="AF26" i="1"/>
  <c r="AE26" i="1"/>
  <c r="AD26" i="1"/>
  <c r="Z26" i="1"/>
  <c r="J26" i="1"/>
  <c r="J25" i="1" s="1"/>
  <c r="G15" i="2" s="1"/>
  <c r="I15" i="2" s="1"/>
  <c r="I26" i="1"/>
  <c r="AU25" i="1"/>
  <c r="AT25" i="1"/>
  <c r="AS25" i="1"/>
  <c r="I25" i="1"/>
  <c r="F15" i="2" s="1"/>
  <c r="BJ24" i="1"/>
  <c r="BH24" i="1"/>
  <c r="AB24" i="1" s="1"/>
  <c r="BF24" i="1"/>
  <c r="BD24" i="1"/>
  <c r="AX24" i="1"/>
  <c r="AV24" i="1"/>
  <c r="AP24" i="1"/>
  <c r="BI24" i="1" s="1"/>
  <c r="AC24" i="1" s="1"/>
  <c r="AO24" i="1"/>
  <c r="AW24" i="1" s="1"/>
  <c r="AK24" i="1"/>
  <c r="AJ24" i="1"/>
  <c r="AH24" i="1"/>
  <c r="AG24" i="1"/>
  <c r="AF24" i="1"/>
  <c r="AE24" i="1"/>
  <c r="AD24" i="1"/>
  <c r="Z24" i="1"/>
  <c r="J24" i="1"/>
  <c r="AL24" i="1" s="1"/>
  <c r="AU23" i="1" s="1"/>
  <c r="I24" i="1"/>
  <c r="I23" i="1" s="1"/>
  <c r="F14" i="2" s="1"/>
  <c r="H24" i="1"/>
  <c r="AT23" i="1"/>
  <c r="AS23" i="1"/>
  <c r="H23" i="1"/>
  <c r="E14" i="2" s="1"/>
  <c r="BJ22" i="1"/>
  <c r="BI22" i="1"/>
  <c r="AC22" i="1" s="1"/>
  <c r="BF22" i="1"/>
  <c r="BD22" i="1"/>
  <c r="AW22" i="1"/>
  <c r="AV22" i="1" s="1"/>
  <c r="AP22" i="1"/>
  <c r="AX22" i="1" s="1"/>
  <c r="AO22" i="1"/>
  <c r="BH22" i="1" s="1"/>
  <c r="AB22" i="1" s="1"/>
  <c r="AL22" i="1"/>
  <c r="AK22" i="1"/>
  <c r="AJ22" i="1"/>
  <c r="AH22" i="1"/>
  <c r="AG22" i="1"/>
  <c r="AF22" i="1"/>
  <c r="AE22" i="1"/>
  <c r="AD22" i="1"/>
  <c r="Z22" i="1"/>
  <c r="J22" i="1"/>
  <c r="I22" i="1"/>
  <c r="H22" i="1"/>
  <c r="BJ21" i="1"/>
  <c r="BF21" i="1"/>
  <c r="BD21" i="1"/>
  <c r="AX21" i="1"/>
  <c r="AP21" i="1"/>
  <c r="BI21" i="1" s="1"/>
  <c r="AO21" i="1"/>
  <c r="AW21" i="1" s="1"/>
  <c r="AV21" i="1" s="1"/>
  <c r="AK21" i="1"/>
  <c r="AT18" i="1" s="1"/>
  <c r="AJ21" i="1"/>
  <c r="AH21" i="1"/>
  <c r="AG21" i="1"/>
  <c r="AF21" i="1"/>
  <c r="AE21" i="1"/>
  <c r="AD21" i="1"/>
  <c r="AC21" i="1"/>
  <c r="Z21" i="1"/>
  <c r="J21" i="1"/>
  <c r="AL21" i="1" s="1"/>
  <c r="I21" i="1"/>
  <c r="H21" i="1"/>
  <c r="BJ20" i="1"/>
  <c r="BI20" i="1"/>
  <c r="BH20" i="1"/>
  <c r="AB20" i="1" s="1"/>
  <c r="BF20" i="1"/>
  <c r="BD20" i="1"/>
  <c r="AX20" i="1"/>
  <c r="AW20" i="1"/>
  <c r="AV20" i="1" s="1"/>
  <c r="AP20" i="1"/>
  <c r="AO20" i="1"/>
  <c r="H20" i="1" s="1"/>
  <c r="AL20" i="1"/>
  <c r="AK20" i="1"/>
  <c r="AJ20" i="1"/>
  <c r="AH20" i="1"/>
  <c r="AG20" i="1"/>
  <c r="AF20" i="1"/>
  <c r="AE20" i="1"/>
  <c r="AD20" i="1"/>
  <c r="AC20" i="1"/>
  <c r="Z20" i="1"/>
  <c r="J20" i="1"/>
  <c r="I20" i="1"/>
  <c r="BJ19" i="1"/>
  <c r="BI19" i="1"/>
  <c r="AC19" i="1" s="1"/>
  <c r="BF19" i="1"/>
  <c r="BD19" i="1"/>
  <c r="AP19" i="1"/>
  <c r="I19" i="1" s="1"/>
  <c r="AO19" i="1"/>
  <c r="AW19" i="1" s="1"/>
  <c r="AK19" i="1"/>
  <c r="AJ19" i="1"/>
  <c r="AS18" i="1" s="1"/>
  <c r="AH19" i="1"/>
  <c r="AG19" i="1"/>
  <c r="AF19" i="1"/>
  <c r="AE19" i="1"/>
  <c r="AD19" i="1"/>
  <c r="Z19" i="1"/>
  <c r="J19" i="1"/>
  <c r="AL19" i="1" s="1"/>
  <c r="AU18" i="1"/>
  <c r="J18" i="1"/>
  <c r="G13" i="2" s="1"/>
  <c r="I13" i="2" s="1"/>
  <c r="I18" i="1"/>
  <c r="F13" i="2" s="1"/>
  <c r="BJ17" i="1"/>
  <c r="BI17" i="1"/>
  <c r="BH17" i="1"/>
  <c r="AB17" i="1" s="1"/>
  <c r="BF17" i="1"/>
  <c r="BD17" i="1"/>
  <c r="AX17" i="1"/>
  <c r="AW17" i="1"/>
  <c r="AV17" i="1" s="1"/>
  <c r="AP17" i="1"/>
  <c r="AO17" i="1"/>
  <c r="H17" i="1" s="1"/>
  <c r="AL17" i="1"/>
  <c r="AK17" i="1"/>
  <c r="AJ17" i="1"/>
  <c r="AH17" i="1"/>
  <c r="AG17" i="1"/>
  <c r="AF17" i="1"/>
  <c r="AE17" i="1"/>
  <c r="AD17" i="1"/>
  <c r="AC17" i="1"/>
  <c r="Z17" i="1"/>
  <c r="J17" i="1"/>
  <c r="J16" i="1" s="1"/>
  <c r="G12" i="2" s="1"/>
  <c r="I12" i="2" s="1"/>
  <c r="I17" i="1"/>
  <c r="I16" i="1" s="1"/>
  <c r="F12" i="2" s="1"/>
  <c r="AU16" i="1"/>
  <c r="AT16" i="1"/>
  <c r="AS16" i="1"/>
  <c r="H16" i="1"/>
  <c r="E12" i="2" s="1"/>
  <c r="BJ15" i="1"/>
  <c r="BF15" i="1"/>
  <c r="BD15" i="1"/>
  <c r="AX15" i="1"/>
  <c r="AP15" i="1"/>
  <c r="BI15" i="1" s="1"/>
  <c r="AC15" i="1" s="1"/>
  <c r="AO15" i="1"/>
  <c r="H15" i="1" s="1"/>
  <c r="AK15" i="1"/>
  <c r="AJ15" i="1"/>
  <c r="AH15" i="1"/>
  <c r="AG15" i="1"/>
  <c r="AF15" i="1"/>
  <c r="AE15" i="1"/>
  <c r="AD15" i="1"/>
  <c r="Z15" i="1"/>
  <c r="J15" i="1"/>
  <c r="AL15" i="1" s="1"/>
  <c r="I15" i="1"/>
  <c r="BJ13" i="1"/>
  <c r="BI13" i="1"/>
  <c r="AC13" i="1" s="1"/>
  <c r="BF13" i="1"/>
  <c r="BD13" i="1"/>
  <c r="AP13" i="1"/>
  <c r="AX13" i="1" s="1"/>
  <c r="AO13" i="1"/>
  <c r="BH13" i="1" s="1"/>
  <c r="AB13" i="1" s="1"/>
  <c r="AK13" i="1"/>
  <c r="AJ13" i="1"/>
  <c r="AH13" i="1"/>
  <c r="C20" i="3" s="1"/>
  <c r="AG13" i="1"/>
  <c r="AF13" i="1"/>
  <c r="AE13" i="1"/>
  <c r="AD13" i="1"/>
  <c r="Z13" i="1"/>
  <c r="J13" i="1"/>
  <c r="AL13" i="1" s="1"/>
  <c r="AU12" i="1" s="1"/>
  <c r="AT12" i="1"/>
  <c r="AU1" i="1"/>
  <c r="AT1" i="1"/>
  <c r="AS1" i="1"/>
  <c r="I30" i="1" l="1"/>
  <c r="F17" i="2" s="1"/>
  <c r="C27" i="3"/>
  <c r="H19" i="1"/>
  <c r="H18" i="1" s="1"/>
  <c r="E13" i="2" s="1"/>
  <c r="J12" i="1"/>
  <c r="H13" i="1"/>
  <c r="H12" i="1" s="1"/>
  <c r="E11" i="2" s="1"/>
  <c r="AW13" i="1"/>
  <c r="AS12" i="1"/>
  <c r="I13" i="1"/>
  <c r="I12" i="1" s="1"/>
  <c r="F11" i="2" s="1"/>
  <c r="C19" i="3"/>
  <c r="AW15" i="1"/>
  <c r="BH15" i="1"/>
  <c r="AB15" i="1" s="1"/>
  <c r="AX19" i="1"/>
  <c r="BC19" i="1" s="1"/>
  <c r="BH19" i="1"/>
  <c r="AB19" i="1" s="1"/>
  <c r="BH21" i="1"/>
  <c r="AB21" i="1" s="1"/>
  <c r="C14" i="3" s="1"/>
  <c r="J23" i="1"/>
  <c r="G14" i="2" s="1"/>
  <c r="I14" i="2" s="1"/>
  <c r="J27" i="1"/>
  <c r="G16" i="2" s="1"/>
  <c r="I16" i="2" s="1"/>
  <c r="H30" i="1"/>
  <c r="E17" i="2" s="1"/>
  <c r="BC33" i="1"/>
  <c r="I36" i="1"/>
  <c r="BC38" i="1"/>
  <c r="J39" i="1"/>
  <c r="G18" i="2" s="1"/>
  <c r="I18" i="2" s="1"/>
  <c r="I43" i="1"/>
  <c r="F19" i="2" s="1"/>
  <c r="AV76" i="1"/>
  <c r="BC76" i="1"/>
  <c r="BC96" i="1"/>
  <c r="AX103" i="1"/>
  <c r="I103" i="1"/>
  <c r="I54" i="1"/>
  <c r="AX54" i="1"/>
  <c r="BC54" i="1" s="1"/>
  <c r="I62" i="1"/>
  <c r="AX62" i="1"/>
  <c r="BC62" i="1" s="1"/>
  <c r="I67" i="1"/>
  <c r="AX67" i="1"/>
  <c r="BC67" i="1" s="1"/>
  <c r="C21" i="3"/>
  <c r="AL33" i="1"/>
  <c r="AU30" i="1" s="1"/>
  <c r="J30" i="1"/>
  <c r="G17" i="2" s="1"/>
  <c r="I17" i="2" s="1"/>
  <c r="AV36" i="1"/>
  <c r="BI36" i="1"/>
  <c r="AC36" i="1" s="1"/>
  <c r="BC40" i="1"/>
  <c r="AV42" i="1"/>
  <c r="H44" i="1"/>
  <c r="AW44" i="1"/>
  <c r="BI54" i="1"/>
  <c r="AC54" i="1" s="1"/>
  <c r="H57" i="1"/>
  <c r="AW57" i="1"/>
  <c r="BI62" i="1"/>
  <c r="AC62" i="1" s="1"/>
  <c r="H63" i="1"/>
  <c r="AW63" i="1"/>
  <c r="BI67" i="1"/>
  <c r="AC67" i="1" s="1"/>
  <c r="H70" i="1"/>
  <c r="AW70" i="1"/>
  <c r="I75" i="1"/>
  <c r="I74" i="1" s="1"/>
  <c r="F20" i="2" s="1"/>
  <c r="BI75" i="1"/>
  <c r="AC75" i="1" s="1"/>
  <c r="AX75" i="1"/>
  <c r="J43" i="1"/>
  <c r="G19" i="2" s="1"/>
  <c r="I19" i="2" s="1"/>
  <c r="AL44" i="1"/>
  <c r="AU43" i="1" s="1"/>
  <c r="BC85" i="1"/>
  <c r="AL129" i="1"/>
  <c r="AU128" i="1" s="1"/>
  <c r="J128" i="1"/>
  <c r="G28" i="2" s="1"/>
  <c r="I28" i="2" s="1"/>
  <c r="AV146" i="1"/>
  <c r="BC146" i="1"/>
  <c r="BC21" i="1"/>
  <c r="BC22" i="1"/>
  <c r="BC26" i="1"/>
  <c r="H28" i="1"/>
  <c r="H27" i="1" s="1"/>
  <c r="E16" i="2" s="1"/>
  <c r="C18" i="3"/>
  <c r="BC17" i="1"/>
  <c r="BC20" i="1"/>
  <c r="BC24" i="1"/>
  <c r="AV28" i="1"/>
  <c r="BH28" i="1"/>
  <c r="AB28" i="1" s="1"/>
  <c r="AV31" i="1"/>
  <c r="BI31" i="1"/>
  <c r="AC31" i="1" s="1"/>
  <c r="BC36" i="1"/>
  <c r="BC41" i="1"/>
  <c r="BH44" i="1"/>
  <c r="AB44" i="1" s="1"/>
  <c r="AS43" i="1"/>
  <c r="BH57" i="1"/>
  <c r="AB57" i="1" s="1"/>
  <c r="BH63" i="1"/>
  <c r="AB63" i="1" s="1"/>
  <c r="BH70" i="1"/>
  <c r="AB70" i="1" s="1"/>
  <c r="AW79" i="1"/>
  <c r="H79" i="1"/>
  <c r="H78" i="1" s="1"/>
  <c r="E21" i="2" s="1"/>
  <c r="BH79" i="1"/>
  <c r="AB79" i="1" s="1"/>
  <c r="BI103" i="1"/>
  <c r="AC103" i="1" s="1"/>
  <c r="BH26" i="1"/>
  <c r="AB26" i="1" s="1"/>
  <c r="BI28" i="1"/>
  <c r="AC28" i="1" s="1"/>
  <c r="C15" i="3" s="1"/>
  <c r="BI33" i="1"/>
  <c r="AC33" i="1" s="1"/>
  <c r="BH36" i="1"/>
  <c r="AB36" i="1" s="1"/>
  <c r="BH40" i="1"/>
  <c r="AB40" i="1" s="1"/>
  <c r="BI51" i="1"/>
  <c r="AC51" i="1" s="1"/>
  <c r="BH54" i="1"/>
  <c r="AB54" i="1" s="1"/>
  <c r="BI61" i="1"/>
  <c r="AC61" i="1" s="1"/>
  <c r="BH62" i="1"/>
  <c r="AB62" i="1" s="1"/>
  <c r="BI66" i="1"/>
  <c r="AC66" i="1" s="1"/>
  <c r="BH67" i="1"/>
  <c r="AB67" i="1" s="1"/>
  <c r="AW75" i="1"/>
  <c r="H75" i="1"/>
  <c r="H74" i="1" s="1"/>
  <c r="E20" i="2" s="1"/>
  <c r="AL79" i="1"/>
  <c r="AU78" i="1" s="1"/>
  <c r="J78" i="1"/>
  <c r="G21" i="2" s="1"/>
  <c r="I21" i="2" s="1"/>
  <c r="AU84" i="1"/>
  <c r="AX86" i="1"/>
  <c r="I86" i="1"/>
  <c r="I84" i="1" s="1"/>
  <c r="F23" i="2" s="1"/>
  <c r="BI86" i="1"/>
  <c r="AC86" i="1" s="1"/>
  <c r="AW87" i="1"/>
  <c r="H87" i="1"/>
  <c r="AX90" i="1"/>
  <c r="I90" i="1"/>
  <c r="BI90" i="1"/>
  <c r="AC90" i="1" s="1"/>
  <c r="AW91" i="1"/>
  <c r="H91" i="1"/>
  <c r="H84" i="1" s="1"/>
  <c r="E23" i="2" s="1"/>
  <c r="AS92" i="1"/>
  <c r="AX99" i="1"/>
  <c r="I99" i="1"/>
  <c r="BI99" i="1"/>
  <c r="AC99" i="1" s="1"/>
  <c r="AW100" i="1"/>
  <c r="H100" i="1"/>
  <c r="AX136" i="1"/>
  <c r="I136" i="1"/>
  <c r="AU140" i="1"/>
  <c r="AX159" i="1"/>
  <c r="I159" i="1"/>
  <c r="C28" i="3"/>
  <c r="F28" i="3" s="1"/>
  <c r="AX42" i="1"/>
  <c r="BC42" i="1" s="1"/>
  <c r="AX45" i="1"/>
  <c r="AV45" i="1" s="1"/>
  <c r="AW51" i="1"/>
  <c r="AX60" i="1"/>
  <c r="BC60" i="1" s="1"/>
  <c r="AW61" i="1"/>
  <c r="AX64" i="1"/>
  <c r="AV64" i="1" s="1"/>
  <c r="AW66" i="1"/>
  <c r="AX73" i="1"/>
  <c r="BC73" i="1" s="1"/>
  <c r="AV88" i="1"/>
  <c r="BC88" i="1"/>
  <c r="AV101" i="1"/>
  <c r="AX82" i="1"/>
  <c r="I82" i="1"/>
  <c r="I81" i="1" s="1"/>
  <c r="F22" i="2" s="1"/>
  <c r="BI82" i="1"/>
  <c r="AC82" i="1" s="1"/>
  <c r="AX93" i="1"/>
  <c r="I93" i="1"/>
  <c r="BI93" i="1"/>
  <c r="AC93" i="1" s="1"/>
  <c r="AW95" i="1"/>
  <c r="H95" i="1"/>
  <c r="AX107" i="1"/>
  <c r="I107" i="1"/>
  <c r="BI107" i="1"/>
  <c r="AC107" i="1" s="1"/>
  <c r="AS109" i="1"/>
  <c r="AX111" i="1"/>
  <c r="I111" i="1"/>
  <c r="BI111" i="1"/>
  <c r="AV119" i="1"/>
  <c r="BC119" i="1"/>
  <c r="AL125" i="1"/>
  <c r="AU118" i="1" s="1"/>
  <c r="J118" i="1"/>
  <c r="G27" i="2" s="1"/>
  <c r="I27" i="2" s="1"/>
  <c r="AV127" i="1"/>
  <c r="BC127" i="1"/>
  <c r="BH76" i="1"/>
  <c r="AB76" i="1" s="1"/>
  <c r="BI79" i="1"/>
  <c r="AC79" i="1" s="1"/>
  <c r="AW89" i="1"/>
  <c r="J92" i="1"/>
  <c r="G24" i="2" s="1"/>
  <c r="I24" i="2" s="1"/>
  <c r="H93" i="1"/>
  <c r="AX96" i="1"/>
  <c r="AV96" i="1" s="1"/>
  <c r="I98" i="1"/>
  <c r="AW98" i="1"/>
  <c r="H99" i="1"/>
  <c r="AX101" i="1"/>
  <c r="BC101" i="1" s="1"/>
  <c r="I102" i="1"/>
  <c r="AW102" i="1"/>
  <c r="H103" i="1"/>
  <c r="I105" i="1"/>
  <c r="AW105" i="1"/>
  <c r="H107" i="1"/>
  <c r="H104" i="1" s="1"/>
  <c r="E25" i="2" s="1"/>
  <c r="I110" i="1"/>
  <c r="I109" i="1" s="1"/>
  <c r="F26" i="2" s="1"/>
  <c r="AW110" i="1"/>
  <c r="H111" i="1"/>
  <c r="H109" i="1" s="1"/>
  <c r="E26" i="2" s="1"/>
  <c r="AW115" i="1"/>
  <c r="H115" i="1"/>
  <c r="AX123" i="1"/>
  <c r="I123" i="1"/>
  <c r="BI123" i="1"/>
  <c r="AE123" i="1" s="1"/>
  <c r="C17" i="3" s="1"/>
  <c r="AX151" i="1"/>
  <c r="I151" i="1"/>
  <c r="BI151" i="1"/>
  <c r="AE151" i="1" s="1"/>
  <c r="AW162" i="1"/>
  <c r="H162" i="1"/>
  <c r="BC178" i="1"/>
  <c r="AX196" i="1"/>
  <c r="BC196" i="1" s="1"/>
  <c r="I196" i="1"/>
  <c r="I195" i="1" s="1"/>
  <c r="F32" i="2" s="1"/>
  <c r="BI196" i="1"/>
  <c r="AE196" i="1" s="1"/>
  <c r="AW82" i="1"/>
  <c r="AX85" i="1"/>
  <c r="AV85" i="1" s="1"/>
  <c r="AW86" i="1"/>
  <c r="AX89" i="1"/>
  <c r="AW90" i="1"/>
  <c r="AW93" i="1"/>
  <c r="AX98" i="1"/>
  <c r="AW99" i="1"/>
  <c r="AX102" i="1"/>
  <c r="AW103" i="1"/>
  <c r="AX105" i="1"/>
  <c r="AW107" i="1"/>
  <c r="AX110" i="1"/>
  <c r="AW111" i="1"/>
  <c r="AV112" i="1"/>
  <c r="BC112" i="1"/>
  <c r="BH115" i="1"/>
  <c r="AW125" i="1"/>
  <c r="H125" i="1"/>
  <c r="AW129" i="1"/>
  <c r="H129" i="1"/>
  <c r="AW139" i="1"/>
  <c r="H139" i="1"/>
  <c r="AX141" i="1"/>
  <c r="I141" i="1"/>
  <c r="BI141" i="1"/>
  <c r="AE141" i="1" s="1"/>
  <c r="AW152" i="1"/>
  <c r="H152" i="1"/>
  <c r="BH162" i="1"/>
  <c r="AD162" i="1" s="1"/>
  <c r="C16" i="3" s="1"/>
  <c r="AV165" i="1"/>
  <c r="BC165" i="1"/>
  <c r="AX114" i="1"/>
  <c r="I114" i="1"/>
  <c r="BI114" i="1"/>
  <c r="I128" i="1"/>
  <c r="F28" i="2" s="1"/>
  <c r="AV131" i="1"/>
  <c r="BC131" i="1"/>
  <c r="AW144" i="1"/>
  <c r="H144" i="1"/>
  <c r="AV155" i="1"/>
  <c r="BC155" i="1"/>
  <c r="BC187" i="1"/>
  <c r="F22" i="3"/>
  <c r="AX116" i="1"/>
  <c r="AV116" i="1" s="1"/>
  <c r="I117" i="1"/>
  <c r="I120" i="1"/>
  <c r="I118" i="1" s="1"/>
  <c r="F27" i="2" s="1"/>
  <c r="H123" i="1"/>
  <c r="H118" i="1" s="1"/>
  <c r="E27" i="2" s="1"/>
  <c r="I134" i="1"/>
  <c r="H136" i="1"/>
  <c r="J140" i="1"/>
  <c r="G29" i="2" s="1"/>
  <c r="I29" i="2" s="1"/>
  <c r="H141" i="1"/>
  <c r="I149" i="1"/>
  <c r="H151" i="1"/>
  <c r="I158" i="1"/>
  <c r="H159" i="1"/>
  <c r="I167" i="1"/>
  <c r="AV171" i="1"/>
  <c r="BC171" i="1"/>
  <c r="AX176" i="1"/>
  <c r="BC176" i="1" s="1"/>
  <c r="I176" i="1"/>
  <c r="I168" i="1" s="1"/>
  <c r="F30" i="2" s="1"/>
  <c r="AX185" i="1"/>
  <c r="BC185" i="1" s="1"/>
  <c r="I185" i="1"/>
  <c r="I182" i="1" s="1"/>
  <c r="F31" i="2" s="1"/>
  <c r="AW190" i="1"/>
  <c r="H190" i="1"/>
  <c r="AX193" i="1"/>
  <c r="BC193" i="1" s="1"/>
  <c r="I193" i="1"/>
  <c r="AV196" i="1"/>
  <c r="AX113" i="1"/>
  <c r="AW114" i="1"/>
  <c r="AX117" i="1"/>
  <c r="AX120" i="1"/>
  <c r="AW123" i="1"/>
  <c r="AX134" i="1"/>
  <c r="AW136" i="1"/>
  <c r="AW141" i="1"/>
  <c r="AX149" i="1"/>
  <c r="AW151" i="1"/>
  <c r="AX158" i="1"/>
  <c r="AW159" i="1"/>
  <c r="AX167" i="1"/>
  <c r="BH171" i="1"/>
  <c r="AD171" i="1" s="1"/>
  <c r="AV172" i="1"/>
  <c r="BC172" i="1"/>
  <c r="BI176" i="1"/>
  <c r="AE176" i="1" s="1"/>
  <c r="AV183" i="1"/>
  <c r="BC183" i="1"/>
  <c r="AV185" i="1"/>
  <c r="BI185" i="1"/>
  <c r="AE185" i="1" s="1"/>
  <c r="BH190" i="1"/>
  <c r="AD190" i="1" s="1"/>
  <c r="BI193" i="1"/>
  <c r="AE193" i="1" s="1"/>
  <c r="I18" i="4"/>
  <c r="AW177" i="1"/>
  <c r="H177" i="1"/>
  <c r="H168" i="1" s="1"/>
  <c r="E30" i="2" s="1"/>
  <c r="AW186" i="1"/>
  <c r="H186" i="1"/>
  <c r="H182" i="1" s="1"/>
  <c r="E31" i="2" s="1"/>
  <c r="AX189" i="1"/>
  <c r="BC189" i="1" s="1"/>
  <c r="I189" i="1"/>
  <c r="AW194" i="1"/>
  <c r="H194" i="1"/>
  <c r="AX200" i="1"/>
  <c r="BC200" i="1" s="1"/>
  <c r="I200" i="1"/>
  <c r="I198" i="1" s="1"/>
  <c r="F33" i="2" s="1"/>
  <c r="AX172" i="1"/>
  <c r="AW174" i="1"/>
  <c r="AX178" i="1"/>
  <c r="AV178" i="1" s="1"/>
  <c r="AW181" i="1"/>
  <c r="AX183" i="1"/>
  <c r="AL184" i="1"/>
  <c r="AU182" i="1" s="1"/>
  <c r="AW184" i="1"/>
  <c r="AX187" i="1"/>
  <c r="AV187" i="1" s="1"/>
  <c r="AW188" i="1"/>
  <c r="AX191" i="1"/>
  <c r="BC191" i="1" s="1"/>
  <c r="AW192" i="1"/>
  <c r="AW199" i="1"/>
  <c r="C22" i="3" l="1"/>
  <c r="H21" i="4" s="1"/>
  <c r="I21" i="4" s="1"/>
  <c r="AV151" i="1"/>
  <c r="BC151" i="1"/>
  <c r="AV125" i="1"/>
  <c r="BC125" i="1"/>
  <c r="AV75" i="1"/>
  <c r="BC75" i="1"/>
  <c r="AV159" i="1"/>
  <c r="BC159" i="1"/>
  <c r="AV141" i="1"/>
  <c r="BC141" i="1"/>
  <c r="BC116" i="1"/>
  <c r="AV82" i="1"/>
  <c r="BC82" i="1"/>
  <c r="BC192" i="1"/>
  <c r="AV192" i="1"/>
  <c r="BC184" i="1"/>
  <c r="AV184" i="1"/>
  <c r="AV193" i="1"/>
  <c r="BC158" i="1"/>
  <c r="AV158" i="1"/>
  <c r="AV136" i="1"/>
  <c r="BC136" i="1"/>
  <c r="BC117" i="1"/>
  <c r="AV117" i="1"/>
  <c r="H140" i="1"/>
  <c r="E29" i="2" s="1"/>
  <c r="AV152" i="1"/>
  <c r="BC152" i="1"/>
  <c r="AV107" i="1"/>
  <c r="BC107" i="1"/>
  <c r="AV99" i="1"/>
  <c r="BC99" i="1"/>
  <c r="AV200" i="1"/>
  <c r="AV189" i="1"/>
  <c r="BC110" i="1"/>
  <c r="AV110" i="1"/>
  <c r="I104" i="1"/>
  <c r="F25" i="2" s="1"/>
  <c r="AV95" i="1"/>
  <c r="BC95" i="1"/>
  <c r="BC61" i="1"/>
  <c r="AV61" i="1"/>
  <c r="AV91" i="1"/>
  <c r="BC91" i="1"/>
  <c r="AV79" i="1"/>
  <c r="BC79" i="1"/>
  <c r="H43" i="1"/>
  <c r="E19" i="2" s="1"/>
  <c r="BC64" i="1"/>
  <c r="BC45" i="1"/>
  <c r="AV19" i="1"/>
  <c r="BC174" i="1"/>
  <c r="AV174" i="1"/>
  <c r="AV177" i="1"/>
  <c r="BC177" i="1"/>
  <c r="AV114" i="1"/>
  <c r="BC114" i="1"/>
  <c r="AV139" i="1"/>
  <c r="BC139" i="1"/>
  <c r="AV86" i="1"/>
  <c r="BC86" i="1"/>
  <c r="AV162" i="1"/>
  <c r="BC162" i="1"/>
  <c r="H92" i="1"/>
  <c r="E24" i="2" s="1"/>
  <c r="AV87" i="1"/>
  <c r="BC87" i="1"/>
  <c r="AV73" i="1"/>
  <c r="AV60" i="1"/>
  <c r="BC15" i="1"/>
  <c r="AV15" i="1"/>
  <c r="AV13" i="1"/>
  <c r="BC13" i="1"/>
  <c r="BC188" i="1"/>
  <c r="AV188" i="1"/>
  <c r="AV194" i="1"/>
  <c r="BC194" i="1"/>
  <c r="AV186" i="1"/>
  <c r="BC186" i="1"/>
  <c r="AV191" i="1"/>
  <c r="AV176" i="1"/>
  <c r="BC167" i="1"/>
  <c r="AV167" i="1"/>
  <c r="BC149" i="1"/>
  <c r="AV149" i="1"/>
  <c r="AV123" i="1"/>
  <c r="BC123" i="1"/>
  <c r="BC113" i="1"/>
  <c r="AV113" i="1"/>
  <c r="AV144" i="1"/>
  <c r="BC144" i="1"/>
  <c r="I140" i="1"/>
  <c r="F29" i="2" s="1"/>
  <c r="H128" i="1"/>
  <c r="E28" i="2" s="1"/>
  <c r="AV111" i="1"/>
  <c r="BC111" i="1"/>
  <c r="AV103" i="1"/>
  <c r="BC103" i="1"/>
  <c r="AV93" i="1"/>
  <c r="BC93" i="1"/>
  <c r="AV115" i="1"/>
  <c r="BC115" i="1"/>
  <c r="BC102" i="1"/>
  <c r="AV102" i="1"/>
  <c r="BC98" i="1"/>
  <c r="AV98" i="1"/>
  <c r="I92" i="1"/>
  <c r="F24" i="2" s="1"/>
  <c r="BC66" i="1"/>
  <c r="AV66" i="1"/>
  <c r="BC51" i="1"/>
  <c r="AV51" i="1"/>
  <c r="AV100" i="1"/>
  <c r="BC100" i="1"/>
  <c r="AV67" i="1"/>
  <c r="AV62" i="1"/>
  <c r="AV54" i="1"/>
  <c r="BC134" i="1"/>
  <c r="AV134" i="1"/>
  <c r="BC199" i="1"/>
  <c r="AV199" i="1"/>
  <c r="BC181" i="1"/>
  <c r="AV181" i="1"/>
  <c r="BC120" i="1"/>
  <c r="AV120" i="1"/>
  <c r="AV190" i="1"/>
  <c r="BC190" i="1"/>
  <c r="AV129" i="1"/>
  <c r="BC129" i="1"/>
  <c r="AV90" i="1"/>
  <c r="BC90" i="1"/>
  <c r="BC105" i="1"/>
  <c r="AV105" i="1"/>
  <c r="BC89" i="1"/>
  <c r="AV89" i="1"/>
  <c r="AV70" i="1"/>
  <c r="BC70" i="1"/>
  <c r="AV63" i="1"/>
  <c r="BC63" i="1"/>
  <c r="AV57" i="1"/>
  <c r="BC57" i="1"/>
  <c r="AV44" i="1"/>
  <c r="BC44" i="1"/>
  <c r="J201" i="1"/>
  <c r="G11" i="2"/>
  <c r="I11" i="2" s="1"/>
  <c r="G34" i="2" s="1"/>
  <c r="I27" i="4" l="1"/>
  <c r="F29" i="4" s="1"/>
  <c r="I14" i="3"/>
  <c r="I22" i="3" s="1"/>
  <c r="C29" i="3" s="1"/>
  <c r="F29" i="3" l="1"/>
  <c r="I28" i="3"/>
  <c r="I29" i="3" s="1"/>
</calcChain>
</file>

<file path=xl/sharedStrings.xml><?xml version="1.0" encoding="utf-8"?>
<sst xmlns="http://schemas.openxmlformats.org/spreadsheetml/2006/main" count="1774" uniqueCount="554">
  <si>
    <t>Slepý stavební rozpočet</t>
  </si>
  <si>
    <t>Název stavby:</t>
  </si>
  <si>
    <t>Hotel Jezerka snížení energetické náročnosti bazénu</t>
  </si>
  <si>
    <t>Doba výstavby:</t>
  </si>
  <si>
    <t xml:space="preserve"> </t>
  </si>
  <si>
    <t>Objednatel:</t>
  </si>
  <si>
    <t>Hotel Jezerka s.r.o.</t>
  </si>
  <si>
    <t>Druh stavby:</t>
  </si>
  <si>
    <t>Zatepelní objektu bazénu</t>
  </si>
  <si>
    <t>Začátek výstavby:</t>
  </si>
  <si>
    <t>07.02.2025</t>
  </si>
  <si>
    <t>Projektant:</t>
  </si>
  <si>
    <t> </t>
  </si>
  <si>
    <t>Lokalita:</t>
  </si>
  <si>
    <t>Seč, Ústupky 278</t>
  </si>
  <si>
    <t>Konec výstavby:</t>
  </si>
  <si>
    <t>Zhotovitel:</t>
  </si>
  <si>
    <t>Projektový servis Chrudim s.r.o.</t>
  </si>
  <si>
    <t>JKSO:</t>
  </si>
  <si>
    <t>Zpracováno dne:</t>
  </si>
  <si>
    <t>Zpracoval:</t>
  </si>
  <si>
    <t>Č</t>
  </si>
  <si>
    <t>Kód</t>
  </si>
  <si>
    <t>Zkrácený popis / Varianta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</si>
  <si>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</si>
  <si>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</si>
  <si>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</si>
  <si>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</si>
  <si>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</si>
  <si>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</si>
  <si>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</si>
  <si>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</si>
  <si>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</si>
  <si>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</si>
  <si>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</si>
  <si>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</si>
  <si>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</si>
  <si>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</si>
  <si>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</si>
  <si>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</si>
  <si>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</si>
  <si>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</si>
  <si>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</si>
  <si>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</si>
  <si>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</si>
  <si>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</si>
  <si>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</si>
  <si>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</si>
  <si>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</si>
  <si>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</si>
  <si>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</si>
  <si>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11</t>
  </si>
  <si>
    <t>Přípravné a přidružené práce</t>
  </si>
  <si>
    <t>1</t>
  </si>
  <si>
    <t>113152112R00</t>
  </si>
  <si>
    <t>Odstranění podkladu z kameniva drceného</t>
  </si>
  <si>
    <t>m3</t>
  </si>
  <si>
    <t>RTS II / 2024</t>
  </si>
  <si>
    <t>11_</t>
  </si>
  <si>
    <t>1_</t>
  </si>
  <si>
    <t>_</t>
  </si>
  <si>
    <t>Poznámka:</t>
  </si>
  <si>
    <t>odstranění podkladu terasy a kačírek okap. chodník a střechy, bude využito v areálu</t>
  </si>
  <si>
    <t>2</t>
  </si>
  <si>
    <t>113204111R00</t>
  </si>
  <si>
    <t>Vytrhání obrubníků zahradních</t>
  </si>
  <si>
    <t>m</t>
  </si>
  <si>
    <t>13</t>
  </si>
  <si>
    <t>Hloubené vykopávky</t>
  </si>
  <si>
    <t>3</t>
  </si>
  <si>
    <t>132301110R00</t>
  </si>
  <si>
    <t>Hloubení rýh š.do 60 cm v hor.4 do 50 m3,STROJNĚ</t>
  </si>
  <si>
    <t>13_</t>
  </si>
  <si>
    <t>16</t>
  </si>
  <si>
    <t>Přemístění výkopku</t>
  </si>
  <si>
    <t>4</t>
  </si>
  <si>
    <t>162701105R00</t>
  </si>
  <si>
    <t>Vodorovné přemístění výkopku z hor.1-4 do 10000 m</t>
  </si>
  <si>
    <t>16_</t>
  </si>
  <si>
    <t>5</t>
  </si>
  <si>
    <t>162701109R00</t>
  </si>
  <si>
    <t>Příplatek k vod. přemístění hor.1-4 za další 1 km</t>
  </si>
  <si>
    <t>6</t>
  </si>
  <si>
    <t>162201102R00</t>
  </si>
  <si>
    <t>Vodorovné přemístění výkopku z hor.1-4 do 50 m</t>
  </si>
  <si>
    <t>7</t>
  </si>
  <si>
    <t>167101101R00</t>
  </si>
  <si>
    <t>Nakládání výkopku z hor. 1 ÷ 4 v množství do 100 m3</t>
  </si>
  <si>
    <t>17</t>
  </si>
  <si>
    <t>Konstrukce ze zemin</t>
  </si>
  <si>
    <t>8</t>
  </si>
  <si>
    <t>174101101R00</t>
  </si>
  <si>
    <t>Zásyp jam, rýh, šachet se zhutněním</t>
  </si>
  <si>
    <t>17_</t>
  </si>
  <si>
    <t>19</t>
  </si>
  <si>
    <t>Hloubení pro podzemní stěny, ražení a hloubení důlní</t>
  </si>
  <si>
    <t>9</t>
  </si>
  <si>
    <t>199000002R00</t>
  </si>
  <si>
    <t>Poplatek za skládku horniny 1- 4, č. dle katal. odpadů 17 05 04</t>
  </si>
  <si>
    <t>19_</t>
  </si>
  <si>
    <t>27</t>
  </si>
  <si>
    <t>Základy</t>
  </si>
  <si>
    <t>10</t>
  </si>
  <si>
    <t>274313621R00</t>
  </si>
  <si>
    <t>Beton základových pasů prostý C 20/25</t>
  </si>
  <si>
    <t>27_</t>
  </si>
  <si>
    <t>2_</t>
  </si>
  <si>
    <t>1,2*0,4*1,0*2</t>
  </si>
  <si>
    <t>34</t>
  </si>
  <si>
    <t>Stěny a příčky</t>
  </si>
  <si>
    <t>342264051RT4</t>
  </si>
  <si>
    <t>Podhled sádrokartonový na zavěšenou ocel. konstr.</t>
  </si>
  <si>
    <t>m2</t>
  </si>
  <si>
    <t>34_</t>
  </si>
  <si>
    <t>3_</t>
  </si>
  <si>
    <t>desky požár. impreg. tl. 12,5 mm, bez izolace</t>
  </si>
  <si>
    <t>12</t>
  </si>
  <si>
    <t>342267112RT4</t>
  </si>
  <si>
    <t>Obklad trámů sádrokartonem třístranný do 0,5/0,5 m</t>
  </si>
  <si>
    <t>desky protipožární impreg. tl. 12,5 mm</t>
  </si>
  <si>
    <t>obklad střešních vazníků</t>
  </si>
  <si>
    <t>349231811RT2</t>
  </si>
  <si>
    <t>Přizdívka ostění s ozubem z cihel, kapsy do 15 cm</t>
  </si>
  <si>
    <t>s použitím suché maltové směsi</t>
  </si>
  <si>
    <t>14</t>
  </si>
  <si>
    <t>340236212R00</t>
  </si>
  <si>
    <t>Zazdívka otvorů pl.0,09m2,cihlami tl.zdi nad 10 cm</t>
  </si>
  <si>
    <t>kus</t>
  </si>
  <si>
    <t>61</t>
  </si>
  <si>
    <t>Úprava povrchů vnitřní</t>
  </si>
  <si>
    <t>15</t>
  </si>
  <si>
    <t>610991111R00</t>
  </si>
  <si>
    <t>Zakrývání výplní vnitřních otvorů</t>
  </si>
  <si>
    <t>61_</t>
  </si>
  <si>
    <t>6_</t>
  </si>
  <si>
    <t>612425931R00</t>
  </si>
  <si>
    <t>Omítka vápenná vnitřního ostění - štuková</t>
  </si>
  <si>
    <t>611471411R00</t>
  </si>
  <si>
    <t>Úprava stropů aktivovaným štukem tl. 2 - 3 mm</t>
  </si>
  <si>
    <t>62</t>
  </si>
  <si>
    <t>Úprava povrchů vnější</t>
  </si>
  <si>
    <t>18</t>
  </si>
  <si>
    <t>620991121R00</t>
  </si>
  <si>
    <t>Zakrývání výplní vnějších otvorů z lešení</t>
  </si>
  <si>
    <t>62_</t>
  </si>
  <si>
    <t>622311639RT3</t>
  </si>
  <si>
    <t>Zateplovací systém, fasáda, deska PIR (souč. tep. vodivosti min. 0,024 W/m.K), tl. 200 mm</t>
  </si>
  <si>
    <t>s omítkou Silikon</t>
  </si>
  <si>
    <t>21,4*4,5-3,1*0,6*6+4,02*3,2-2,0*2,1+5,81*1,8</t>
  </si>
  <si>
    <t>pohled jižní</t>
  </si>
  <si>
    <t>(13,34+0,73+10,12+1,0+1,04)*2,85+18,13+(8,14+3,5)*1,8+2,36*0,5-2,7*1,71*2-3,0*2,7*2-0,8*1,69-1,24*1,21</t>
  </si>
  <si>
    <t>pohled východní</t>
  </si>
  <si>
    <t>95,731-1,8*0,7*2-1,2*0,7*3-0,8*2,5*7</t>
  </si>
  <si>
    <t>pohled západní</t>
  </si>
  <si>
    <t>20,55*1,8+7,45*1,3+0,9*2,19-3,1*0,82*5</t>
  </si>
  <si>
    <t>pohled severní</t>
  </si>
  <si>
    <t>20</t>
  </si>
  <si>
    <t>622311653RT3</t>
  </si>
  <si>
    <t>Zateplovací systém, ostění, deska PIR (souč. tep. vodivosti min. 0,024 W/m.K), tl. 30 mm</t>
  </si>
  <si>
    <t>(3,1*6*2+0,6*12)*0,28+0,78*1,71+0,58*2,29</t>
  </si>
  <si>
    <t>21</t>
  </si>
  <si>
    <t>622311653RT7</t>
  </si>
  <si>
    <t>zakončený stěrkou s výztužnou tkaninou</t>
  </si>
  <si>
    <t>zateplení přesahů</t>
  </si>
  <si>
    <t>22</t>
  </si>
  <si>
    <t>622311527RV1</t>
  </si>
  <si>
    <t>Zateplovací systém Baumit, sokl, XPS, tl. 200 mm</t>
  </si>
  <si>
    <t>47,65*0,9</t>
  </si>
  <si>
    <t>23</t>
  </si>
  <si>
    <t>620991005R00</t>
  </si>
  <si>
    <t>Začišťovací okenní lišta s tkaninou</t>
  </si>
  <si>
    <t>24</t>
  </si>
  <si>
    <t>620991011R00</t>
  </si>
  <si>
    <t>Přechodový profil parapet-ostění, s tkaninou</t>
  </si>
  <si>
    <t>25</t>
  </si>
  <si>
    <t>622311113R00</t>
  </si>
  <si>
    <t>Dilatační rohový V profil, zateplovací systém</t>
  </si>
  <si>
    <t>26</t>
  </si>
  <si>
    <t>622311160R00</t>
  </si>
  <si>
    <t>Výztužná stěrka na parapet z EPS, XPS, zateplovací systém Baumit</t>
  </si>
  <si>
    <t>622473187RT2</t>
  </si>
  <si>
    <t>Příplatek za okenní lištu (APU) - montáž</t>
  </si>
  <si>
    <t>včetně dodávky lišty</t>
  </si>
  <si>
    <t>28</t>
  </si>
  <si>
    <t>622904112R00</t>
  </si>
  <si>
    <t>Očištění fasád tlakovou vodou složitost 1 - 2</t>
  </si>
  <si>
    <t>29</t>
  </si>
  <si>
    <t>622311635RT7</t>
  </si>
  <si>
    <t>Zateplovací systém, fasáda, deska PIR (souč. tep. vodivosti min. 0,024 W/m.K), tl. 120 mm</t>
  </si>
  <si>
    <t>zateplení stropu 2pp</t>
  </si>
  <si>
    <t>30</t>
  </si>
  <si>
    <t>622311636RT7</t>
  </si>
  <si>
    <t>Zateplovací systém, fasáda, deska PIR (souč. tep. vodivosti min. 0,024 W/m.K), tl. 140 mm</t>
  </si>
  <si>
    <t>31</t>
  </si>
  <si>
    <t>621471119R00</t>
  </si>
  <si>
    <t>Příplatek za provádění úprav na podhledech</t>
  </si>
  <si>
    <t>63</t>
  </si>
  <si>
    <t>Podlahy a podlahové konstrukce</t>
  </si>
  <si>
    <t>32</t>
  </si>
  <si>
    <t>639571210R00</t>
  </si>
  <si>
    <t>Kačírek pro okapový chodník tl. 100 mm</t>
  </si>
  <si>
    <t>63_</t>
  </si>
  <si>
    <t>33</t>
  </si>
  <si>
    <t>632451021R00</t>
  </si>
  <si>
    <t>Vyrovnávací potěr MC 15, v pásu, tl. 20 mm</t>
  </si>
  <si>
    <t>oprava parapetů</t>
  </si>
  <si>
    <t>64</t>
  </si>
  <si>
    <t>Výplně otvorů</t>
  </si>
  <si>
    <t>648991113RT6</t>
  </si>
  <si>
    <t>Osazení parapet.desek plast. a lamin. š.nad 20cm</t>
  </si>
  <si>
    <t>64_</t>
  </si>
  <si>
    <t>včetně dodávky plastové parapetní desky š. 500 mm</t>
  </si>
  <si>
    <t>91</t>
  </si>
  <si>
    <t>Doplňující konstrukce a práce na pozemních komunikacích a zpevněných plochách</t>
  </si>
  <si>
    <t>35</t>
  </si>
  <si>
    <t>916561111RT2</t>
  </si>
  <si>
    <t>Osazení záhon.obrubníků do lože z C 12/15 s opěrou</t>
  </si>
  <si>
    <t>91_</t>
  </si>
  <si>
    <t>9_</t>
  </si>
  <si>
    <t>včetně obrubníku   50/5/20 cm</t>
  </si>
  <si>
    <t>94</t>
  </si>
  <si>
    <t>Lešení a stavební výtahy</t>
  </si>
  <si>
    <t>36</t>
  </si>
  <si>
    <t>941941041R00</t>
  </si>
  <si>
    <t>Montáž lešení leh.řad.s podlahami,š.1,2 m, H 10 m</t>
  </si>
  <si>
    <t>94_</t>
  </si>
  <si>
    <t>37</t>
  </si>
  <si>
    <t>941941291R00</t>
  </si>
  <si>
    <t>Příplatek za každý měsíc použití lešení k pol.1041</t>
  </si>
  <si>
    <t>38</t>
  </si>
  <si>
    <t>941941841R00</t>
  </si>
  <si>
    <t>Demontáž lešení leh.řad.s podlahami,š.1,2 m,H 10 m</t>
  </si>
  <si>
    <t>39</t>
  </si>
  <si>
    <t>944976001R00</t>
  </si>
  <si>
    <t>Ochranná záchytná síť</t>
  </si>
  <si>
    <t>40</t>
  </si>
  <si>
    <t>943943221R00</t>
  </si>
  <si>
    <t>Montáž lešení prostorové lehké, do 200kg, H 10 m</t>
  </si>
  <si>
    <t>41</t>
  </si>
  <si>
    <t>943943292R00</t>
  </si>
  <si>
    <t>Příplatek za každý měsíc použití k pol..3221, 3222</t>
  </si>
  <si>
    <t>42</t>
  </si>
  <si>
    <t>943943821R00</t>
  </si>
  <si>
    <t>Demontáž lešení, prostor. lehké, 200 kPa, H 10 m</t>
  </si>
  <si>
    <t>96</t>
  </si>
  <si>
    <t>Bourání konstrukcí</t>
  </si>
  <si>
    <t>43</t>
  </si>
  <si>
    <t>963016111R00</t>
  </si>
  <si>
    <t>Demontáž podhledu SDK, kovová kce., 1xoplášť.12,5 mm</t>
  </si>
  <si>
    <t>96_</t>
  </si>
  <si>
    <t>vč. odstranění obložení vazníků</t>
  </si>
  <si>
    <t>44</t>
  </si>
  <si>
    <t>967032975R00</t>
  </si>
  <si>
    <t>Odsekání plošných fasádních prvků předsazených nad 8 cm</t>
  </si>
  <si>
    <t>45</t>
  </si>
  <si>
    <t>962031175R00</t>
  </si>
  <si>
    <t>Bourání příček z cihel beton. plných tl. 140 mm</t>
  </si>
  <si>
    <t>odstranění přizdívky</t>
  </si>
  <si>
    <t>46</t>
  </si>
  <si>
    <t>968083001R00</t>
  </si>
  <si>
    <t>Vybourání plastových oken do 1 m2</t>
  </si>
  <si>
    <t>47</t>
  </si>
  <si>
    <t>968083002R00</t>
  </si>
  <si>
    <t>Vybourání plastových oken do 2 m2</t>
  </si>
  <si>
    <t>48</t>
  </si>
  <si>
    <t>968083003R00</t>
  </si>
  <si>
    <t>Vybourání plastových oken do 4 m2</t>
  </si>
  <si>
    <t>49</t>
  </si>
  <si>
    <t>968083004R00</t>
  </si>
  <si>
    <t>Vybourání plastových oken nad 4 m2</t>
  </si>
  <si>
    <t>50</t>
  </si>
  <si>
    <t>968083012R00</t>
  </si>
  <si>
    <t>Vybourání plastových prosklených dveří pl.nad 2 m2</t>
  </si>
  <si>
    <t>51</t>
  </si>
  <si>
    <t>968096002R00</t>
  </si>
  <si>
    <t>Bourání parapetů plastových š. do 50 cm</t>
  </si>
  <si>
    <t>97</t>
  </si>
  <si>
    <t>Prorážení otvorů a ostatní bourací práce</t>
  </si>
  <si>
    <t>52</t>
  </si>
  <si>
    <t>971033341R00</t>
  </si>
  <si>
    <t>Vybourání otv. zeď cihel. pl.0,09 m2, tl.30cm, MVC</t>
  </si>
  <si>
    <t>97_</t>
  </si>
  <si>
    <t>pro zesílení stávajících ocel. vazníků</t>
  </si>
  <si>
    <t>53</t>
  </si>
  <si>
    <t>971033451R00</t>
  </si>
  <si>
    <t>Vybourání otv. zeď cihel. pl.0,25 m2, tl.45cm, MVC</t>
  </si>
  <si>
    <t>S</t>
  </si>
  <si>
    <t>Přesuny sutí</t>
  </si>
  <si>
    <t>54</t>
  </si>
  <si>
    <t>979081111R00</t>
  </si>
  <si>
    <t>Odvoz suti a vybour. hmot na skládku do 1 km</t>
  </si>
  <si>
    <t>t</t>
  </si>
  <si>
    <t>S_</t>
  </si>
  <si>
    <t>55</t>
  </si>
  <si>
    <t>979081121R00</t>
  </si>
  <si>
    <t>Příplatek k odvozu za každý další 1 km</t>
  </si>
  <si>
    <t>56</t>
  </si>
  <si>
    <t>979082111R00</t>
  </si>
  <si>
    <t>Vnitrostaveništní doprava suti do 10 m</t>
  </si>
  <si>
    <t>57</t>
  </si>
  <si>
    <t>979082121R00</t>
  </si>
  <si>
    <t>Příplatek k vnitrost. dopravě suti za dalších 5 m</t>
  </si>
  <si>
    <t>58</t>
  </si>
  <si>
    <t>979951162R00</t>
  </si>
  <si>
    <t>Výkup kovů - zinek, kusy</t>
  </si>
  <si>
    <t>59</t>
  </si>
  <si>
    <t>979990107R00</t>
  </si>
  <si>
    <t>Poplatek za uložení suti - směs betonu, cihel, dřeva, skupina odpadu 170904</t>
  </si>
  <si>
    <t>60</t>
  </si>
  <si>
    <t>979990110R00</t>
  </si>
  <si>
    <t>Poplatek za uložení suti - sádrokartonové desky, skupina odpadu 170802</t>
  </si>
  <si>
    <t>979990163R00</t>
  </si>
  <si>
    <t>Poplatek za uložení suti - plast + sklo, skupina odpadu 170904</t>
  </si>
  <si>
    <t>711</t>
  </si>
  <si>
    <t>Izolace proti vodě</t>
  </si>
  <si>
    <t>711142559R00</t>
  </si>
  <si>
    <t>Provedení izolace proti vlhkosti na ploše svislé, asfaltovými pásy přitavením</t>
  </si>
  <si>
    <t>711_</t>
  </si>
  <si>
    <t>71_</t>
  </si>
  <si>
    <t>62852265</t>
  </si>
  <si>
    <t>Pás asfaltový modifikovaný mineral, natavovací, kotvicí</t>
  </si>
  <si>
    <t>42,885</t>
  </si>
  <si>
    <t>;ztratné 8%; 3,4308</t>
  </si>
  <si>
    <t>711491272RZ2</t>
  </si>
  <si>
    <t>Provedení izolace proti tlakové vodě, na ploše svislé, ochrannou textilií</t>
  </si>
  <si>
    <t>včetně dodávky textilie</t>
  </si>
  <si>
    <t>65</t>
  </si>
  <si>
    <t>711823121RT3</t>
  </si>
  <si>
    <t>Montáž nopové fólie svisle</t>
  </si>
  <si>
    <t>66</t>
  </si>
  <si>
    <t>998711101R00</t>
  </si>
  <si>
    <t>Přesun hmot pro izolace proti vodě, výšky do 6 m</t>
  </si>
  <si>
    <t>712</t>
  </si>
  <si>
    <t>Izolace střech (živičné krytiny)</t>
  </si>
  <si>
    <t>67</t>
  </si>
  <si>
    <t>712373111RU1</t>
  </si>
  <si>
    <t>Provedení povlakové krytiny střech do 10°, fólií kotvenou do betonového podkladu, 6 kotev/m2</t>
  </si>
  <si>
    <t>712_</t>
  </si>
  <si>
    <t>pro tloušťku tepelné izolace do 250 mm, fólie ve specifikaci</t>
  </si>
  <si>
    <t>68</t>
  </si>
  <si>
    <t>28322083</t>
  </si>
  <si>
    <t>Fólie hydroizolační PVC-P, tl. 2,0 mm, střešní</t>
  </si>
  <si>
    <t>76,28</t>
  </si>
  <si>
    <t>;ztratné 8%; 6,1024</t>
  </si>
  <si>
    <t>69</t>
  </si>
  <si>
    <t>712373121RU1</t>
  </si>
  <si>
    <t>Provedení povlakové krytiny střech do 10°, fólií kotvená do profil. plechu nebo bednění, 6 kotev/m2</t>
  </si>
  <si>
    <t>70</t>
  </si>
  <si>
    <t>Fólie hydroizolační PVC-P,  tl. 2,0 mm, střešní</t>
  </si>
  <si>
    <t>638,33</t>
  </si>
  <si>
    <t>;ztratné 8%; 51,0664</t>
  </si>
  <si>
    <t>71</t>
  </si>
  <si>
    <t>998712101R00</t>
  </si>
  <si>
    <t>Přesun hmot pro povlakové krytiny, výšky do 6 m</t>
  </si>
  <si>
    <t>713</t>
  </si>
  <si>
    <t>Izolace tepelné</t>
  </si>
  <si>
    <t>72</t>
  </si>
  <si>
    <t>713111211RO3</t>
  </si>
  <si>
    <t>Montáž parozábrany, krovů spodem s přelepením spojů</t>
  </si>
  <si>
    <t>713_</t>
  </si>
  <si>
    <t>vč. dodávky fólie</t>
  </si>
  <si>
    <t>502,24*1,05</t>
  </si>
  <si>
    <t>73</t>
  </si>
  <si>
    <t>713111121RT1</t>
  </si>
  <si>
    <t>Montáž tepelné izolace stropů rovných spodem, drátem</t>
  </si>
  <si>
    <t>1 vrstva - materiál ve specifikaci</t>
  </si>
  <si>
    <t>74</t>
  </si>
  <si>
    <t>63151374.A</t>
  </si>
  <si>
    <t>Deska z minerální plsti, tl. 100 mm</t>
  </si>
  <si>
    <t>502,24</t>
  </si>
  <si>
    <t>;ztratné 5%; 25,112</t>
  </si>
  <si>
    <t>75</t>
  </si>
  <si>
    <t>713141221RO5</t>
  </si>
  <si>
    <t>Montáž parozábrany, ploché střechy lehké, přelepení spojů</t>
  </si>
  <si>
    <t>76</t>
  </si>
  <si>
    <t>713141531R00</t>
  </si>
  <si>
    <t>Montáž tepelné izolace plochých střech, na lepidlo, z pěnového skla</t>
  </si>
  <si>
    <t>77</t>
  </si>
  <si>
    <t>283769806</t>
  </si>
  <si>
    <t>Deska izolační PIR, Puren NE 150 kPa tl. 120 mm, střešní</t>
  </si>
  <si>
    <t>;ztratné 5%; 3,814</t>
  </si>
  <si>
    <t>78</t>
  </si>
  <si>
    <t>283769807</t>
  </si>
  <si>
    <t>Deska izolační PIR, Puren NE 150 kPa tl. 140 mm, střešní</t>
  </si>
  <si>
    <t>79</t>
  </si>
  <si>
    <t>713141542R00</t>
  </si>
  <si>
    <t>Montáž tepelné izolace střech z trapézového plechu, na lepidlo, z pěnového skla</t>
  </si>
  <si>
    <t>80</t>
  </si>
  <si>
    <t>283769805</t>
  </si>
  <si>
    <t>Deska izolační PIR, 150 kPa tl. 100 mm, střešní</t>
  </si>
  <si>
    <t>;ztratné 5%; 31,9165</t>
  </si>
  <si>
    <t>81</t>
  </si>
  <si>
    <t>Deska izolační PIR, 150 kPa tl. 120 mm, střešní</t>
  </si>
  <si>
    <t>82</t>
  </si>
  <si>
    <t>713121118RU1</t>
  </si>
  <si>
    <t>Montáž dilatačního pásku podél stěn</t>
  </si>
  <si>
    <t>83</t>
  </si>
  <si>
    <t>998713101R00</t>
  </si>
  <si>
    <t>Přesun hmot pro izolace tepelné, výšky do 6 m</t>
  </si>
  <si>
    <t>762</t>
  </si>
  <si>
    <t>Konstrukce tesařské</t>
  </si>
  <si>
    <t>84</t>
  </si>
  <si>
    <t>762522811R00</t>
  </si>
  <si>
    <t>Demontáž podlah s polštáři z prken tl. do 32 mm</t>
  </si>
  <si>
    <t>762_</t>
  </si>
  <si>
    <t>76_</t>
  </si>
  <si>
    <t>85</t>
  </si>
  <si>
    <t>762-03VD</t>
  </si>
  <si>
    <t>Úprava a zpětná montáž terasových WTC profilů</t>
  </si>
  <si>
    <t>86</t>
  </si>
  <si>
    <t>762132811R00</t>
  </si>
  <si>
    <t>Demontáž bednění stěn z hoblovaných prken</t>
  </si>
  <si>
    <t>odstranění obložení stěn WTC profily</t>
  </si>
  <si>
    <t>87</t>
  </si>
  <si>
    <t>762342273R00</t>
  </si>
  <si>
    <t>Montáž kontralatí přes izolaci</t>
  </si>
  <si>
    <t>99,76*2</t>
  </si>
  <si>
    <t>88</t>
  </si>
  <si>
    <t>60515247</t>
  </si>
  <si>
    <t>Hranol stavební SM do 160 x 160 mm, 1 - 4 m</t>
  </si>
  <si>
    <t>89</t>
  </si>
  <si>
    <t>762341630R00</t>
  </si>
  <si>
    <t>Montáž bednění okapových říms z desek tvrdých</t>
  </si>
  <si>
    <t>90</t>
  </si>
  <si>
    <t>59590676</t>
  </si>
  <si>
    <t>Deska cementotřísková tl. 12 mm</t>
  </si>
  <si>
    <t>257,568</t>
  </si>
  <si>
    <t>;ztratné 5%; 12,8784</t>
  </si>
  <si>
    <t>998762102R00</t>
  </si>
  <si>
    <t>Přesun hmot pro tesařské konstrukce, výšky do 12 m</t>
  </si>
  <si>
    <t>764</t>
  </si>
  <si>
    <t>Konstrukce klempířské</t>
  </si>
  <si>
    <t>92</t>
  </si>
  <si>
    <t>764422810R00</t>
  </si>
  <si>
    <t>Demontáž oplechování říms,rš od 600 do 800 mm</t>
  </si>
  <si>
    <t>764_</t>
  </si>
  <si>
    <t>93</t>
  </si>
  <si>
    <t>764410850R00</t>
  </si>
  <si>
    <t>Demontáž oplechování parapetů,rš od 100 do 330 mm</t>
  </si>
  <si>
    <t>764454802R00</t>
  </si>
  <si>
    <t>Demontáž odpadních trub kruhových, D 120 mm</t>
  </si>
  <si>
    <t>95</t>
  </si>
  <si>
    <t>764352810R00</t>
  </si>
  <si>
    <t>Demontáž žlabů půlkruh. rovných, rš 330 mm, do 30°</t>
  </si>
  <si>
    <t>764352207R00</t>
  </si>
  <si>
    <t>Žlaby z Pz plechu podokapní půlkruhové, rš 500 mm</t>
  </si>
  <si>
    <t>764359213R00</t>
  </si>
  <si>
    <t>Kotlík z Pz plechu kónický pro trouby D do 150 mm</t>
  </si>
  <si>
    <t>98</t>
  </si>
  <si>
    <t>764454204R00</t>
  </si>
  <si>
    <t>Odpadní trouby z Pz plechu, kruhové, D 150 mm</t>
  </si>
  <si>
    <t>99</t>
  </si>
  <si>
    <t>764412260R00</t>
  </si>
  <si>
    <t>Oplechování parapetů včetně rohů Pz, rš 400 mm</t>
  </si>
  <si>
    <t>100</t>
  </si>
  <si>
    <t>764-001VD</t>
  </si>
  <si>
    <t>Oplechování plech pozink. poplast., rš 50 mm</t>
  </si>
  <si>
    <t>101</t>
  </si>
  <si>
    <t>764-009VD</t>
  </si>
  <si>
    <t>Oplechování plech pozink. poplast., rš 250 mm</t>
  </si>
  <si>
    <t>102</t>
  </si>
  <si>
    <t>764-039VD</t>
  </si>
  <si>
    <t>D+M odvětrací AL mřížky 200x200mm</t>
  </si>
  <si>
    <t>103</t>
  </si>
  <si>
    <t>998764101R00</t>
  </si>
  <si>
    <t>Přesun hmot pro klempířské konstr., výšky do 6 m</t>
  </si>
  <si>
    <t>766</t>
  </si>
  <si>
    <t>Konstrukce truhlářské</t>
  </si>
  <si>
    <t>104</t>
  </si>
  <si>
    <t>766-036VD</t>
  </si>
  <si>
    <t>D+M hliníkových oken Uw=0,6 , otevíravé, sklápěcí, pevné a hliníkových vstupních dveří  Ud=0,65 W/m2K</t>
  </si>
  <si>
    <t>kpl</t>
  </si>
  <si>
    <t>766_</t>
  </si>
  <si>
    <t>dle výpisu prvků, vč. pásek itn. ext.</t>
  </si>
  <si>
    <t>767</t>
  </si>
  <si>
    <t>Konstrukce doplňkové stavební (zámečnické)</t>
  </si>
  <si>
    <t>105</t>
  </si>
  <si>
    <t>767-001VD</t>
  </si>
  <si>
    <t>D+M zesílení ocel. vazníků</t>
  </si>
  <si>
    <t>kg</t>
  </si>
  <si>
    <t>767_</t>
  </si>
  <si>
    <t>106</t>
  </si>
  <si>
    <t>767-004VD</t>
  </si>
  <si>
    <t>D+M doplnění střešních ocel. krokví</t>
  </si>
  <si>
    <t>Celkem:</t>
  </si>
  <si>
    <t>Slepý stavební rozpočet - rekapitulace</t>
  </si>
  <si>
    <t>Zkrácený popis</t>
  </si>
  <si>
    <t>Náklady (Kč) - dodávka</t>
  </si>
  <si>
    <t>Náklady (Kč) - Montáž</t>
  </si>
  <si>
    <t>Náklady (Kč) - celkem</t>
  </si>
  <si>
    <t>T</t>
  </si>
  <si>
    <t>Krycí list slepého rozpočtu</t>
  </si>
  <si>
    <t>IČO/DIČ: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</si>
  <si>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</si>
  <si>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</si>
  <si>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</si>
  <si>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</si>
  <si>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</si>
  <si>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</si>
  <si>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</si>
  <si>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</si>
  <si>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</si>
  <si>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</si>
  <si>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</si>
  <si>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</si>
  <si>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</si>
  <si>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</si>
  <si>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</si>
  <si>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</si>
  <si>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</si>
  <si>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</si>
  <si>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</si>
  <si>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</si>
  <si>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</si>
  <si>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</si>
  <si>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</si>
  <si>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</si>
  <si>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</si>
  <si>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</si>
  <si>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</si>
  <si>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</si>
  <si>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</si>
  <si>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</si>
  <si>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</si>
  <si>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</si>
  <si>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</si>
  <si>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</si>
  <si>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</si>
  <si>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</si>
  <si>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</si>
  <si>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</si>
  <si>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</si>
  <si>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</si>
  <si>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</si>
  <si>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</si>
  <si>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</si>
  <si>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</si>
  <si>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</si>
  <si>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</si>
  <si>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</si>
  <si>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</si>
  <si>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</si>
  <si>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</si>
  <si>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</si>
  <si>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</si>
  <si>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</si>
  <si>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</si>
  <si>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 xml:space="preserve">D+M hliníkových oken a hliníkových vstupních dveří  </t>
  </si>
  <si>
    <t>Zateplovací systém, sokl, XPS, tl. 200 mm</t>
  </si>
  <si>
    <t>Výztužná stěrka na parapet z EPS, XPS, zateplovací systém</t>
  </si>
  <si>
    <t xml:space="preserve">včetně dodávky fólie </t>
  </si>
  <si>
    <t>Deska izolační PIR, 150 kPa tl. 140 mm, střešní</t>
  </si>
  <si>
    <t>včetně dodávky pásku 15 x 100 x 1000 mm</t>
  </si>
  <si>
    <t>odstranění části terasy v WTC profilů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</si>
</sst>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charset val="1"/>
    </font>
    <font>
      <sz val="18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sz val="10"/>
      <color rgb="FF800000"/>
      <name val="Arial"/>
      <charset val="238"/>
    </font>
    <font>
      <i/>
      <sz val="10"/>
      <color rgb="FF000000"/>
      <name val="Arial"/>
      <charset val="238"/>
    </font>
    <font>
      <i/>
      <sz val="8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/>
    <xf numFmtId="4" fontId="2" fillId="2" borderId="0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 applyProtection="1">
      <alignment horizontal="left" vertical="center"/>
    </xf>
    <xf numFmtId="0" fontId="3" fillId="0" borderId="20" xfId="0" applyNumberFormat="1" applyFont="1" applyFill="1" applyBorder="1" applyAlignment="1" applyProtection="1">
      <alignment horizontal="left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24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3" fillId="2" borderId="28" xfId="0" applyNumberFormat="1" applyFont="1" applyFill="1" applyBorder="1" applyAlignment="1" applyProtection="1">
      <alignment horizontal="left" vertical="center"/>
    </xf>
    <xf numFmtId="0" fontId="2" fillId="2" borderId="29" xfId="0" applyNumberFormat="1" applyFont="1" applyFill="1" applyBorder="1" applyAlignment="1" applyProtection="1">
      <alignment horizontal="left" vertical="center"/>
    </xf>
    <xf numFmtId="0" fontId="3" fillId="2" borderId="29" xfId="0" applyNumberFormat="1" applyFont="1" applyFill="1" applyBorder="1" applyAlignment="1" applyProtection="1">
      <alignment horizontal="left" vertical="center"/>
    </xf>
    <xf numFmtId="4" fontId="2" fillId="2" borderId="29" xfId="0" applyNumberFormat="1" applyFont="1" applyFill="1" applyBorder="1" applyAlignment="1" applyProtection="1">
      <alignment horizontal="right" vertical="center"/>
    </xf>
    <xf numFmtId="0" fontId="2" fillId="2" borderId="30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0" fontId="4" fillId="0" borderId="6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0" fillId="0" borderId="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right" vertical="center"/>
    </xf>
    <xf numFmtId="0" fontId="4" fillId="0" borderId="31" xfId="0" applyNumberFormat="1" applyFont="1" applyFill="1" applyBorder="1" applyAlignment="1" applyProtection="1">
      <alignment horizontal="left" vertical="center"/>
    </xf>
    <xf numFmtId="0" fontId="4" fillId="0" borderId="32" xfId="0" applyNumberFormat="1" applyFont="1" applyFill="1" applyBorder="1" applyAlignment="1" applyProtection="1">
      <alignment horizontal="left" vertical="center"/>
    </xf>
    <xf numFmtId="4" fontId="4" fillId="0" borderId="32" xfId="0" applyNumberFormat="1" applyFont="1" applyFill="1" applyBorder="1" applyAlignment="1" applyProtection="1">
      <alignment horizontal="right" vertical="center"/>
    </xf>
    <xf numFmtId="0" fontId="4" fillId="0" borderId="33" xfId="0" applyNumberFormat="1" applyFont="1" applyFill="1" applyBorder="1" applyAlignment="1" applyProtection="1">
      <alignment horizontal="right" vertical="center"/>
    </xf>
    <xf numFmtId="4" fontId="2" fillId="0" borderId="34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4" fontId="3" fillId="0" borderId="29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0" fontId="8" fillId="2" borderId="41" xfId="0" applyNumberFormat="1" applyFont="1" applyFill="1" applyBorder="1" applyAlignment="1" applyProtection="1">
      <alignment horizontal="center" vertical="center"/>
    </xf>
    <xf numFmtId="0" fontId="8" fillId="2" borderId="44" xfId="0" applyNumberFormat="1" applyFont="1" applyFill="1" applyBorder="1" applyAlignment="1" applyProtection="1">
      <alignment horizontal="center" vertical="center"/>
    </xf>
    <xf numFmtId="0" fontId="10" fillId="0" borderId="45" xfId="0" applyNumberFormat="1" applyFont="1" applyFill="1" applyBorder="1" applyAlignment="1" applyProtection="1">
      <alignment horizontal="left" vertical="center"/>
    </xf>
    <xf numFmtId="0" fontId="11" fillId="0" borderId="46" xfId="0" applyNumberFormat="1" applyFont="1" applyFill="1" applyBorder="1" applyAlignment="1" applyProtection="1">
      <alignment horizontal="left" vertical="center"/>
    </xf>
    <xf numFmtId="4" fontId="11" fillId="0" borderId="46" xfId="0" applyNumberFormat="1" applyFont="1" applyFill="1" applyBorder="1" applyAlignment="1" applyProtection="1">
      <alignment horizontal="right" vertical="center"/>
    </xf>
    <xf numFmtId="0" fontId="11" fillId="0" borderId="46" xfId="0" applyNumberFormat="1" applyFont="1" applyFill="1" applyBorder="1" applyAlignment="1" applyProtection="1">
      <alignment horizontal="right" vertical="center"/>
    </xf>
    <xf numFmtId="0" fontId="10" fillId="0" borderId="49" xfId="0" applyNumberFormat="1" applyFont="1" applyFill="1" applyBorder="1" applyAlignment="1" applyProtection="1">
      <alignment horizontal="left" vertical="center"/>
    </xf>
    <xf numFmtId="4" fontId="11" fillId="0" borderId="53" xfId="0" applyNumberFormat="1" applyFont="1" applyFill="1" applyBorder="1" applyAlignment="1" applyProtection="1">
      <alignment horizontal="right" vertical="center"/>
    </xf>
    <xf numFmtId="0" fontId="11" fillId="0" borderId="53" xfId="0" applyNumberFormat="1" applyFont="1" applyFill="1" applyBorder="1" applyAlignment="1" applyProtection="1">
      <alignment horizontal="right" vertical="center"/>
    </xf>
    <xf numFmtId="4" fontId="11" fillId="0" borderId="44" xfId="0" applyNumberFormat="1" applyFont="1" applyFill="1" applyBorder="1" applyAlignment="1" applyProtection="1">
      <alignment horizontal="right" vertical="center"/>
    </xf>
    <xf numFmtId="4" fontId="11" fillId="0" borderId="25" xfId="0" applyNumberFormat="1" applyFont="1" applyFill="1" applyBorder="1" applyAlignment="1" applyProtection="1">
      <alignment horizontal="right" vertical="center"/>
    </xf>
    <xf numFmtId="4" fontId="10" fillId="2" borderId="43" xfId="0" applyNumberFormat="1" applyFont="1" applyFill="1" applyBorder="1" applyAlignment="1" applyProtection="1">
      <alignment horizontal="right" vertical="center"/>
    </xf>
    <xf numFmtId="4" fontId="10" fillId="2" borderId="48" xfId="0" applyNumberFormat="1" applyFont="1" applyFill="1" applyBorder="1" applyAlignment="1" applyProtection="1">
      <alignment horizontal="right" vertical="center"/>
    </xf>
    <xf numFmtId="0" fontId="6" fillId="0" borderId="29" xfId="0" applyNumberFormat="1" applyFont="1" applyFill="1" applyBorder="1" applyAlignment="1" applyProtection="1">
      <alignment horizontal="left" vertical="center"/>
    </xf>
    <xf numFmtId="0" fontId="2" fillId="0" borderId="69" xfId="0" applyNumberFormat="1" applyFont="1" applyFill="1" applyBorder="1" applyAlignment="1" applyProtection="1">
      <alignment horizontal="right" vertical="center"/>
    </xf>
    <xf numFmtId="4" fontId="3" fillId="0" borderId="46" xfId="0" applyNumberFormat="1" applyFont="1" applyFill="1" applyBorder="1" applyAlignment="1" applyProtection="1">
      <alignment horizontal="right" vertical="center"/>
    </xf>
    <xf numFmtId="0" fontId="3" fillId="0" borderId="46" xfId="0" applyNumberFormat="1" applyFont="1" applyFill="1" applyBorder="1" applyAlignment="1" applyProtection="1">
      <alignment horizontal="left" vertical="center"/>
    </xf>
    <xf numFmtId="4" fontId="3" fillId="0" borderId="73" xfId="0" applyNumberFormat="1" applyFont="1" applyFill="1" applyBorder="1" applyAlignment="1" applyProtection="1">
      <alignment horizontal="right" vertical="center"/>
    </xf>
    <xf numFmtId="0" fontId="3" fillId="0" borderId="73" xfId="0" applyNumberFormat="1" applyFont="1" applyFill="1" applyBorder="1" applyAlignment="1" applyProtection="1">
      <alignment horizontal="left" vertical="center"/>
    </xf>
    <xf numFmtId="0" fontId="2" fillId="0" borderId="76" xfId="0" applyNumberFormat="1" applyFont="1" applyFill="1" applyBorder="1" applyAlignment="1" applyProtection="1">
      <alignment horizontal="left" vertical="center"/>
    </xf>
    <xf numFmtId="0" fontId="2" fillId="0" borderId="76" xfId="0" applyNumberFormat="1" applyFont="1" applyFill="1" applyBorder="1" applyAlignment="1" applyProtection="1">
      <alignment horizontal="right" vertical="center"/>
    </xf>
    <xf numFmtId="4" fontId="2" fillId="0" borderId="76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32" xfId="0" applyNumberFormat="1" applyFont="1" applyFill="1" applyBorder="1" applyAlignment="1" applyProtection="1">
      <alignment horizontal="left" vertical="center" wrapText="1"/>
    </xf>
    <xf numFmtId="0" fontId="4" fillId="0" borderId="32" xfId="0" applyNumberFormat="1" applyFont="1" applyFill="1" applyBorder="1" applyAlignment="1" applyProtection="1">
      <alignment horizontal="left" vertical="center"/>
    </xf>
    <xf numFmtId="0" fontId="2" fillId="0" borderId="34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horizontal="left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2" borderId="29" xfId="0" applyNumberFormat="1" applyFont="1" applyFill="1" applyBorder="1" applyAlignment="1" applyProtection="1">
      <alignment horizontal="left" vertical="center" wrapText="1"/>
    </xf>
    <xf numFmtId="0" fontId="2" fillId="2" borderId="29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28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2" fillId="0" borderId="35" xfId="0" applyNumberFormat="1" applyFont="1" applyFill="1" applyBorder="1" applyAlignment="1" applyProtection="1">
      <alignment horizontal="left" vertical="center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3" fillId="0" borderId="32" xfId="0" applyNumberFormat="1" applyFont="1" applyFill="1" applyBorder="1" applyAlignment="1" applyProtection="1">
      <alignment horizontal="left" vertical="center"/>
    </xf>
    <xf numFmtId="0" fontId="11" fillId="0" borderId="61" xfId="0" applyNumberFormat="1" applyFont="1" applyFill="1" applyBorder="1" applyAlignment="1" applyProtection="1">
      <alignment horizontal="left" vertical="center"/>
    </xf>
    <xf numFmtId="0" fontId="11" fillId="0" borderId="59" xfId="0" applyNumberFormat="1" applyFont="1" applyFill="1" applyBorder="1" applyAlignment="1" applyProtection="1">
      <alignment horizontal="left" vertical="center"/>
    </xf>
    <xf numFmtId="0" fontId="11" fillId="0" borderId="60" xfId="0" applyNumberFormat="1" applyFont="1" applyFill="1" applyBorder="1" applyAlignment="1" applyProtection="1">
      <alignment horizontal="left" vertical="center"/>
    </xf>
    <xf numFmtId="0" fontId="11" fillId="0" borderId="64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63" xfId="0" applyNumberFormat="1" applyFont="1" applyFill="1" applyBorder="1" applyAlignment="1" applyProtection="1">
      <alignment horizontal="left" vertical="center"/>
    </xf>
    <xf numFmtId="0" fontId="11" fillId="0" borderId="68" xfId="0" applyNumberFormat="1" applyFont="1" applyFill="1" applyBorder="1" applyAlignment="1" applyProtection="1">
      <alignment horizontal="left" vertical="center"/>
    </xf>
    <xf numFmtId="0" fontId="11" fillId="0" borderId="66" xfId="0" applyNumberFormat="1" applyFont="1" applyFill="1" applyBorder="1" applyAlignment="1" applyProtection="1">
      <alignment horizontal="left" vertical="center"/>
    </xf>
    <xf numFmtId="0" fontId="11" fillId="0" borderId="67" xfId="0" applyNumberFormat="1" applyFont="1" applyFill="1" applyBorder="1" applyAlignment="1" applyProtection="1">
      <alignment horizontal="left" vertical="center"/>
    </xf>
    <xf numFmtId="0" fontId="11" fillId="0" borderId="58" xfId="0" applyNumberFormat="1" applyFont="1" applyFill="1" applyBorder="1" applyAlignment="1" applyProtection="1">
      <alignment horizontal="left" vertical="center"/>
    </xf>
    <xf numFmtId="0" fontId="11" fillId="0" borderId="62" xfId="0" applyNumberFormat="1" applyFont="1" applyFill="1" applyBorder="1" applyAlignment="1" applyProtection="1">
      <alignment horizontal="left" vertical="center"/>
    </xf>
    <xf numFmtId="0" fontId="11" fillId="0" borderId="65" xfId="0" applyNumberFormat="1" applyFont="1" applyFill="1" applyBorder="1" applyAlignment="1" applyProtection="1">
      <alignment horizontal="left" vertical="center"/>
    </xf>
    <xf numFmtId="0" fontId="10" fillId="0" borderId="50" xfId="0" applyNumberFormat="1" applyFont="1" applyFill="1" applyBorder="1" applyAlignment="1" applyProtection="1">
      <alignment horizontal="left" vertical="center"/>
    </xf>
    <xf numFmtId="0" fontId="10" fillId="0" borderId="48" xfId="0" applyNumberFormat="1" applyFont="1" applyFill="1" applyBorder="1" applyAlignment="1" applyProtection="1">
      <alignment horizontal="left" vertical="center"/>
    </xf>
    <xf numFmtId="0" fontId="10" fillId="2" borderId="55" xfId="0" applyNumberFormat="1" applyFont="1" applyFill="1" applyBorder="1" applyAlignment="1" applyProtection="1">
      <alignment horizontal="left" vertical="center"/>
    </xf>
    <xf numFmtId="0" fontId="10" fillId="2" borderId="56" xfId="0" applyNumberFormat="1" applyFont="1" applyFill="1" applyBorder="1" applyAlignment="1" applyProtection="1">
      <alignment horizontal="left" vertical="center"/>
    </xf>
    <xf numFmtId="0" fontId="10" fillId="2" borderId="50" xfId="0" applyNumberFormat="1" applyFont="1" applyFill="1" applyBorder="1" applyAlignment="1" applyProtection="1">
      <alignment horizontal="left" vertical="center"/>
    </xf>
    <xf numFmtId="0" fontId="10" fillId="2" borderId="57" xfId="0" applyNumberFormat="1" applyFont="1" applyFill="1" applyBorder="1" applyAlignment="1" applyProtection="1">
      <alignment horizontal="left" vertical="center"/>
    </xf>
    <xf numFmtId="0" fontId="10" fillId="2" borderId="42" xfId="0" applyNumberFormat="1" applyFont="1" applyFill="1" applyBorder="1" applyAlignment="1" applyProtection="1">
      <alignment horizontal="left" vertical="center"/>
    </xf>
    <xf numFmtId="0" fontId="10" fillId="2" borderId="47" xfId="0" applyNumberFormat="1" applyFont="1" applyFill="1" applyBorder="1" applyAlignment="1" applyProtection="1">
      <alignment horizontal="left" vertical="center"/>
    </xf>
    <xf numFmtId="0" fontId="11" fillId="0" borderId="47" xfId="0" applyNumberFormat="1" applyFont="1" applyFill="1" applyBorder="1" applyAlignment="1" applyProtection="1">
      <alignment horizontal="left" vertical="center"/>
    </xf>
    <xf numFmtId="0" fontId="11" fillId="0" borderId="48" xfId="0" applyNumberFormat="1" applyFont="1" applyFill="1" applyBorder="1" applyAlignment="1" applyProtection="1">
      <alignment horizontal="left" vertical="center"/>
    </xf>
    <xf numFmtId="0" fontId="11" fillId="0" borderId="54" xfId="0" applyNumberFormat="1" applyFont="1" applyFill="1" applyBorder="1" applyAlignment="1" applyProtection="1">
      <alignment horizontal="left" vertical="center"/>
    </xf>
    <xf numFmtId="0" fontId="11" fillId="0" borderId="52" xfId="0" applyNumberFormat="1" applyFont="1" applyFill="1" applyBorder="1" applyAlignment="1" applyProtection="1">
      <alignment horizontal="left" vertical="center"/>
    </xf>
    <xf numFmtId="0" fontId="10" fillId="0" borderId="42" xfId="0" applyNumberFormat="1" applyFont="1" applyFill="1" applyBorder="1" applyAlignment="1" applyProtection="1">
      <alignment horizontal="left" vertical="center"/>
    </xf>
    <xf numFmtId="0" fontId="10" fillId="0" borderId="43" xfId="0" applyNumberFormat="1" applyFont="1" applyFill="1" applyBorder="1" applyAlignment="1" applyProtection="1">
      <alignment horizontal="left" vertical="center"/>
    </xf>
    <xf numFmtId="0" fontId="10" fillId="0" borderId="47" xfId="0" applyNumberFormat="1" applyFont="1" applyFill="1" applyBorder="1" applyAlignment="1" applyProtection="1">
      <alignment horizontal="left" vertical="center"/>
    </xf>
    <xf numFmtId="0" fontId="10" fillId="0" borderId="51" xfId="0" applyNumberFormat="1" applyFont="1" applyFill="1" applyBorder="1" applyAlignment="1" applyProtection="1">
      <alignment horizontal="left" vertical="center"/>
    </xf>
    <xf numFmtId="0" fontId="10" fillId="0" borderId="52" xfId="0" applyNumberFormat="1" applyFont="1" applyFill="1" applyBorder="1" applyAlignment="1" applyProtection="1">
      <alignment horizontal="left" vertical="center"/>
    </xf>
    <xf numFmtId="0" fontId="10" fillId="0" borderId="55" xfId="0" applyNumberFormat="1" applyFont="1" applyFill="1" applyBorder="1" applyAlignment="1" applyProtection="1">
      <alignment horizontal="left" vertical="center"/>
    </xf>
    <xf numFmtId="0" fontId="3" fillId="0" borderId="33" xfId="0" applyNumberFormat="1" applyFont="1" applyFill="1" applyBorder="1" applyAlignment="1" applyProtection="1">
      <alignment horizontal="left" vertical="center"/>
    </xf>
    <xf numFmtId="0" fontId="7" fillId="0" borderId="40" xfId="0" applyNumberFormat="1" applyFont="1" applyFill="1" applyBorder="1" applyAlignment="1" applyProtection="1">
      <alignment horizontal="center" vertical="center"/>
    </xf>
    <xf numFmtId="0" fontId="9" fillId="0" borderId="42" xfId="0" applyNumberFormat="1" applyFont="1" applyFill="1" applyBorder="1" applyAlignment="1" applyProtection="1">
      <alignment horizontal="left" vertical="center"/>
    </xf>
    <xf numFmtId="0" fontId="9" fillId="0" borderId="43" xfId="0" applyNumberFormat="1" applyFont="1" applyFill="1" applyBorder="1" applyAlignment="1" applyProtection="1">
      <alignment horizontal="left" vertical="center"/>
    </xf>
    <xf numFmtId="0" fontId="3" fillId="0" borderId="3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" fontId="3" fillId="0" borderId="6" xfId="0" applyNumberFormat="1" applyFont="1" applyFill="1" applyBorder="1" applyAlignment="1" applyProtection="1">
      <alignment horizontal="left" vertical="center"/>
    </xf>
    <xf numFmtId="0" fontId="2" fillId="0" borderId="74" xfId="0" applyNumberFormat="1" applyFont="1" applyFill="1" applyBorder="1" applyAlignment="1" applyProtection="1">
      <alignment horizontal="left" vertical="center"/>
    </xf>
    <xf numFmtId="0" fontId="2" fillId="0" borderId="75" xfId="0" applyNumberFormat="1" applyFont="1" applyFill="1" applyBorder="1" applyAlignment="1" applyProtection="1">
      <alignment horizontal="left" vertical="center"/>
    </xf>
    <xf numFmtId="0" fontId="10" fillId="0" borderId="35" xfId="0" applyNumberFormat="1" applyFont="1" applyFill="1" applyBorder="1" applyAlignment="1" applyProtection="1">
      <alignment horizontal="left" vertical="center"/>
    </xf>
    <xf numFmtId="0" fontId="10" fillId="0" borderId="74" xfId="0" applyNumberFormat="1" applyFont="1" applyFill="1" applyBorder="1" applyAlignment="1" applyProtection="1">
      <alignment horizontal="left" vertical="center"/>
    </xf>
    <xf numFmtId="0" fontId="10" fillId="0" borderId="75" xfId="0" applyNumberFormat="1" applyFont="1" applyFill="1" applyBorder="1" applyAlignment="1" applyProtection="1">
      <alignment horizontal="left" vertical="center"/>
    </xf>
    <xf numFmtId="4" fontId="10" fillId="0" borderId="77" xfId="0" applyNumberFormat="1" applyFont="1" applyFill="1" applyBorder="1" applyAlignment="1" applyProtection="1">
      <alignment horizontal="right" vertical="center"/>
    </xf>
    <xf numFmtId="0" fontId="10" fillId="0" borderId="74" xfId="0" applyNumberFormat="1" applyFont="1" applyFill="1" applyBorder="1" applyAlignment="1" applyProtection="1">
      <alignment horizontal="right" vertical="center"/>
    </xf>
    <xf numFmtId="0" fontId="10" fillId="0" borderId="75" xfId="0" applyNumberFormat="1" applyFont="1" applyFill="1" applyBorder="1" applyAlignment="1" applyProtection="1">
      <alignment horizontal="right" vertical="center"/>
    </xf>
    <xf numFmtId="0" fontId="10" fillId="0" borderId="8" xfId="0" applyNumberFormat="1" applyFont="1" applyFill="1" applyBorder="1" applyAlignment="1" applyProtection="1">
      <alignment horizontal="left" vertical="center"/>
    </xf>
    <xf numFmtId="0" fontId="2" fillId="0" borderId="15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left" vertical="center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3" fillId="0" borderId="70" xfId="0" applyNumberFormat="1" applyFont="1" applyFill="1" applyBorder="1" applyAlignment="1" applyProtection="1">
      <alignment horizontal="left" vertical="center"/>
    </xf>
    <xf numFmtId="0" fontId="3" fillId="0" borderId="71" xfId="0" applyNumberFormat="1" applyFont="1" applyFill="1" applyBorder="1" applyAlignment="1" applyProtection="1">
      <alignment horizontal="left" vertical="center"/>
    </xf>
    <xf numFmtId="0" fontId="3" fillId="0" borderId="72" xfId="0" applyNumberFormat="1" applyFont="1" applyFill="1" applyBorder="1" applyAlignment="1" applyProtection="1">
      <alignment horizontal="left" vertical="center"/>
    </xf>
    <xf numFmtId="0" fontId="3" fillId="0" borderId="50" xfId="0" applyNumberFormat="1" applyFont="1" applyFill="1" applyBorder="1" applyAlignment="1" applyProtection="1">
      <alignment horizontal="left" vertical="center"/>
    </xf>
    <xf numFmtId="0" fontId="3" fillId="0" borderId="57" xfId="0" applyNumberFormat="1" applyFont="1" applyFill="1" applyBorder="1" applyAlignment="1" applyProtection="1">
      <alignment horizontal="left" vertical="center"/>
    </xf>
    <xf numFmtId="0" fontId="3" fillId="0" borderId="48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3"/>
  <sheetViews>
    <sheetView tabSelected="1" workbookViewId="0">
      <pane ySplit="11" topLeftCell="A12" activePane="bottomLeft" state="frozen"/>
      <selection pane="bottomLeft" activeCell="B197" sqref="B197"/>
    </sheetView>
  </sheetViews>
  <sheetFormatPr defaultColWidth="12.140625" defaultRowHeight="15" customHeight="1" x14ac:dyDescent="0.25"/>
  <cols>
    <col min="1" max="1" width="4" customWidth="1"/>
    <col min="2" max="2" width="17.85546875" customWidth="1"/>
    <col min="3" max="3" width="42.85546875" customWidth="1"/>
    <col min="4" max="4" width="35.7109375" customWidth="1"/>
    <col min="5" max="5" width="4.28515625" customWidth="1"/>
    <col min="6" max="6" width="12.85546875" customWidth="1"/>
    <col min="7" max="7" width="12" customWidth="1"/>
    <col min="8" max="10" width="15.7109375" customWidth="1"/>
    <col min="11" max="11" width="13.4257812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x14ac:dyDescent="0.25">
      <c r="A2" s="104" t="s">
        <v>1</v>
      </c>
      <c r="B2" s="96"/>
      <c r="C2" s="108" t="s">
        <v>2</v>
      </c>
      <c r="D2" s="109"/>
      <c r="E2" s="96" t="s">
        <v>3</v>
      </c>
      <c r="F2" s="96"/>
      <c r="G2" s="96" t="s">
        <v>4</v>
      </c>
      <c r="H2" s="95" t="s">
        <v>5</v>
      </c>
      <c r="I2" s="95" t="s">
        <v>6</v>
      </c>
      <c r="J2" s="96"/>
      <c r="K2" s="97"/>
    </row>
    <row r="3" spans="1:76" x14ac:dyDescent="0.25">
      <c r="A3" s="105"/>
      <c r="B3" s="77"/>
      <c r="C3" s="110"/>
      <c r="D3" s="110"/>
      <c r="E3" s="77"/>
      <c r="F3" s="77"/>
      <c r="G3" s="77"/>
      <c r="H3" s="77"/>
      <c r="I3" s="77"/>
      <c r="J3" s="77"/>
      <c r="K3" s="98"/>
    </row>
    <row r="4" spans="1:76" x14ac:dyDescent="0.25">
      <c r="A4" s="106" t="s">
        <v>7</v>
      </c>
      <c r="B4" s="77"/>
      <c r="C4" s="76" t="s">
        <v>8</v>
      </c>
      <c r="D4" s="77"/>
      <c r="E4" s="77" t="s">
        <v>9</v>
      </c>
      <c r="F4" s="77"/>
      <c r="G4" s="77" t="s">
        <v>10</v>
      </c>
      <c r="H4" s="76" t="s">
        <v>11</v>
      </c>
      <c r="I4" s="77" t="s">
        <v>12</v>
      </c>
      <c r="J4" s="77"/>
      <c r="K4" s="98"/>
    </row>
    <row r="5" spans="1:76" x14ac:dyDescent="0.25">
      <c r="A5" s="105"/>
      <c r="B5" s="77"/>
      <c r="C5" s="77"/>
      <c r="D5" s="77"/>
      <c r="E5" s="77"/>
      <c r="F5" s="77"/>
      <c r="G5" s="77"/>
      <c r="H5" s="77"/>
      <c r="I5" s="77"/>
      <c r="J5" s="77"/>
      <c r="K5" s="98"/>
    </row>
    <row r="6" spans="1:76" x14ac:dyDescent="0.25">
      <c r="A6" s="106" t="s">
        <v>13</v>
      </c>
      <c r="B6" s="77"/>
      <c r="C6" s="76" t="s">
        <v>14</v>
      </c>
      <c r="D6" s="77"/>
      <c r="E6" s="77" t="s">
        <v>15</v>
      </c>
      <c r="F6" s="77"/>
      <c r="G6" s="77" t="s">
        <v>4</v>
      </c>
      <c r="H6" s="76" t="s">
        <v>16</v>
      </c>
      <c r="I6" s="76" t="s">
        <v>17</v>
      </c>
      <c r="J6" s="77"/>
      <c r="K6" s="98"/>
    </row>
    <row r="7" spans="1:76" x14ac:dyDescent="0.25">
      <c r="A7" s="105"/>
      <c r="B7" s="77"/>
      <c r="C7" s="77"/>
      <c r="D7" s="77"/>
      <c r="E7" s="77"/>
      <c r="F7" s="77"/>
      <c r="G7" s="77"/>
      <c r="H7" s="77"/>
      <c r="I7" s="77"/>
      <c r="J7" s="77"/>
      <c r="K7" s="98"/>
    </row>
    <row r="8" spans="1:76" x14ac:dyDescent="0.25">
      <c r="A8" s="106" t="s">
        <v>18</v>
      </c>
      <c r="B8" s="77"/>
      <c r="C8" s="76" t="s">
        <v>4</v>
      </c>
      <c r="D8" s="77"/>
      <c r="E8" s="77" t="s">
        <v>19</v>
      </c>
      <c r="F8" s="77"/>
      <c r="G8" s="77" t="s">
        <v>10</v>
      </c>
      <c r="H8" s="76" t="s">
        <v>20</v>
      </c>
      <c r="I8" s="77" t="s">
        <v>12</v>
      </c>
      <c r="J8" s="77"/>
      <c r="K8" s="98"/>
    </row>
    <row r="9" spans="1:76" x14ac:dyDescent="0.25">
      <c r="A9" s="107"/>
      <c r="B9" s="99"/>
      <c r="C9" s="99"/>
      <c r="D9" s="99"/>
      <c r="E9" s="99"/>
      <c r="F9" s="99"/>
      <c r="G9" s="99"/>
      <c r="H9" s="99"/>
      <c r="I9" s="99"/>
      <c r="J9" s="99"/>
      <c r="K9" s="100"/>
    </row>
    <row r="10" spans="1:76" x14ac:dyDescent="0.25">
      <c r="A10" s="6" t="s">
        <v>21</v>
      </c>
      <c r="B10" s="7" t="s">
        <v>22</v>
      </c>
      <c r="C10" s="101" t="s">
        <v>23</v>
      </c>
      <c r="D10" s="102"/>
      <c r="E10" s="7" t="s">
        <v>24</v>
      </c>
      <c r="F10" s="8" t="s">
        <v>25</v>
      </c>
      <c r="G10" s="9" t="s">
        <v>26</v>
      </c>
      <c r="H10" s="90" t="s">
        <v>27</v>
      </c>
      <c r="I10" s="91"/>
      <c r="J10" s="92"/>
      <c r="K10" s="10" t="s">
        <v>28</v>
      </c>
      <c r="BK10" s="11" t="s">
        <v>29</v>
      </c>
      <c r="BL10" s="12" t="s">
        <v>30</v>
      </c>
      <c r="BW10" s="12" t="s">
        <v>31</v>
      </c>
    </row>
    <row r="11" spans="1:76" x14ac:dyDescent="0.25">
      <c r="A11" s="13" t="s">
        <v>4</v>
      </c>
      <c r="B11" s="14" t="s">
        <v>4</v>
      </c>
      <c r="C11" s="88" t="s">
        <v>32</v>
      </c>
      <c r="D11" s="89"/>
      <c r="E11" s="14" t="s">
        <v>4</v>
      </c>
      <c r="F11" s="14" t="s">
        <v>4</v>
      </c>
      <c r="G11" s="15" t="s">
        <v>33</v>
      </c>
      <c r="H11" s="16" t="s">
        <v>34</v>
      </c>
      <c r="I11" s="17" t="s">
        <v>35</v>
      </c>
      <c r="J11" s="18" t="s">
        <v>36</v>
      </c>
      <c r="K11" s="19" t="s">
        <v>37</v>
      </c>
      <c r="Z11" s="11" t="s">
        <v>38</v>
      </c>
      <c r="AA11" s="11" t="s">
        <v>39</v>
      </c>
      <c r="AB11" s="11" t="s">
        <v>40</v>
      </c>
      <c r="AC11" s="11" t="s">
        <v>41</v>
      </c>
      <c r="AD11" s="11" t="s">
        <v>42</v>
      </c>
      <c r="AE11" s="11" t="s">
        <v>43</v>
      </c>
      <c r="AF11" s="11" t="s">
        <v>44</v>
      </c>
      <c r="AG11" s="11" t="s">
        <v>45</v>
      </c>
      <c r="AH11" s="11" t="s">
        <v>46</v>
      </c>
      <c r="BH11" s="11" t="s">
        <v>47</v>
      </c>
      <c r="BI11" s="11" t="s">
        <v>48</v>
      </c>
      <c r="BJ11" s="11" t="s">
        <v>49</v>
      </c>
    </row>
    <row r="12" spans="1:76" x14ac:dyDescent="0.25">
      <c r="A12" s="20" t="s">
        <v>50</v>
      </c>
      <c r="B12" s="21" t="s">
        <v>51</v>
      </c>
      <c r="C12" s="93" t="s">
        <v>52</v>
      </c>
      <c r="D12" s="94"/>
      <c r="E12" s="22" t="s">
        <v>4</v>
      </c>
      <c r="F12" s="22" t="s">
        <v>4</v>
      </c>
      <c r="G12" s="22" t="s">
        <v>4</v>
      </c>
      <c r="H12" s="23">
        <f>SUM(H13:H15)</f>
        <v>0</v>
      </c>
      <c r="I12" s="23">
        <f>SUM(I13:I15)</f>
        <v>0</v>
      </c>
      <c r="J12" s="23">
        <f>SUM(J13:J15)</f>
        <v>0</v>
      </c>
      <c r="K12" s="24" t="s">
        <v>50</v>
      </c>
      <c r="AI12" s="11" t="s">
        <v>50</v>
      </c>
      <c r="AS12" s="1">
        <f>SUM(AJ13:AJ15)</f>
        <v>0</v>
      </c>
      <c r="AT12" s="1">
        <f>SUM(AK13:AK15)</f>
        <v>0</v>
      </c>
      <c r="AU12" s="1">
        <f>SUM(AL13:AL15)</f>
        <v>0</v>
      </c>
    </row>
    <row r="13" spans="1:76" x14ac:dyDescent="0.25">
      <c r="A13" s="25" t="s">
        <v>53</v>
      </c>
      <c r="B13" s="26" t="s">
        <v>54</v>
      </c>
      <c r="C13" s="83" t="s">
        <v>55</v>
      </c>
      <c r="D13" s="84"/>
      <c r="E13" s="26" t="s">
        <v>56</v>
      </c>
      <c r="F13" s="28">
        <v>11.29</v>
      </c>
      <c r="G13" s="28">
        <v>0</v>
      </c>
      <c r="H13" s="28">
        <f>ROUND(F13*AO13,2)</f>
        <v>0</v>
      </c>
      <c r="I13" s="28">
        <f>ROUND(F13*AP13,2)</f>
        <v>0</v>
      </c>
      <c r="J13" s="28">
        <f>ROUND(F13*G13,2)</f>
        <v>0</v>
      </c>
      <c r="K13" s="29" t="s">
        <v>57</v>
      </c>
      <c r="Z13" s="30">
        <f>ROUND(IF(AQ13="5",BJ13,0),2)</f>
        <v>0</v>
      </c>
      <c r="AB13" s="30">
        <f>ROUND(IF(AQ13="1",BH13,0),2)</f>
        <v>0</v>
      </c>
      <c r="AC13" s="30">
        <f>ROUND(IF(AQ13="1",BI13,0),2)</f>
        <v>0</v>
      </c>
      <c r="AD13" s="30">
        <f>ROUND(IF(AQ13="7",BH13,0),2)</f>
        <v>0</v>
      </c>
      <c r="AE13" s="30">
        <f>ROUND(IF(AQ13="7",BI13,0),2)</f>
        <v>0</v>
      </c>
      <c r="AF13" s="30">
        <f>ROUND(IF(AQ13="2",BH13,0),2)</f>
        <v>0</v>
      </c>
      <c r="AG13" s="30">
        <f>ROUND(IF(AQ13="2",BI13,0),2)</f>
        <v>0</v>
      </c>
      <c r="AH13" s="30">
        <f>ROUND(IF(AQ13="0",BJ13,0),2)</f>
        <v>0</v>
      </c>
      <c r="AI13" s="11" t="s">
        <v>50</v>
      </c>
      <c r="AJ13" s="28">
        <f>IF(AN13=0,J13,0)</f>
        <v>0</v>
      </c>
      <c r="AK13" s="28">
        <f>IF(AN13=12,J13,0)</f>
        <v>0</v>
      </c>
      <c r="AL13" s="28">
        <f>IF(AN13=21,J13,0)</f>
        <v>0</v>
      </c>
      <c r="AN13" s="30">
        <v>21</v>
      </c>
      <c r="AO13" s="30">
        <f>G13*0</f>
        <v>0</v>
      </c>
      <c r="AP13" s="30">
        <f>G13*(1-0)</f>
        <v>0</v>
      </c>
      <c r="AQ13" s="31" t="s">
        <v>53</v>
      </c>
      <c r="AV13" s="30">
        <f>ROUND(AW13+AX13,2)</f>
        <v>0</v>
      </c>
      <c r="AW13" s="30">
        <f>ROUND(F13*AO13,2)</f>
        <v>0</v>
      </c>
      <c r="AX13" s="30">
        <f>ROUND(F13*AP13,2)</f>
        <v>0</v>
      </c>
      <c r="AY13" s="32" t="s">
        <v>58</v>
      </c>
      <c r="AZ13" s="32" t="s">
        <v>59</v>
      </c>
      <c r="BA13" s="11" t="s">
        <v>60</v>
      </c>
      <c r="BC13" s="30">
        <f>AW13+AX13</f>
        <v>0</v>
      </c>
      <c r="BD13" s="30">
        <f>G13/(100-BE13)*100</f>
        <v>0</v>
      </c>
      <c r="BE13" s="30">
        <v>0</v>
      </c>
      <c r="BF13" s="30">
        <f>13</f>
        <v>13</v>
      </c>
      <c r="BH13" s="28">
        <f>F13*AO13</f>
        <v>0</v>
      </c>
      <c r="BI13" s="28">
        <f>F13*AP13</f>
        <v>0</v>
      </c>
      <c r="BJ13" s="28">
        <f>F13*G13</f>
        <v>0</v>
      </c>
      <c r="BK13" s="28"/>
      <c r="BL13" s="30">
        <v>11</v>
      </c>
      <c r="BW13" s="30">
        <v>21</v>
      </c>
      <c r="BX13" s="27" t="s">
        <v>55</v>
      </c>
    </row>
    <row r="14" spans="1:76" ht="13.5" customHeight="1" x14ac:dyDescent="0.25">
      <c r="A14" s="33"/>
      <c r="B14" s="34" t="s">
        <v>61</v>
      </c>
      <c r="C14" s="78" t="s">
        <v>62</v>
      </c>
      <c r="D14" s="79"/>
      <c r="E14" s="79"/>
      <c r="F14" s="79"/>
      <c r="G14" s="79"/>
      <c r="H14" s="79"/>
      <c r="I14" s="79"/>
      <c r="J14" s="79"/>
      <c r="K14" s="80"/>
    </row>
    <row r="15" spans="1:76" x14ac:dyDescent="0.25">
      <c r="A15" s="25" t="s">
        <v>63</v>
      </c>
      <c r="B15" s="26" t="s">
        <v>64</v>
      </c>
      <c r="C15" s="83" t="s">
        <v>65</v>
      </c>
      <c r="D15" s="84"/>
      <c r="E15" s="26" t="s">
        <v>66</v>
      </c>
      <c r="F15" s="28">
        <v>47.8</v>
      </c>
      <c r="G15" s="28">
        <v>0</v>
      </c>
      <c r="H15" s="28">
        <f>ROUND(F15*AO15,2)</f>
        <v>0</v>
      </c>
      <c r="I15" s="28">
        <f>ROUND(F15*AP15,2)</f>
        <v>0</v>
      </c>
      <c r="J15" s="28">
        <f>ROUND(F15*G15,2)</f>
        <v>0</v>
      </c>
      <c r="K15" s="29" t="s">
        <v>57</v>
      </c>
      <c r="Z15" s="30">
        <f>ROUND(IF(AQ15="5",BJ15,0),2)</f>
        <v>0</v>
      </c>
      <c r="AB15" s="30">
        <f>ROUND(IF(AQ15="1",BH15,0),2)</f>
        <v>0</v>
      </c>
      <c r="AC15" s="30">
        <f>ROUND(IF(AQ15="1",BI15,0),2)</f>
        <v>0</v>
      </c>
      <c r="AD15" s="30">
        <f>ROUND(IF(AQ15="7",BH15,0),2)</f>
        <v>0</v>
      </c>
      <c r="AE15" s="30">
        <f>ROUND(IF(AQ15="7",BI15,0),2)</f>
        <v>0</v>
      </c>
      <c r="AF15" s="30">
        <f>ROUND(IF(AQ15="2",BH15,0),2)</f>
        <v>0</v>
      </c>
      <c r="AG15" s="30">
        <f>ROUND(IF(AQ15="2",BI15,0),2)</f>
        <v>0</v>
      </c>
      <c r="AH15" s="30">
        <f>ROUND(IF(AQ15="0",BJ15,0),2)</f>
        <v>0</v>
      </c>
      <c r="AI15" s="11" t="s">
        <v>50</v>
      </c>
      <c r="AJ15" s="28">
        <f>IF(AN15=0,J15,0)</f>
        <v>0</v>
      </c>
      <c r="AK15" s="28">
        <f>IF(AN15=12,J15,0)</f>
        <v>0</v>
      </c>
      <c r="AL15" s="28">
        <f>IF(AN15=21,J15,0)</f>
        <v>0</v>
      </c>
      <c r="AN15" s="30">
        <v>21</v>
      </c>
      <c r="AO15" s="30">
        <f>G15*0</f>
        <v>0</v>
      </c>
      <c r="AP15" s="30">
        <f>G15*(1-0)</f>
        <v>0</v>
      </c>
      <c r="AQ15" s="31" t="s">
        <v>53</v>
      </c>
      <c r="AV15" s="30">
        <f>ROUND(AW15+AX15,2)</f>
        <v>0</v>
      </c>
      <c r="AW15" s="30">
        <f>ROUND(F15*AO15,2)</f>
        <v>0</v>
      </c>
      <c r="AX15" s="30">
        <f>ROUND(F15*AP15,2)</f>
        <v>0</v>
      </c>
      <c r="AY15" s="32" t="s">
        <v>58</v>
      </c>
      <c r="AZ15" s="32" t="s">
        <v>59</v>
      </c>
      <c r="BA15" s="11" t="s">
        <v>60</v>
      </c>
      <c r="BC15" s="30">
        <f>AW15+AX15</f>
        <v>0</v>
      </c>
      <c r="BD15" s="30">
        <f>G15/(100-BE15)*100</f>
        <v>0</v>
      </c>
      <c r="BE15" s="30">
        <v>0</v>
      </c>
      <c r="BF15" s="30">
        <f>15</f>
        <v>15</v>
      </c>
      <c r="BH15" s="28">
        <f>F15*AO15</f>
        <v>0</v>
      </c>
      <c r="BI15" s="28">
        <f>F15*AP15</f>
        <v>0</v>
      </c>
      <c r="BJ15" s="28">
        <f>F15*G15</f>
        <v>0</v>
      </c>
      <c r="BK15" s="28"/>
      <c r="BL15" s="30">
        <v>11</v>
      </c>
      <c r="BW15" s="30">
        <v>21</v>
      </c>
      <c r="BX15" s="27" t="s">
        <v>65</v>
      </c>
    </row>
    <row r="16" spans="1:76" x14ac:dyDescent="0.25">
      <c r="A16" s="36" t="s">
        <v>50</v>
      </c>
      <c r="B16" s="37" t="s">
        <v>67</v>
      </c>
      <c r="C16" s="81" t="s">
        <v>68</v>
      </c>
      <c r="D16" s="82"/>
      <c r="E16" s="38" t="s">
        <v>4</v>
      </c>
      <c r="F16" s="38" t="s">
        <v>4</v>
      </c>
      <c r="G16" s="38" t="s">
        <v>4</v>
      </c>
      <c r="H16" s="1">
        <f>SUM(H17:H17)</f>
        <v>0</v>
      </c>
      <c r="I16" s="1">
        <f>SUM(I17:I17)</f>
        <v>0</v>
      </c>
      <c r="J16" s="1">
        <f>SUM(J17:J17)</f>
        <v>0</v>
      </c>
      <c r="K16" s="39" t="s">
        <v>50</v>
      </c>
      <c r="AI16" s="11" t="s">
        <v>50</v>
      </c>
      <c r="AS16" s="1">
        <f>SUM(AJ17:AJ17)</f>
        <v>0</v>
      </c>
      <c r="AT16" s="1">
        <f>SUM(AK17:AK17)</f>
        <v>0</v>
      </c>
      <c r="AU16" s="1">
        <f>SUM(AL17:AL17)</f>
        <v>0</v>
      </c>
    </row>
    <row r="17" spans="1:76" x14ac:dyDescent="0.25">
      <c r="A17" s="25" t="s">
        <v>69</v>
      </c>
      <c r="B17" s="26" t="s">
        <v>70</v>
      </c>
      <c r="C17" s="83" t="s">
        <v>71</v>
      </c>
      <c r="D17" s="84"/>
      <c r="E17" s="26" t="s">
        <v>56</v>
      </c>
      <c r="F17" s="28">
        <v>41.46</v>
      </c>
      <c r="G17" s="28">
        <v>0</v>
      </c>
      <c r="H17" s="28">
        <f>ROUND(F17*AO17,2)</f>
        <v>0</v>
      </c>
      <c r="I17" s="28">
        <f>ROUND(F17*AP17,2)</f>
        <v>0</v>
      </c>
      <c r="J17" s="28">
        <f>ROUND(F17*G17,2)</f>
        <v>0</v>
      </c>
      <c r="K17" s="29" t="s">
        <v>57</v>
      </c>
      <c r="Z17" s="30">
        <f>ROUND(IF(AQ17="5",BJ17,0),2)</f>
        <v>0</v>
      </c>
      <c r="AB17" s="30">
        <f>ROUND(IF(AQ17="1",BH17,0),2)</f>
        <v>0</v>
      </c>
      <c r="AC17" s="30">
        <f>ROUND(IF(AQ17="1",BI17,0),2)</f>
        <v>0</v>
      </c>
      <c r="AD17" s="30">
        <f>ROUND(IF(AQ17="7",BH17,0),2)</f>
        <v>0</v>
      </c>
      <c r="AE17" s="30">
        <f>ROUND(IF(AQ17="7",BI17,0),2)</f>
        <v>0</v>
      </c>
      <c r="AF17" s="30">
        <f>ROUND(IF(AQ17="2",BH17,0),2)</f>
        <v>0</v>
      </c>
      <c r="AG17" s="30">
        <f>ROUND(IF(AQ17="2",BI17,0),2)</f>
        <v>0</v>
      </c>
      <c r="AH17" s="30">
        <f>ROUND(IF(AQ17="0",BJ17,0),2)</f>
        <v>0</v>
      </c>
      <c r="AI17" s="11" t="s">
        <v>50</v>
      </c>
      <c r="AJ17" s="28">
        <f>IF(AN17=0,J17,0)</f>
        <v>0</v>
      </c>
      <c r="AK17" s="28">
        <f>IF(AN17=12,J17,0)</f>
        <v>0</v>
      </c>
      <c r="AL17" s="28">
        <f>IF(AN17=21,J17,0)</f>
        <v>0</v>
      </c>
      <c r="AN17" s="30">
        <v>21</v>
      </c>
      <c r="AO17" s="30">
        <f>G17*0</f>
        <v>0</v>
      </c>
      <c r="AP17" s="30">
        <f>G17*(1-0)</f>
        <v>0</v>
      </c>
      <c r="AQ17" s="31" t="s">
        <v>53</v>
      </c>
      <c r="AV17" s="30">
        <f>ROUND(AW17+AX17,2)</f>
        <v>0</v>
      </c>
      <c r="AW17" s="30">
        <f>ROUND(F17*AO17,2)</f>
        <v>0</v>
      </c>
      <c r="AX17" s="30">
        <f>ROUND(F17*AP17,2)</f>
        <v>0</v>
      </c>
      <c r="AY17" s="32" t="s">
        <v>72</v>
      </c>
      <c r="AZ17" s="32" t="s">
        <v>59</v>
      </c>
      <c r="BA17" s="11" t="s">
        <v>60</v>
      </c>
      <c r="BC17" s="30">
        <f>AW17+AX17</f>
        <v>0</v>
      </c>
      <c r="BD17" s="30">
        <f>G17/(100-BE17)*100</f>
        <v>0</v>
      </c>
      <c r="BE17" s="30">
        <v>0</v>
      </c>
      <c r="BF17" s="30">
        <f>17</f>
        <v>17</v>
      </c>
      <c r="BH17" s="28">
        <f>F17*AO17</f>
        <v>0</v>
      </c>
      <c r="BI17" s="28">
        <f>F17*AP17</f>
        <v>0</v>
      </c>
      <c r="BJ17" s="28">
        <f>F17*G17</f>
        <v>0</v>
      </c>
      <c r="BK17" s="28"/>
      <c r="BL17" s="30">
        <v>13</v>
      </c>
      <c r="BW17" s="30">
        <v>21</v>
      </c>
      <c r="BX17" s="27" t="s">
        <v>71</v>
      </c>
    </row>
    <row r="18" spans="1:76" x14ac:dyDescent="0.25">
      <c r="A18" s="36" t="s">
        <v>50</v>
      </c>
      <c r="B18" s="37" t="s">
        <v>73</v>
      </c>
      <c r="C18" s="81" t="s">
        <v>74</v>
      </c>
      <c r="D18" s="82"/>
      <c r="E18" s="38" t="s">
        <v>4</v>
      </c>
      <c r="F18" s="38" t="s">
        <v>4</v>
      </c>
      <c r="G18" s="38" t="s">
        <v>4</v>
      </c>
      <c r="H18" s="1">
        <f>SUM(H19:H22)</f>
        <v>0</v>
      </c>
      <c r="I18" s="1">
        <f>SUM(I19:I22)</f>
        <v>0</v>
      </c>
      <c r="J18" s="1">
        <f>SUM(J19:J22)</f>
        <v>0</v>
      </c>
      <c r="K18" s="39" t="s">
        <v>50</v>
      </c>
      <c r="AI18" s="11" t="s">
        <v>50</v>
      </c>
      <c r="AS18" s="1">
        <f>SUM(AJ19:AJ22)</f>
        <v>0</v>
      </c>
      <c r="AT18" s="1">
        <f>SUM(AK19:AK22)</f>
        <v>0</v>
      </c>
      <c r="AU18" s="1">
        <f>SUM(AL19:AL22)</f>
        <v>0</v>
      </c>
    </row>
    <row r="19" spans="1:76" x14ac:dyDescent="0.25">
      <c r="A19" s="25" t="s">
        <v>75</v>
      </c>
      <c r="B19" s="26" t="s">
        <v>76</v>
      </c>
      <c r="C19" s="83" t="s">
        <v>77</v>
      </c>
      <c r="D19" s="84"/>
      <c r="E19" s="26" t="s">
        <v>56</v>
      </c>
      <c r="F19" s="28">
        <v>21.306000000000001</v>
      </c>
      <c r="G19" s="28">
        <v>0</v>
      </c>
      <c r="H19" s="28">
        <f>ROUND(F19*AO19,2)</f>
        <v>0</v>
      </c>
      <c r="I19" s="28">
        <f>ROUND(F19*AP19,2)</f>
        <v>0</v>
      </c>
      <c r="J19" s="28">
        <f>ROUND(F19*G19,2)</f>
        <v>0</v>
      </c>
      <c r="K19" s="29" t="s">
        <v>57</v>
      </c>
      <c r="Z19" s="30">
        <f>ROUND(IF(AQ19="5",BJ19,0),2)</f>
        <v>0</v>
      </c>
      <c r="AB19" s="30">
        <f>ROUND(IF(AQ19="1",BH19,0),2)</f>
        <v>0</v>
      </c>
      <c r="AC19" s="30">
        <f>ROUND(IF(AQ19="1",BI19,0),2)</f>
        <v>0</v>
      </c>
      <c r="AD19" s="30">
        <f>ROUND(IF(AQ19="7",BH19,0),2)</f>
        <v>0</v>
      </c>
      <c r="AE19" s="30">
        <f>ROUND(IF(AQ19="7",BI19,0),2)</f>
        <v>0</v>
      </c>
      <c r="AF19" s="30">
        <f>ROUND(IF(AQ19="2",BH19,0),2)</f>
        <v>0</v>
      </c>
      <c r="AG19" s="30">
        <f>ROUND(IF(AQ19="2",BI19,0),2)</f>
        <v>0</v>
      </c>
      <c r="AH19" s="30">
        <f>ROUND(IF(AQ19="0",BJ19,0),2)</f>
        <v>0</v>
      </c>
      <c r="AI19" s="11" t="s">
        <v>50</v>
      </c>
      <c r="AJ19" s="28">
        <f>IF(AN19=0,J19,0)</f>
        <v>0</v>
      </c>
      <c r="AK19" s="28">
        <f>IF(AN19=12,J19,0)</f>
        <v>0</v>
      </c>
      <c r="AL19" s="28">
        <f>IF(AN19=21,J19,0)</f>
        <v>0</v>
      </c>
      <c r="AN19" s="30">
        <v>21</v>
      </c>
      <c r="AO19" s="30">
        <f>G19*0</f>
        <v>0</v>
      </c>
      <c r="AP19" s="30">
        <f>G19*(1-0)</f>
        <v>0</v>
      </c>
      <c r="AQ19" s="31" t="s">
        <v>53</v>
      </c>
      <c r="AV19" s="30">
        <f>ROUND(AW19+AX19,2)</f>
        <v>0</v>
      </c>
      <c r="AW19" s="30">
        <f>ROUND(F19*AO19,2)</f>
        <v>0</v>
      </c>
      <c r="AX19" s="30">
        <f>ROUND(F19*AP19,2)</f>
        <v>0</v>
      </c>
      <c r="AY19" s="32" t="s">
        <v>78</v>
      </c>
      <c r="AZ19" s="32" t="s">
        <v>59</v>
      </c>
      <c r="BA19" s="11" t="s">
        <v>60</v>
      </c>
      <c r="BC19" s="30">
        <f>AW19+AX19</f>
        <v>0</v>
      </c>
      <c r="BD19" s="30">
        <f>G19/(100-BE19)*100</f>
        <v>0</v>
      </c>
      <c r="BE19" s="30">
        <v>0</v>
      </c>
      <c r="BF19" s="30">
        <f>19</f>
        <v>19</v>
      </c>
      <c r="BH19" s="28">
        <f>F19*AO19</f>
        <v>0</v>
      </c>
      <c r="BI19" s="28">
        <f>F19*AP19</f>
        <v>0</v>
      </c>
      <c r="BJ19" s="28">
        <f>F19*G19</f>
        <v>0</v>
      </c>
      <c r="BK19" s="28"/>
      <c r="BL19" s="30">
        <v>16</v>
      </c>
      <c r="BW19" s="30">
        <v>21</v>
      </c>
      <c r="BX19" s="27" t="s">
        <v>77</v>
      </c>
    </row>
    <row r="20" spans="1:76" x14ac:dyDescent="0.25">
      <c r="A20" s="25" t="s">
        <v>79</v>
      </c>
      <c r="B20" s="26" t="s">
        <v>80</v>
      </c>
      <c r="C20" s="83" t="s">
        <v>81</v>
      </c>
      <c r="D20" s="84"/>
      <c r="E20" s="26" t="s">
        <v>56</v>
      </c>
      <c r="F20" s="28">
        <v>106.53</v>
      </c>
      <c r="G20" s="28">
        <v>0</v>
      </c>
      <c r="H20" s="28">
        <f>ROUND(F20*AO20,2)</f>
        <v>0</v>
      </c>
      <c r="I20" s="28">
        <f>ROUND(F20*AP20,2)</f>
        <v>0</v>
      </c>
      <c r="J20" s="28">
        <f>ROUND(F20*G20,2)</f>
        <v>0</v>
      </c>
      <c r="K20" s="29" t="s">
        <v>57</v>
      </c>
      <c r="Z20" s="30">
        <f>ROUND(IF(AQ20="5",BJ20,0),2)</f>
        <v>0</v>
      </c>
      <c r="AB20" s="30">
        <f>ROUND(IF(AQ20="1",BH20,0),2)</f>
        <v>0</v>
      </c>
      <c r="AC20" s="30">
        <f>ROUND(IF(AQ20="1",BI20,0),2)</f>
        <v>0</v>
      </c>
      <c r="AD20" s="30">
        <f>ROUND(IF(AQ20="7",BH20,0),2)</f>
        <v>0</v>
      </c>
      <c r="AE20" s="30">
        <f>ROUND(IF(AQ20="7",BI20,0),2)</f>
        <v>0</v>
      </c>
      <c r="AF20" s="30">
        <f>ROUND(IF(AQ20="2",BH20,0),2)</f>
        <v>0</v>
      </c>
      <c r="AG20" s="30">
        <f>ROUND(IF(AQ20="2",BI20,0),2)</f>
        <v>0</v>
      </c>
      <c r="AH20" s="30">
        <f>ROUND(IF(AQ20="0",BJ20,0),2)</f>
        <v>0</v>
      </c>
      <c r="AI20" s="11" t="s">
        <v>50</v>
      </c>
      <c r="AJ20" s="28">
        <f>IF(AN20=0,J20,0)</f>
        <v>0</v>
      </c>
      <c r="AK20" s="28">
        <f>IF(AN20=12,J20,0)</f>
        <v>0</v>
      </c>
      <c r="AL20" s="28">
        <f>IF(AN20=21,J20,0)</f>
        <v>0</v>
      </c>
      <c r="AN20" s="30">
        <v>21</v>
      </c>
      <c r="AO20" s="30">
        <f>G20*0</f>
        <v>0</v>
      </c>
      <c r="AP20" s="30">
        <f>G20*(1-0)</f>
        <v>0</v>
      </c>
      <c r="AQ20" s="31" t="s">
        <v>53</v>
      </c>
      <c r="AV20" s="30">
        <f>ROUND(AW20+AX20,2)</f>
        <v>0</v>
      </c>
      <c r="AW20" s="30">
        <f>ROUND(F20*AO20,2)</f>
        <v>0</v>
      </c>
      <c r="AX20" s="30">
        <f>ROUND(F20*AP20,2)</f>
        <v>0</v>
      </c>
      <c r="AY20" s="32" t="s">
        <v>78</v>
      </c>
      <c r="AZ20" s="32" t="s">
        <v>59</v>
      </c>
      <c r="BA20" s="11" t="s">
        <v>60</v>
      </c>
      <c r="BC20" s="30">
        <f>AW20+AX20</f>
        <v>0</v>
      </c>
      <c r="BD20" s="30">
        <f>G20/(100-BE20)*100</f>
        <v>0</v>
      </c>
      <c r="BE20" s="30">
        <v>0</v>
      </c>
      <c r="BF20" s="30">
        <f>20</f>
        <v>20</v>
      </c>
      <c r="BH20" s="28">
        <f>F20*AO20</f>
        <v>0</v>
      </c>
      <c r="BI20" s="28">
        <f>F20*AP20</f>
        <v>0</v>
      </c>
      <c r="BJ20" s="28">
        <f>F20*G20</f>
        <v>0</v>
      </c>
      <c r="BK20" s="28"/>
      <c r="BL20" s="30">
        <v>16</v>
      </c>
      <c r="BW20" s="30">
        <v>21</v>
      </c>
      <c r="BX20" s="27" t="s">
        <v>81</v>
      </c>
    </row>
    <row r="21" spans="1:76" x14ac:dyDescent="0.25">
      <c r="A21" s="25" t="s">
        <v>82</v>
      </c>
      <c r="B21" s="26" t="s">
        <v>83</v>
      </c>
      <c r="C21" s="83" t="s">
        <v>84</v>
      </c>
      <c r="D21" s="84"/>
      <c r="E21" s="26" t="s">
        <v>56</v>
      </c>
      <c r="F21" s="28">
        <v>20.149999999999999</v>
      </c>
      <c r="G21" s="28">
        <v>0</v>
      </c>
      <c r="H21" s="28">
        <f>ROUND(F21*AO21,2)</f>
        <v>0</v>
      </c>
      <c r="I21" s="28">
        <f>ROUND(F21*AP21,2)</f>
        <v>0</v>
      </c>
      <c r="J21" s="28">
        <f>ROUND(F21*G21,2)</f>
        <v>0</v>
      </c>
      <c r="K21" s="29" t="s">
        <v>57</v>
      </c>
      <c r="Z21" s="30">
        <f>ROUND(IF(AQ21="5",BJ21,0),2)</f>
        <v>0</v>
      </c>
      <c r="AB21" s="30">
        <f>ROUND(IF(AQ21="1",BH21,0),2)</f>
        <v>0</v>
      </c>
      <c r="AC21" s="30">
        <f>ROUND(IF(AQ21="1",BI21,0),2)</f>
        <v>0</v>
      </c>
      <c r="AD21" s="30">
        <f>ROUND(IF(AQ21="7",BH21,0),2)</f>
        <v>0</v>
      </c>
      <c r="AE21" s="30">
        <f>ROUND(IF(AQ21="7",BI21,0),2)</f>
        <v>0</v>
      </c>
      <c r="AF21" s="30">
        <f>ROUND(IF(AQ21="2",BH21,0),2)</f>
        <v>0</v>
      </c>
      <c r="AG21" s="30">
        <f>ROUND(IF(AQ21="2",BI21,0),2)</f>
        <v>0</v>
      </c>
      <c r="AH21" s="30">
        <f>ROUND(IF(AQ21="0",BJ21,0),2)</f>
        <v>0</v>
      </c>
      <c r="AI21" s="11" t="s">
        <v>50</v>
      </c>
      <c r="AJ21" s="28">
        <f>IF(AN21=0,J21,0)</f>
        <v>0</v>
      </c>
      <c r="AK21" s="28">
        <f>IF(AN21=12,J21,0)</f>
        <v>0</v>
      </c>
      <c r="AL21" s="28">
        <f>IF(AN21=21,J21,0)</f>
        <v>0</v>
      </c>
      <c r="AN21" s="30">
        <v>21</v>
      </c>
      <c r="AO21" s="30">
        <f>G21*0</f>
        <v>0</v>
      </c>
      <c r="AP21" s="30">
        <f>G21*(1-0)</f>
        <v>0</v>
      </c>
      <c r="AQ21" s="31" t="s">
        <v>53</v>
      </c>
      <c r="AV21" s="30">
        <f>ROUND(AW21+AX21,2)</f>
        <v>0</v>
      </c>
      <c r="AW21" s="30">
        <f>ROUND(F21*AO21,2)</f>
        <v>0</v>
      </c>
      <c r="AX21" s="30">
        <f>ROUND(F21*AP21,2)</f>
        <v>0</v>
      </c>
      <c r="AY21" s="32" t="s">
        <v>78</v>
      </c>
      <c r="AZ21" s="32" t="s">
        <v>59</v>
      </c>
      <c r="BA21" s="11" t="s">
        <v>60</v>
      </c>
      <c r="BC21" s="30">
        <f>AW21+AX21</f>
        <v>0</v>
      </c>
      <c r="BD21" s="30">
        <f>G21/(100-BE21)*100</f>
        <v>0</v>
      </c>
      <c r="BE21" s="30">
        <v>0</v>
      </c>
      <c r="BF21" s="30">
        <f>21</f>
        <v>21</v>
      </c>
      <c r="BH21" s="28">
        <f>F21*AO21</f>
        <v>0</v>
      </c>
      <c r="BI21" s="28">
        <f>F21*AP21</f>
        <v>0</v>
      </c>
      <c r="BJ21" s="28">
        <f>F21*G21</f>
        <v>0</v>
      </c>
      <c r="BK21" s="28"/>
      <c r="BL21" s="30">
        <v>16</v>
      </c>
      <c r="BW21" s="30">
        <v>21</v>
      </c>
      <c r="BX21" s="27" t="s">
        <v>84</v>
      </c>
    </row>
    <row r="22" spans="1:76" x14ac:dyDescent="0.25">
      <c r="A22" s="25" t="s">
        <v>85</v>
      </c>
      <c r="B22" s="26" t="s">
        <v>86</v>
      </c>
      <c r="C22" s="83" t="s">
        <v>87</v>
      </c>
      <c r="D22" s="84"/>
      <c r="E22" s="26" t="s">
        <v>56</v>
      </c>
      <c r="F22" s="28">
        <v>20.149999999999999</v>
      </c>
      <c r="G22" s="28">
        <v>0</v>
      </c>
      <c r="H22" s="28">
        <f>ROUND(F22*AO22,2)</f>
        <v>0</v>
      </c>
      <c r="I22" s="28">
        <f>ROUND(F22*AP22,2)</f>
        <v>0</v>
      </c>
      <c r="J22" s="28">
        <f>ROUND(F22*G22,2)</f>
        <v>0</v>
      </c>
      <c r="K22" s="29" t="s">
        <v>57</v>
      </c>
      <c r="Z22" s="30">
        <f>ROUND(IF(AQ22="5",BJ22,0),2)</f>
        <v>0</v>
      </c>
      <c r="AB22" s="30">
        <f>ROUND(IF(AQ22="1",BH22,0),2)</f>
        <v>0</v>
      </c>
      <c r="AC22" s="30">
        <f>ROUND(IF(AQ22="1",BI22,0),2)</f>
        <v>0</v>
      </c>
      <c r="AD22" s="30">
        <f>ROUND(IF(AQ22="7",BH22,0),2)</f>
        <v>0</v>
      </c>
      <c r="AE22" s="30">
        <f>ROUND(IF(AQ22="7",BI22,0),2)</f>
        <v>0</v>
      </c>
      <c r="AF22" s="30">
        <f>ROUND(IF(AQ22="2",BH22,0),2)</f>
        <v>0</v>
      </c>
      <c r="AG22" s="30">
        <f>ROUND(IF(AQ22="2",BI22,0),2)</f>
        <v>0</v>
      </c>
      <c r="AH22" s="30">
        <f>ROUND(IF(AQ22="0",BJ22,0),2)</f>
        <v>0</v>
      </c>
      <c r="AI22" s="11" t="s">
        <v>50</v>
      </c>
      <c r="AJ22" s="28">
        <f>IF(AN22=0,J22,0)</f>
        <v>0</v>
      </c>
      <c r="AK22" s="28">
        <f>IF(AN22=12,J22,0)</f>
        <v>0</v>
      </c>
      <c r="AL22" s="28">
        <f>IF(AN22=21,J22,0)</f>
        <v>0</v>
      </c>
      <c r="AN22" s="30">
        <v>21</v>
      </c>
      <c r="AO22" s="30">
        <f>G22*0</f>
        <v>0</v>
      </c>
      <c r="AP22" s="30">
        <f>G22*(1-0)</f>
        <v>0</v>
      </c>
      <c r="AQ22" s="31" t="s">
        <v>53</v>
      </c>
      <c r="AV22" s="30">
        <f>ROUND(AW22+AX22,2)</f>
        <v>0</v>
      </c>
      <c r="AW22" s="30">
        <f>ROUND(F22*AO22,2)</f>
        <v>0</v>
      </c>
      <c r="AX22" s="30">
        <f>ROUND(F22*AP22,2)</f>
        <v>0</v>
      </c>
      <c r="AY22" s="32" t="s">
        <v>78</v>
      </c>
      <c r="AZ22" s="32" t="s">
        <v>59</v>
      </c>
      <c r="BA22" s="11" t="s">
        <v>60</v>
      </c>
      <c r="BC22" s="30">
        <f>AW22+AX22</f>
        <v>0</v>
      </c>
      <c r="BD22" s="30">
        <f>G22/(100-BE22)*100</f>
        <v>0</v>
      </c>
      <c r="BE22" s="30">
        <v>0</v>
      </c>
      <c r="BF22" s="30">
        <f>22</f>
        <v>22</v>
      </c>
      <c r="BH22" s="28">
        <f>F22*AO22</f>
        <v>0</v>
      </c>
      <c r="BI22" s="28">
        <f>F22*AP22</f>
        <v>0</v>
      </c>
      <c r="BJ22" s="28">
        <f>F22*G22</f>
        <v>0</v>
      </c>
      <c r="BK22" s="28"/>
      <c r="BL22" s="30">
        <v>16</v>
      </c>
      <c r="BW22" s="30">
        <v>21</v>
      </c>
      <c r="BX22" s="27" t="s">
        <v>87</v>
      </c>
    </row>
    <row r="23" spans="1:76" x14ac:dyDescent="0.25">
      <c r="A23" s="36" t="s">
        <v>50</v>
      </c>
      <c r="B23" s="37" t="s">
        <v>88</v>
      </c>
      <c r="C23" s="81" t="s">
        <v>89</v>
      </c>
      <c r="D23" s="82"/>
      <c r="E23" s="38" t="s">
        <v>4</v>
      </c>
      <c r="F23" s="38" t="s">
        <v>4</v>
      </c>
      <c r="G23" s="38" t="s">
        <v>4</v>
      </c>
      <c r="H23" s="1">
        <f>SUM(H24:H24)</f>
        <v>0</v>
      </c>
      <c r="I23" s="1">
        <f>SUM(I24:I24)</f>
        <v>0</v>
      </c>
      <c r="J23" s="1">
        <f>SUM(J24:J24)</f>
        <v>0</v>
      </c>
      <c r="K23" s="39" t="s">
        <v>50</v>
      </c>
      <c r="AI23" s="11" t="s">
        <v>50</v>
      </c>
      <c r="AS23" s="1">
        <f>SUM(AJ24:AJ24)</f>
        <v>0</v>
      </c>
      <c r="AT23" s="1">
        <f>SUM(AK24:AK24)</f>
        <v>0</v>
      </c>
      <c r="AU23" s="1">
        <f>SUM(AL24:AL24)</f>
        <v>0</v>
      </c>
    </row>
    <row r="24" spans="1:76" x14ac:dyDescent="0.25">
      <c r="A24" s="25" t="s">
        <v>90</v>
      </c>
      <c r="B24" s="26" t="s">
        <v>91</v>
      </c>
      <c r="C24" s="83" t="s">
        <v>92</v>
      </c>
      <c r="D24" s="84"/>
      <c r="E24" s="26" t="s">
        <v>56</v>
      </c>
      <c r="F24" s="28">
        <v>20.149999999999999</v>
      </c>
      <c r="G24" s="28">
        <v>0</v>
      </c>
      <c r="H24" s="28">
        <f>ROUND(F24*AO24,2)</f>
        <v>0</v>
      </c>
      <c r="I24" s="28">
        <f>ROUND(F24*AP24,2)</f>
        <v>0</v>
      </c>
      <c r="J24" s="28">
        <f>ROUND(F24*G24,2)</f>
        <v>0</v>
      </c>
      <c r="K24" s="29" t="s">
        <v>57</v>
      </c>
      <c r="Z24" s="30">
        <f>ROUND(IF(AQ24="5",BJ24,0),2)</f>
        <v>0</v>
      </c>
      <c r="AB24" s="30">
        <f>ROUND(IF(AQ24="1",BH24,0),2)</f>
        <v>0</v>
      </c>
      <c r="AC24" s="30">
        <f>ROUND(IF(AQ24="1",BI24,0),2)</f>
        <v>0</v>
      </c>
      <c r="AD24" s="30">
        <f>ROUND(IF(AQ24="7",BH24,0),2)</f>
        <v>0</v>
      </c>
      <c r="AE24" s="30">
        <f>ROUND(IF(AQ24="7",BI24,0),2)</f>
        <v>0</v>
      </c>
      <c r="AF24" s="30">
        <f>ROUND(IF(AQ24="2",BH24,0),2)</f>
        <v>0</v>
      </c>
      <c r="AG24" s="30">
        <f>ROUND(IF(AQ24="2",BI24,0),2)</f>
        <v>0</v>
      </c>
      <c r="AH24" s="30">
        <f>ROUND(IF(AQ24="0",BJ24,0),2)</f>
        <v>0</v>
      </c>
      <c r="AI24" s="11" t="s">
        <v>50</v>
      </c>
      <c r="AJ24" s="28">
        <f>IF(AN24=0,J24,0)</f>
        <v>0</v>
      </c>
      <c r="AK24" s="28">
        <f>IF(AN24=12,J24,0)</f>
        <v>0</v>
      </c>
      <c r="AL24" s="28">
        <f>IF(AN24=21,J24,0)</f>
        <v>0</v>
      </c>
      <c r="AN24" s="30">
        <v>21</v>
      </c>
      <c r="AO24" s="30">
        <f>G24*0</f>
        <v>0</v>
      </c>
      <c r="AP24" s="30">
        <f>G24*(1-0)</f>
        <v>0</v>
      </c>
      <c r="AQ24" s="31" t="s">
        <v>53</v>
      </c>
      <c r="AV24" s="30">
        <f>ROUND(AW24+AX24,2)</f>
        <v>0</v>
      </c>
      <c r="AW24" s="30">
        <f>ROUND(F24*AO24,2)</f>
        <v>0</v>
      </c>
      <c r="AX24" s="30">
        <f>ROUND(F24*AP24,2)</f>
        <v>0</v>
      </c>
      <c r="AY24" s="32" t="s">
        <v>93</v>
      </c>
      <c r="AZ24" s="32" t="s">
        <v>59</v>
      </c>
      <c r="BA24" s="11" t="s">
        <v>60</v>
      </c>
      <c r="BC24" s="30">
        <f>AW24+AX24</f>
        <v>0</v>
      </c>
      <c r="BD24" s="30">
        <f>G24/(100-BE24)*100</f>
        <v>0</v>
      </c>
      <c r="BE24" s="30">
        <v>0</v>
      </c>
      <c r="BF24" s="30">
        <f>24</f>
        <v>24</v>
      </c>
      <c r="BH24" s="28">
        <f>F24*AO24</f>
        <v>0</v>
      </c>
      <c r="BI24" s="28">
        <f>F24*AP24</f>
        <v>0</v>
      </c>
      <c r="BJ24" s="28">
        <f>F24*G24</f>
        <v>0</v>
      </c>
      <c r="BK24" s="28"/>
      <c r="BL24" s="30">
        <v>17</v>
      </c>
      <c r="BW24" s="30">
        <v>21</v>
      </c>
      <c r="BX24" s="27" t="s">
        <v>92</v>
      </c>
    </row>
    <row r="25" spans="1:76" x14ac:dyDescent="0.25">
      <c r="A25" s="36" t="s">
        <v>50</v>
      </c>
      <c r="B25" s="37" t="s">
        <v>94</v>
      </c>
      <c r="C25" s="81" t="s">
        <v>95</v>
      </c>
      <c r="D25" s="82"/>
      <c r="E25" s="38" t="s">
        <v>4</v>
      </c>
      <c r="F25" s="38" t="s">
        <v>4</v>
      </c>
      <c r="G25" s="38" t="s">
        <v>4</v>
      </c>
      <c r="H25" s="1">
        <f>SUM(H26:H26)</f>
        <v>0</v>
      </c>
      <c r="I25" s="1">
        <f>SUM(I26:I26)</f>
        <v>0</v>
      </c>
      <c r="J25" s="1">
        <f>SUM(J26:J26)</f>
        <v>0</v>
      </c>
      <c r="K25" s="39" t="s">
        <v>50</v>
      </c>
      <c r="AI25" s="11" t="s">
        <v>50</v>
      </c>
      <c r="AS25" s="1">
        <f>SUM(AJ26:AJ26)</f>
        <v>0</v>
      </c>
      <c r="AT25" s="1">
        <f>SUM(AK26:AK26)</f>
        <v>0</v>
      </c>
      <c r="AU25" s="1">
        <f>SUM(AL26:AL26)</f>
        <v>0</v>
      </c>
    </row>
    <row r="26" spans="1:76" x14ac:dyDescent="0.25">
      <c r="A26" s="25" t="s">
        <v>96</v>
      </c>
      <c r="B26" s="26" t="s">
        <v>97</v>
      </c>
      <c r="C26" s="83" t="s">
        <v>98</v>
      </c>
      <c r="D26" s="84"/>
      <c r="E26" s="26" t="s">
        <v>56</v>
      </c>
      <c r="F26" s="28">
        <v>21.306000000000001</v>
      </c>
      <c r="G26" s="28">
        <v>0</v>
      </c>
      <c r="H26" s="28">
        <f>ROUND(F26*AO26,2)</f>
        <v>0</v>
      </c>
      <c r="I26" s="28">
        <f>ROUND(F26*AP26,2)</f>
        <v>0</v>
      </c>
      <c r="J26" s="28">
        <f>ROUND(F26*G26,2)</f>
        <v>0</v>
      </c>
      <c r="K26" s="29" t="s">
        <v>57</v>
      </c>
      <c r="Z26" s="30">
        <f>ROUND(IF(AQ26="5",BJ26,0),2)</f>
        <v>0</v>
      </c>
      <c r="AB26" s="30">
        <f>ROUND(IF(AQ26="1",BH26,0),2)</f>
        <v>0</v>
      </c>
      <c r="AC26" s="30">
        <f>ROUND(IF(AQ26="1",BI26,0),2)</f>
        <v>0</v>
      </c>
      <c r="AD26" s="30">
        <f>ROUND(IF(AQ26="7",BH26,0),2)</f>
        <v>0</v>
      </c>
      <c r="AE26" s="30">
        <f>ROUND(IF(AQ26="7",BI26,0),2)</f>
        <v>0</v>
      </c>
      <c r="AF26" s="30">
        <f>ROUND(IF(AQ26="2",BH26,0),2)</f>
        <v>0</v>
      </c>
      <c r="AG26" s="30">
        <f>ROUND(IF(AQ26="2",BI26,0),2)</f>
        <v>0</v>
      </c>
      <c r="AH26" s="30">
        <f>ROUND(IF(AQ26="0",BJ26,0),2)</f>
        <v>0</v>
      </c>
      <c r="AI26" s="11" t="s">
        <v>50</v>
      </c>
      <c r="AJ26" s="28">
        <f>IF(AN26=0,J26,0)</f>
        <v>0</v>
      </c>
      <c r="AK26" s="28">
        <f>IF(AN26=12,J26,0)</f>
        <v>0</v>
      </c>
      <c r="AL26" s="28">
        <f>IF(AN26=21,J26,0)</f>
        <v>0</v>
      </c>
      <c r="AN26" s="30">
        <v>21</v>
      </c>
      <c r="AO26" s="30">
        <f>G26*0</f>
        <v>0</v>
      </c>
      <c r="AP26" s="30">
        <f>G26*(1-0)</f>
        <v>0</v>
      </c>
      <c r="AQ26" s="31" t="s">
        <v>53</v>
      </c>
      <c r="AV26" s="30">
        <f>ROUND(AW26+AX26,2)</f>
        <v>0</v>
      </c>
      <c r="AW26" s="30">
        <f>ROUND(F26*AO26,2)</f>
        <v>0</v>
      </c>
      <c r="AX26" s="30">
        <f>ROUND(F26*AP26,2)</f>
        <v>0</v>
      </c>
      <c r="AY26" s="32" t="s">
        <v>99</v>
      </c>
      <c r="AZ26" s="32" t="s">
        <v>59</v>
      </c>
      <c r="BA26" s="11" t="s">
        <v>60</v>
      </c>
      <c r="BC26" s="30">
        <f>AW26+AX26</f>
        <v>0</v>
      </c>
      <c r="BD26" s="30">
        <f>G26/(100-BE26)*100</f>
        <v>0</v>
      </c>
      <c r="BE26" s="30">
        <v>0</v>
      </c>
      <c r="BF26" s="30">
        <f>26</f>
        <v>26</v>
      </c>
      <c r="BH26" s="28">
        <f>F26*AO26</f>
        <v>0</v>
      </c>
      <c r="BI26" s="28">
        <f>F26*AP26</f>
        <v>0</v>
      </c>
      <c r="BJ26" s="28">
        <f>F26*G26</f>
        <v>0</v>
      </c>
      <c r="BK26" s="28"/>
      <c r="BL26" s="30">
        <v>19</v>
      </c>
      <c r="BW26" s="30">
        <v>21</v>
      </c>
      <c r="BX26" s="27" t="s">
        <v>98</v>
      </c>
    </row>
    <row r="27" spans="1:76" x14ac:dyDescent="0.25">
      <c r="A27" s="36" t="s">
        <v>50</v>
      </c>
      <c r="B27" s="37" t="s">
        <v>100</v>
      </c>
      <c r="C27" s="81" t="s">
        <v>101</v>
      </c>
      <c r="D27" s="82"/>
      <c r="E27" s="38" t="s">
        <v>4</v>
      </c>
      <c r="F27" s="38" t="s">
        <v>4</v>
      </c>
      <c r="G27" s="38" t="s">
        <v>4</v>
      </c>
      <c r="H27" s="1">
        <f>SUM(H28:H28)</f>
        <v>0</v>
      </c>
      <c r="I27" s="1">
        <f>SUM(I28:I28)</f>
        <v>0</v>
      </c>
      <c r="J27" s="1">
        <f>SUM(J28:J28)</f>
        <v>0</v>
      </c>
      <c r="K27" s="39" t="s">
        <v>50</v>
      </c>
      <c r="AI27" s="11" t="s">
        <v>50</v>
      </c>
      <c r="AS27" s="1">
        <f>SUM(AJ28:AJ28)</f>
        <v>0</v>
      </c>
      <c r="AT27" s="1">
        <f>SUM(AK28:AK28)</f>
        <v>0</v>
      </c>
      <c r="AU27" s="1">
        <f>SUM(AL28:AL28)</f>
        <v>0</v>
      </c>
    </row>
    <row r="28" spans="1:76" x14ac:dyDescent="0.25">
      <c r="A28" s="25" t="s">
        <v>102</v>
      </c>
      <c r="B28" s="26" t="s">
        <v>103</v>
      </c>
      <c r="C28" s="83" t="s">
        <v>104</v>
      </c>
      <c r="D28" s="84"/>
      <c r="E28" s="26" t="s">
        <v>56</v>
      </c>
      <c r="F28" s="28">
        <v>0.96</v>
      </c>
      <c r="G28" s="28">
        <v>0</v>
      </c>
      <c r="H28" s="28">
        <f>ROUND(F28*AO28,2)</f>
        <v>0</v>
      </c>
      <c r="I28" s="28">
        <f>ROUND(F28*AP28,2)</f>
        <v>0</v>
      </c>
      <c r="J28" s="28">
        <f>ROUND(F28*G28,2)</f>
        <v>0</v>
      </c>
      <c r="K28" s="29" t="s">
        <v>57</v>
      </c>
      <c r="Z28" s="30">
        <f>ROUND(IF(AQ28="5",BJ28,0),2)</f>
        <v>0</v>
      </c>
      <c r="AB28" s="30">
        <f>ROUND(IF(AQ28="1",BH28,0),2)</f>
        <v>0</v>
      </c>
      <c r="AC28" s="30">
        <f>ROUND(IF(AQ28="1",BI28,0),2)</f>
        <v>0</v>
      </c>
      <c r="AD28" s="30">
        <f>ROUND(IF(AQ28="7",BH28,0),2)</f>
        <v>0</v>
      </c>
      <c r="AE28" s="30">
        <f>ROUND(IF(AQ28="7",BI28,0),2)</f>
        <v>0</v>
      </c>
      <c r="AF28" s="30">
        <f>ROUND(IF(AQ28="2",BH28,0),2)</f>
        <v>0</v>
      </c>
      <c r="AG28" s="30">
        <f>ROUND(IF(AQ28="2",BI28,0),2)</f>
        <v>0</v>
      </c>
      <c r="AH28" s="30">
        <f>ROUND(IF(AQ28="0",BJ28,0),2)</f>
        <v>0</v>
      </c>
      <c r="AI28" s="11" t="s">
        <v>50</v>
      </c>
      <c r="AJ28" s="28">
        <f>IF(AN28=0,J28,0)</f>
        <v>0</v>
      </c>
      <c r="AK28" s="28">
        <f>IF(AN28=12,J28,0)</f>
        <v>0</v>
      </c>
      <c r="AL28" s="28">
        <f>IF(AN28=21,J28,0)</f>
        <v>0</v>
      </c>
      <c r="AN28" s="30">
        <v>21</v>
      </c>
      <c r="AO28" s="30">
        <f>G28*0.908840063</f>
        <v>0</v>
      </c>
      <c r="AP28" s="30">
        <f>G28*(1-0.908840063)</f>
        <v>0</v>
      </c>
      <c r="AQ28" s="31" t="s">
        <v>53</v>
      </c>
      <c r="AV28" s="30">
        <f>ROUND(AW28+AX28,2)</f>
        <v>0</v>
      </c>
      <c r="AW28" s="30">
        <f>ROUND(F28*AO28,2)</f>
        <v>0</v>
      </c>
      <c r="AX28" s="30">
        <f>ROUND(F28*AP28,2)</f>
        <v>0</v>
      </c>
      <c r="AY28" s="32" t="s">
        <v>105</v>
      </c>
      <c r="AZ28" s="32" t="s">
        <v>106</v>
      </c>
      <c r="BA28" s="11" t="s">
        <v>60</v>
      </c>
      <c r="BC28" s="30">
        <f>AW28+AX28</f>
        <v>0</v>
      </c>
      <c r="BD28" s="30">
        <f>G28/(100-BE28)*100</f>
        <v>0</v>
      </c>
      <c r="BE28" s="30">
        <v>0</v>
      </c>
      <c r="BF28" s="30">
        <f>28</f>
        <v>28</v>
      </c>
      <c r="BH28" s="28">
        <f>F28*AO28</f>
        <v>0</v>
      </c>
      <c r="BI28" s="28">
        <f>F28*AP28</f>
        <v>0</v>
      </c>
      <c r="BJ28" s="28">
        <f>F28*G28</f>
        <v>0</v>
      </c>
      <c r="BK28" s="28"/>
      <c r="BL28" s="30">
        <v>27</v>
      </c>
      <c r="BW28" s="30">
        <v>21</v>
      </c>
      <c r="BX28" s="27" t="s">
        <v>104</v>
      </c>
    </row>
    <row r="29" spans="1:76" x14ac:dyDescent="0.25">
      <c r="A29" s="33"/>
      <c r="C29" s="35" t="s">
        <v>107</v>
      </c>
      <c r="D29" s="35" t="s">
        <v>50</v>
      </c>
      <c r="F29" s="40">
        <v>0.96</v>
      </c>
      <c r="K29" s="41"/>
    </row>
    <row r="30" spans="1:76" x14ac:dyDescent="0.25">
      <c r="A30" s="36" t="s">
        <v>50</v>
      </c>
      <c r="B30" s="37" t="s">
        <v>108</v>
      </c>
      <c r="C30" s="81" t="s">
        <v>109</v>
      </c>
      <c r="D30" s="82"/>
      <c r="E30" s="38" t="s">
        <v>4</v>
      </c>
      <c r="F30" s="38" t="s">
        <v>4</v>
      </c>
      <c r="G30" s="38" t="s">
        <v>4</v>
      </c>
      <c r="H30" s="1">
        <f>SUM(H31:H38)</f>
        <v>0</v>
      </c>
      <c r="I30" s="1">
        <f>SUM(I31:I38)</f>
        <v>0</v>
      </c>
      <c r="J30" s="1">
        <f>SUM(J31:J38)</f>
        <v>0</v>
      </c>
      <c r="K30" s="39" t="s">
        <v>50</v>
      </c>
      <c r="AI30" s="11" t="s">
        <v>50</v>
      </c>
      <c r="AS30" s="1">
        <f>SUM(AJ31:AJ38)</f>
        <v>0</v>
      </c>
      <c r="AT30" s="1">
        <f>SUM(AK31:AK38)</f>
        <v>0</v>
      </c>
      <c r="AU30" s="1">
        <f>SUM(AL31:AL38)</f>
        <v>0</v>
      </c>
    </row>
    <row r="31" spans="1:76" x14ac:dyDescent="0.25">
      <c r="A31" s="25" t="s">
        <v>51</v>
      </c>
      <c r="B31" s="26" t="s">
        <v>110</v>
      </c>
      <c r="C31" s="83" t="s">
        <v>111</v>
      </c>
      <c r="D31" s="84"/>
      <c r="E31" s="26" t="s">
        <v>112</v>
      </c>
      <c r="F31" s="28">
        <v>502.24</v>
      </c>
      <c r="G31" s="28">
        <v>0</v>
      </c>
      <c r="H31" s="28">
        <f>ROUND(F31*AO31,2)</f>
        <v>0</v>
      </c>
      <c r="I31" s="28">
        <f>ROUND(F31*AP31,2)</f>
        <v>0</v>
      </c>
      <c r="J31" s="28">
        <f>ROUND(F31*G31,2)</f>
        <v>0</v>
      </c>
      <c r="K31" s="29" t="s">
        <v>57</v>
      </c>
      <c r="Z31" s="30">
        <f>ROUND(IF(AQ31="5",BJ31,0),2)</f>
        <v>0</v>
      </c>
      <c r="AB31" s="30">
        <f>ROUND(IF(AQ31="1",BH31,0),2)</f>
        <v>0</v>
      </c>
      <c r="AC31" s="30">
        <f>ROUND(IF(AQ31="1",BI31,0),2)</f>
        <v>0</v>
      </c>
      <c r="AD31" s="30">
        <f>ROUND(IF(AQ31="7",BH31,0),2)</f>
        <v>0</v>
      </c>
      <c r="AE31" s="30">
        <f>ROUND(IF(AQ31="7",BI31,0),2)</f>
        <v>0</v>
      </c>
      <c r="AF31" s="30">
        <f>ROUND(IF(AQ31="2",BH31,0),2)</f>
        <v>0</v>
      </c>
      <c r="AG31" s="30">
        <f>ROUND(IF(AQ31="2",BI31,0),2)</f>
        <v>0</v>
      </c>
      <c r="AH31" s="30">
        <f>ROUND(IF(AQ31="0",BJ31,0),2)</f>
        <v>0</v>
      </c>
      <c r="AI31" s="11" t="s">
        <v>50</v>
      </c>
      <c r="AJ31" s="28">
        <f>IF(AN31=0,J31,0)</f>
        <v>0</v>
      </c>
      <c r="AK31" s="28">
        <f>IF(AN31=12,J31,0)</f>
        <v>0</v>
      </c>
      <c r="AL31" s="28">
        <f>IF(AN31=21,J31,0)</f>
        <v>0</v>
      </c>
      <c r="AN31" s="30">
        <v>21</v>
      </c>
      <c r="AO31" s="30">
        <f>G31*0.439881918</f>
        <v>0</v>
      </c>
      <c r="AP31" s="30">
        <f>G31*(1-0.439881918)</f>
        <v>0</v>
      </c>
      <c r="AQ31" s="31" t="s">
        <v>53</v>
      </c>
      <c r="AV31" s="30">
        <f>ROUND(AW31+AX31,2)</f>
        <v>0</v>
      </c>
      <c r="AW31" s="30">
        <f>ROUND(F31*AO31,2)</f>
        <v>0</v>
      </c>
      <c r="AX31" s="30">
        <f>ROUND(F31*AP31,2)</f>
        <v>0</v>
      </c>
      <c r="AY31" s="32" t="s">
        <v>113</v>
      </c>
      <c r="AZ31" s="32" t="s">
        <v>114</v>
      </c>
      <c r="BA31" s="11" t="s">
        <v>60</v>
      </c>
      <c r="BC31" s="30">
        <f>AW31+AX31</f>
        <v>0</v>
      </c>
      <c r="BD31" s="30">
        <f>G31/(100-BE31)*100</f>
        <v>0</v>
      </c>
      <c r="BE31" s="30">
        <v>0</v>
      </c>
      <c r="BF31" s="30">
        <f>31</f>
        <v>31</v>
      </c>
      <c r="BH31" s="28">
        <f>F31*AO31</f>
        <v>0</v>
      </c>
      <c r="BI31" s="28">
        <f>F31*AP31</f>
        <v>0</v>
      </c>
      <c r="BJ31" s="28">
        <f>F31*G31</f>
        <v>0</v>
      </c>
      <c r="BK31" s="28"/>
      <c r="BL31" s="30">
        <v>34</v>
      </c>
      <c r="BW31" s="30">
        <v>21</v>
      </c>
      <c r="BX31" s="27" t="s">
        <v>111</v>
      </c>
    </row>
    <row r="32" spans="1:76" ht="13.5" customHeight="1" x14ac:dyDescent="0.25">
      <c r="A32" s="33"/>
      <c r="B32" s="34"/>
      <c r="C32" s="78" t="s">
        <v>115</v>
      </c>
      <c r="D32" s="79"/>
      <c r="E32" s="79"/>
      <c r="F32" s="79"/>
      <c r="G32" s="79"/>
      <c r="H32" s="79"/>
      <c r="I32" s="79"/>
      <c r="J32" s="79"/>
      <c r="K32" s="80"/>
    </row>
    <row r="33" spans="1:76" x14ac:dyDescent="0.25">
      <c r="A33" s="25" t="s">
        <v>116</v>
      </c>
      <c r="B33" s="26" t="s">
        <v>117</v>
      </c>
      <c r="C33" s="83" t="s">
        <v>118</v>
      </c>
      <c r="D33" s="84"/>
      <c r="E33" s="26" t="s">
        <v>66</v>
      </c>
      <c r="F33" s="28">
        <v>155.88999999999999</v>
      </c>
      <c r="G33" s="28">
        <v>0</v>
      </c>
      <c r="H33" s="28">
        <f>ROUND(F33*AO33,2)</f>
        <v>0</v>
      </c>
      <c r="I33" s="28">
        <f>ROUND(F33*AP33,2)</f>
        <v>0</v>
      </c>
      <c r="J33" s="28">
        <f>ROUND(F33*G33,2)</f>
        <v>0</v>
      </c>
      <c r="K33" s="29" t="s">
        <v>57</v>
      </c>
      <c r="Z33" s="30">
        <f>ROUND(IF(AQ33="5",BJ33,0),2)</f>
        <v>0</v>
      </c>
      <c r="AB33" s="30">
        <f>ROUND(IF(AQ33="1",BH33,0),2)</f>
        <v>0</v>
      </c>
      <c r="AC33" s="30">
        <f>ROUND(IF(AQ33="1",BI33,0),2)</f>
        <v>0</v>
      </c>
      <c r="AD33" s="30">
        <f>ROUND(IF(AQ33="7",BH33,0),2)</f>
        <v>0</v>
      </c>
      <c r="AE33" s="30">
        <f>ROUND(IF(AQ33="7",BI33,0),2)</f>
        <v>0</v>
      </c>
      <c r="AF33" s="30">
        <f>ROUND(IF(AQ33="2",BH33,0),2)</f>
        <v>0</v>
      </c>
      <c r="AG33" s="30">
        <f>ROUND(IF(AQ33="2",BI33,0),2)</f>
        <v>0</v>
      </c>
      <c r="AH33" s="30">
        <f>ROUND(IF(AQ33="0",BJ33,0),2)</f>
        <v>0</v>
      </c>
      <c r="AI33" s="11" t="s">
        <v>50</v>
      </c>
      <c r="AJ33" s="28">
        <f>IF(AN33=0,J33,0)</f>
        <v>0</v>
      </c>
      <c r="AK33" s="28">
        <f>IF(AN33=12,J33,0)</f>
        <v>0</v>
      </c>
      <c r="AL33" s="28">
        <f>IF(AN33=21,J33,0)</f>
        <v>0</v>
      </c>
      <c r="AN33" s="30">
        <v>21</v>
      </c>
      <c r="AO33" s="30">
        <f>G33*0.224096687</f>
        <v>0</v>
      </c>
      <c r="AP33" s="30">
        <f>G33*(1-0.224096687)</f>
        <v>0</v>
      </c>
      <c r="AQ33" s="31" t="s">
        <v>53</v>
      </c>
      <c r="AV33" s="30">
        <f>ROUND(AW33+AX33,2)</f>
        <v>0</v>
      </c>
      <c r="AW33" s="30">
        <f>ROUND(F33*AO33,2)</f>
        <v>0</v>
      </c>
      <c r="AX33" s="30">
        <f>ROUND(F33*AP33,2)</f>
        <v>0</v>
      </c>
      <c r="AY33" s="32" t="s">
        <v>113</v>
      </c>
      <c r="AZ33" s="32" t="s">
        <v>114</v>
      </c>
      <c r="BA33" s="11" t="s">
        <v>60</v>
      </c>
      <c r="BC33" s="30">
        <f>AW33+AX33</f>
        <v>0</v>
      </c>
      <c r="BD33" s="30">
        <f>G33/(100-BE33)*100</f>
        <v>0</v>
      </c>
      <c r="BE33" s="30">
        <v>0</v>
      </c>
      <c r="BF33" s="30">
        <f>33</f>
        <v>33</v>
      </c>
      <c r="BH33" s="28">
        <f>F33*AO33</f>
        <v>0</v>
      </c>
      <c r="BI33" s="28">
        <f>F33*AP33</f>
        <v>0</v>
      </c>
      <c r="BJ33" s="28">
        <f>F33*G33</f>
        <v>0</v>
      </c>
      <c r="BK33" s="28"/>
      <c r="BL33" s="30">
        <v>34</v>
      </c>
      <c r="BW33" s="30">
        <v>21</v>
      </c>
      <c r="BX33" s="27" t="s">
        <v>118</v>
      </c>
    </row>
    <row r="34" spans="1:76" ht="13.5" customHeight="1" x14ac:dyDescent="0.25">
      <c r="A34" s="33"/>
      <c r="B34" s="34"/>
      <c r="C34" s="78" t="s">
        <v>119</v>
      </c>
      <c r="D34" s="79"/>
      <c r="E34" s="79"/>
      <c r="F34" s="79"/>
      <c r="G34" s="79"/>
      <c r="H34" s="79"/>
      <c r="I34" s="79"/>
      <c r="J34" s="79"/>
      <c r="K34" s="80"/>
    </row>
    <row r="35" spans="1:76" ht="13.5" customHeight="1" x14ac:dyDescent="0.25">
      <c r="A35" s="33"/>
      <c r="B35" s="34" t="s">
        <v>61</v>
      </c>
      <c r="C35" s="78" t="s">
        <v>120</v>
      </c>
      <c r="D35" s="79"/>
      <c r="E35" s="79"/>
      <c r="F35" s="79"/>
      <c r="G35" s="79"/>
      <c r="H35" s="79"/>
      <c r="I35" s="79"/>
      <c r="J35" s="79"/>
      <c r="K35" s="80"/>
    </row>
    <row r="36" spans="1:76" x14ac:dyDescent="0.25">
      <c r="A36" s="25" t="s">
        <v>67</v>
      </c>
      <c r="B36" s="26" t="s">
        <v>121</v>
      </c>
      <c r="C36" s="83" t="s">
        <v>122</v>
      </c>
      <c r="D36" s="84"/>
      <c r="E36" s="26" t="s">
        <v>112</v>
      </c>
      <c r="F36" s="28">
        <v>0.63</v>
      </c>
      <c r="G36" s="28">
        <v>0</v>
      </c>
      <c r="H36" s="28">
        <f>ROUND(F36*AO36,2)</f>
        <v>0</v>
      </c>
      <c r="I36" s="28">
        <f>ROUND(F36*AP36,2)</f>
        <v>0</v>
      </c>
      <c r="J36" s="28">
        <f>ROUND(F36*G36,2)</f>
        <v>0</v>
      </c>
      <c r="K36" s="29" t="s">
        <v>57</v>
      </c>
      <c r="Z36" s="30">
        <f>ROUND(IF(AQ36="5",BJ36,0),2)</f>
        <v>0</v>
      </c>
      <c r="AB36" s="30">
        <f>ROUND(IF(AQ36="1",BH36,0),2)</f>
        <v>0</v>
      </c>
      <c r="AC36" s="30">
        <f>ROUND(IF(AQ36="1",BI36,0),2)</f>
        <v>0</v>
      </c>
      <c r="AD36" s="30">
        <f>ROUND(IF(AQ36="7",BH36,0),2)</f>
        <v>0</v>
      </c>
      <c r="AE36" s="30">
        <f>ROUND(IF(AQ36="7",BI36,0),2)</f>
        <v>0</v>
      </c>
      <c r="AF36" s="30">
        <f>ROUND(IF(AQ36="2",BH36,0),2)</f>
        <v>0</v>
      </c>
      <c r="AG36" s="30">
        <f>ROUND(IF(AQ36="2",BI36,0),2)</f>
        <v>0</v>
      </c>
      <c r="AH36" s="30">
        <f>ROUND(IF(AQ36="0",BJ36,0),2)</f>
        <v>0</v>
      </c>
      <c r="AI36" s="11" t="s">
        <v>50</v>
      </c>
      <c r="AJ36" s="28">
        <f>IF(AN36=0,J36,0)</f>
        <v>0</v>
      </c>
      <c r="AK36" s="28">
        <f>IF(AN36=12,J36,0)</f>
        <v>0</v>
      </c>
      <c r="AL36" s="28">
        <f>IF(AN36=21,J36,0)</f>
        <v>0</v>
      </c>
      <c r="AN36" s="30">
        <v>21</v>
      </c>
      <c r="AO36" s="30">
        <f>G36*0.507473034</f>
        <v>0</v>
      </c>
      <c r="AP36" s="30">
        <f>G36*(1-0.507473034)</f>
        <v>0</v>
      </c>
      <c r="AQ36" s="31" t="s">
        <v>53</v>
      </c>
      <c r="AV36" s="30">
        <f>ROUND(AW36+AX36,2)</f>
        <v>0</v>
      </c>
      <c r="AW36" s="30">
        <f>ROUND(F36*AO36,2)</f>
        <v>0</v>
      </c>
      <c r="AX36" s="30">
        <f>ROUND(F36*AP36,2)</f>
        <v>0</v>
      </c>
      <c r="AY36" s="32" t="s">
        <v>113</v>
      </c>
      <c r="AZ36" s="32" t="s">
        <v>114</v>
      </c>
      <c r="BA36" s="11" t="s">
        <v>60</v>
      </c>
      <c r="BC36" s="30">
        <f>AW36+AX36</f>
        <v>0</v>
      </c>
      <c r="BD36" s="30">
        <f>G36/(100-BE36)*100</f>
        <v>0</v>
      </c>
      <c r="BE36" s="30">
        <v>0</v>
      </c>
      <c r="BF36" s="30">
        <f>36</f>
        <v>36</v>
      </c>
      <c r="BH36" s="28">
        <f>F36*AO36</f>
        <v>0</v>
      </c>
      <c r="BI36" s="28">
        <f>F36*AP36</f>
        <v>0</v>
      </c>
      <c r="BJ36" s="28">
        <f>F36*G36</f>
        <v>0</v>
      </c>
      <c r="BK36" s="28"/>
      <c r="BL36" s="30">
        <v>34</v>
      </c>
      <c r="BW36" s="30">
        <v>21</v>
      </c>
      <c r="BX36" s="27" t="s">
        <v>122</v>
      </c>
    </row>
    <row r="37" spans="1:76" ht="13.5" customHeight="1" x14ac:dyDescent="0.25">
      <c r="A37" s="33"/>
      <c r="B37" s="34"/>
      <c r="C37" s="78" t="s">
        <v>123</v>
      </c>
      <c r="D37" s="79"/>
      <c r="E37" s="79"/>
      <c r="F37" s="79"/>
      <c r="G37" s="79"/>
      <c r="H37" s="79"/>
      <c r="I37" s="79"/>
      <c r="J37" s="79"/>
      <c r="K37" s="80"/>
    </row>
    <row r="38" spans="1:76" x14ac:dyDescent="0.25">
      <c r="A38" s="25" t="s">
        <v>124</v>
      </c>
      <c r="B38" s="26" t="s">
        <v>125</v>
      </c>
      <c r="C38" s="83" t="s">
        <v>126</v>
      </c>
      <c r="D38" s="84"/>
      <c r="E38" s="26" t="s">
        <v>127</v>
      </c>
      <c r="F38" s="28">
        <v>44</v>
      </c>
      <c r="G38" s="28">
        <v>0</v>
      </c>
      <c r="H38" s="28">
        <f>ROUND(F38*AO38,2)</f>
        <v>0</v>
      </c>
      <c r="I38" s="28">
        <f>ROUND(F38*AP38,2)</f>
        <v>0</v>
      </c>
      <c r="J38" s="28">
        <f>ROUND(F38*G38,2)</f>
        <v>0</v>
      </c>
      <c r="K38" s="29" t="s">
        <v>57</v>
      </c>
      <c r="Z38" s="30">
        <f>ROUND(IF(AQ38="5",BJ38,0),2)</f>
        <v>0</v>
      </c>
      <c r="AB38" s="30">
        <f>ROUND(IF(AQ38="1",BH38,0),2)</f>
        <v>0</v>
      </c>
      <c r="AC38" s="30">
        <f>ROUND(IF(AQ38="1",BI38,0),2)</f>
        <v>0</v>
      </c>
      <c r="AD38" s="30">
        <f>ROUND(IF(AQ38="7",BH38,0),2)</f>
        <v>0</v>
      </c>
      <c r="AE38" s="30">
        <f>ROUND(IF(AQ38="7",BI38,0),2)</f>
        <v>0</v>
      </c>
      <c r="AF38" s="30">
        <f>ROUND(IF(AQ38="2",BH38,0),2)</f>
        <v>0</v>
      </c>
      <c r="AG38" s="30">
        <f>ROUND(IF(AQ38="2",BI38,0),2)</f>
        <v>0</v>
      </c>
      <c r="AH38" s="30">
        <f>ROUND(IF(AQ38="0",BJ38,0),2)</f>
        <v>0</v>
      </c>
      <c r="AI38" s="11" t="s">
        <v>50</v>
      </c>
      <c r="AJ38" s="28">
        <f>IF(AN38=0,J38,0)</f>
        <v>0</v>
      </c>
      <c r="AK38" s="28">
        <f>IF(AN38=12,J38,0)</f>
        <v>0</v>
      </c>
      <c r="AL38" s="28">
        <f>IF(AN38=21,J38,0)</f>
        <v>0</v>
      </c>
      <c r="AN38" s="30">
        <v>21</v>
      </c>
      <c r="AO38" s="30">
        <f>G38*0.305793195</f>
        <v>0</v>
      </c>
      <c r="AP38" s="30">
        <f>G38*(1-0.305793195)</f>
        <v>0</v>
      </c>
      <c r="AQ38" s="31" t="s">
        <v>53</v>
      </c>
      <c r="AV38" s="30">
        <f>ROUND(AW38+AX38,2)</f>
        <v>0</v>
      </c>
      <c r="AW38" s="30">
        <f>ROUND(F38*AO38,2)</f>
        <v>0</v>
      </c>
      <c r="AX38" s="30">
        <f>ROUND(F38*AP38,2)</f>
        <v>0</v>
      </c>
      <c r="AY38" s="32" t="s">
        <v>113</v>
      </c>
      <c r="AZ38" s="32" t="s">
        <v>114</v>
      </c>
      <c r="BA38" s="11" t="s">
        <v>60</v>
      </c>
      <c r="BC38" s="30">
        <f>AW38+AX38</f>
        <v>0</v>
      </c>
      <c r="BD38" s="30">
        <f>G38/(100-BE38)*100</f>
        <v>0</v>
      </c>
      <c r="BE38" s="30">
        <v>0</v>
      </c>
      <c r="BF38" s="30">
        <f>38</f>
        <v>38</v>
      </c>
      <c r="BH38" s="28">
        <f>F38*AO38</f>
        <v>0</v>
      </c>
      <c r="BI38" s="28">
        <f>F38*AP38</f>
        <v>0</v>
      </c>
      <c r="BJ38" s="28">
        <f>F38*G38</f>
        <v>0</v>
      </c>
      <c r="BK38" s="28"/>
      <c r="BL38" s="30">
        <v>34</v>
      </c>
      <c r="BW38" s="30">
        <v>21</v>
      </c>
      <c r="BX38" s="27" t="s">
        <v>126</v>
      </c>
    </row>
    <row r="39" spans="1:76" x14ac:dyDescent="0.25">
      <c r="A39" s="36" t="s">
        <v>50</v>
      </c>
      <c r="B39" s="37" t="s">
        <v>128</v>
      </c>
      <c r="C39" s="81" t="s">
        <v>129</v>
      </c>
      <c r="D39" s="82"/>
      <c r="E39" s="38" t="s">
        <v>4</v>
      </c>
      <c r="F39" s="38" t="s">
        <v>4</v>
      </c>
      <c r="G39" s="38" t="s">
        <v>4</v>
      </c>
      <c r="H39" s="1">
        <f>SUM(H40:H42)</f>
        <v>0</v>
      </c>
      <c r="I39" s="1">
        <f>SUM(I40:I42)</f>
        <v>0</v>
      </c>
      <c r="J39" s="1">
        <f>SUM(J40:J42)</f>
        <v>0</v>
      </c>
      <c r="K39" s="39" t="s">
        <v>50</v>
      </c>
      <c r="AI39" s="11" t="s">
        <v>50</v>
      </c>
      <c r="AS39" s="1">
        <f>SUM(AJ40:AJ42)</f>
        <v>0</v>
      </c>
      <c r="AT39" s="1">
        <f>SUM(AK40:AK42)</f>
        <v>0</v>
      </c>
      <c r="AU39" s="1">
        <f>SUM(AL40:AL42)</f>
        <v>0</v>
      </c>
    </row>
    <row r="40" spans="1:76" x14ac:dyDescent="0.25">
      <c r="A40" s="25" t="s">
        <v>130</v>
      </c>
      <c r="B40" s="26" t="s">
        <v>131</v>
      </c>
      <c r="C40" s="83" t="s">
        <v>132</v>
      </c>
      <c r="D40" s="84"/>
      <c r="E40" s="26" t="s">
        <v>112</v>
      </c>
      <c r="F40" s="28">
        <v>79.83</v>
      </c>
      <c r="G40" s="28">
        <v>0</v>
      </c>
      <c r="H40" s="28">
        <f>ROUND(F40*AO40,2)</f>
        <v>0</v>
      </c>
      <c r="I40" s="28">
        <f>ROUND(F40*AP40,2)</f>
        <v>0</v>
      </c>
      <c r="J40" s="28">
        <f>ROUND(F40*G40,2)</f>
        <v>0</v>
      </c>
      <c r="K40" s="29" t="s">
        <v>57</v>
      </c>
      <c r="Z40" s="30">
        <f>ROUND(IF(AQ40="5",BJ40,0),2)</f>
        <v>0</v>
      </c>
      <c r="AB40" s="30">
        <f>ROUND(IF(AQ40="1",BH40,0),2)</f>
        <v>0</v>
      </c>
      <c r="AC40" s="30">
        <f>ROUND(IF(AQ40="1",BI40,0),2)</f>
        <v>0</v>
      </c>
      <c r="AD40" s="30">
        <f>ROUND(IF(AQ40="7",BH40,0),2)</f>
        <v>0</v>
      </c>
      <c r="AE40" s="30">
        <f>ROUND(IF(AQ40="7",BI40,0),2)</f>
        <v>0</v>
      </c>
      <c r="AF40" s="30">
        <f>ROUND(IF(AQ40="2",BH40,0),2)</f>
        <v>0</v>
      </c>
      <c r="AG40" s="30">
        <f>ROUND(IF(AQ40="2",BI40,0),2)</f>
        <v>0</v>
      </c>
      <c r="AH40" s="30">
        <f>ROUND(IF(AQ40="0",BJ40,0),2)</f>
        <v>0</v>
      </c>
      <c r="AI40" s="11" t="s">
        <v>50</v>
      </c>
      <c r="AJ40" s="28">
        <f>IF(AN40=0,J40,0)</f>
        <v>0</v>
      </c>
      <c r="AK40" s="28">
        <f>IF(AN40=12,J40,0)</f>
        <v>0</v>
      </c>
      <c r="AL40" s="28">
        <f>IF(AN40=21,J40,0)</f>
        <v>0</v>
      </c>
      <c r="AN40" s="30">
        <v>21</v>
      </c>
      <c r="AO40" s="30">
        <f>G40*0.312807524</f>
        <v>0</v>
      </c>
      <c r="AP40" s="30">
        <f>G40*(1-0.312807524)</f>
        <v>0</v>
      </c>
      <c r="AQ40" s="31" t="s">
        <v>53</v>
      </c>
      <c r="AV40" s="30">
        <f>ROUND(AW40+AX40,2)</f>
        <v>0</v>
      </c>
      <c r="AW40" s="30">
        <f>ROUND(F40*AO40,2)</f>
        <v>0</v>
      </c>
      <c r="AX40" s="30">
        <f>ROUND(F40*AP40,2)</f>
        <v>0</v>
      </c>
      <c r="AY40" s="32" t="s">
        <v>133</v>
      </c>
      <c r="AZ40" s="32" t="s">
        <v>134</v>
      </c>
      <c r="BA40" s="11" t="s">
        <v>60</v>
      </c>
      <c r="BC40" s="30">
        <f>AW40+AX40</f>
        <v>0</v>
      </c>
      <c r="BD40" s="30">
        <f>G40/(100-BE40)*100</f>
        <v>0</v>
      </c>
      <c r="BE40" s="30">
        <v>0</v>
      </c>
      <c r="BF40" s="30">
        <f>40</f>
        <v>40</v>
      </c>
      <c r="BH40" s="28">
        <f>F40*AO40</f>
        <v>0</v>
      </c>
      <c r="BI40" s="28">
        <f>F40*AP40</f>
        <v>0</v>
      </c>
      <c r="BJ40" s="28">
        <f>F40*G40</f>
        <v>0</v>
      </c>
      <c r="BK40" s="28"/>
      <c r="BL40" s="30">
        <v>61</v>
      </c>
      <c r="BW40" s="30">
        <v>21</v>
      </c>
      <c r="BX40" s="27" t="s">
        <v>132</v>
      </c>
    </row>
    <row r="41" spans="1:76" x14ac:dyDescent="0.25">
      <c r="A41" s="25" t="s">
        <v>73</v>
      </c>
      <c r="B41" s="26" t="s">
        <v>135</v>
      </c>
      <c r="C41" s="83" t="s">
        <v>136</v>
      </c>
      <c r="D41" s="84"/>
      <c r="E41" s="26" t="s">
        <v>112</v>
      </c>
      <c r="F41" s="28">
        <v>56.472000000000001</v>
      </c>
      <c r="G41" s="28">
        <v>0</v>
      </c>
      <c r="H41" s="28">
        <f>ROUND(F41*AO41,2)</f>
        <v>0</v>
      </c>
      <c r="I41" s="28">
        <f>ROUND(F41*AP41,2)</f>
        <v>0</v>
      </c>
      <c r="J41" s="28">
        <f>ROUND(F41*G41,2)</f>
        <v>0</v>
      </c>
      <c r="K41" s="29" t="s">
        <v>57</v>
      </c>
      <c r="Z41" s="30">
        <f>ROUND(IF(AQ41="5",BJ41,0),2)</f>
        <v>0</v>
      </c>
      <c r="AB41" s="30">
        <f>ROUND(IF(AQ41="1",BH41,0),2)</f>
        <v>0</v>
      </c>
      <c r="AC41" s="30">
        <f>ROUND(IF(AQ41="1",BI41,0),2)</f>
        <v>0</v>
      </c>
      <c r="AD41" s="30">
        <f>ROUND(IF(AQ41="7",BH41,0),2)</f>
        <v>0</v>
      </c>
      <c r="AE41" s="30">
        <f>ROUND(IF(AQ41="7",BI41,0),2)</f>
        <v>0</v>
      </c>
      <c r="AF41" s="30">
        <f>ROUND(IF(AQ41="2",BH41,0),2)</f>
        <v>0</v>
      </c>
      <c r="AG41" s="30">
        <f>ROUND(IF(AQ41="2",BI41,0),2)</f>
        <v>0</v>
      </c>
      <c r="AH41" s="30">
        <f>ROUND(IF(AQ41="0",BJ41,0),2)</f>
        <v>0</v>
      </c>
      <c r="AI41" s="11" t="s">
        <v>50</v>
      </c>
      <c r="AJ41" s="28">
        <f>IF(AN41=0,J41,0)</f>
        <v>0</v>
      </c>
      <c r="AK41" s="28">
        <f>IF(AN41=12,J41,0)</f>
        <v>0</v>
      </c>
      <c r="AL41" s="28">
        <f>IF(AN41=21,J41,0)</f>
        <v>0</v>
      </c>
      <c r="AN41" s="30">
        <v>21</v>
      </c>
      <c r="AO41" s="30">
        <f>G41*0.138645205</f>
        <v>0</v>
      </c>
      <c r="AP41" s="30">
        <f>G41*(1-0.138645205)</f>
        <v>0</v>
      </c>
      <c r="AQ41" s="31" t="s">
        <v>53</v>
      </c>
      <c r="AV41" s="30">
        <f>ROUND(AW41+AX41,2)</f>
        <v>0</v>
      </c>
      <c r="AW41" s="30">
        <f>ROUND(F41*AO41,2)</f>
        <v>0</v>
      </c>
      <c r="AX41" s="30">
        <f>ROUND(F41*AP41,2)</f>
        <v>0</v>
      </c>
      <c r="AY41" s="32" t="s">
        <v>133</v>
      </c>
      <c r="AZ41" s="32" t="s">
        <v>134</v>
      </c>
      <c r="BA41" s="11" t="s">
        <v>60</v>
      </c>
      <c r="BC41" s="30">
        <f>AW41+AX41</f>
        <v>0</v>
      </c>
      <c r="BD41" s="30">
        <f>G41/(100-BE41)*100</f>
        <v>0</v>
      </c>
      <c r="BE41" s="30">
        <v>0</v>
      </c>
      <c r="BF41" s="30">
        <f>41</f>
        <v>41</v>
      </c>
      <c r="BH41" s="28">
        <f>F41*AO41</f>
        <v>0</v>
      </c>
      <c r="BI41" s="28">
        <f>F41*AP41</f>
        <v>0</v>
      </c>
      <c r="BJ41" s="28">
        <f>F41*G41</f>
        <v>0</v>
      </c>
      <c r="BK41" s="28"/>
      <c r="BL41" s="30">
        <v>61</v>
      </c>
      <c r="BW41" s="30">
        <v>21</v>
      </c>
      <c r="BX41" s="27" t="s">
        <v>136</v>
      </c>
    </row>
    <row r="42" spans="1:76" x14ac:dyDescent="0.25">
      <c r="A42" s="25" t="s">
        <v>88</v>
      </c>
      <c r="B42" s="26" t="s">
        <v>137</v>
      </c>
      <c r="C42" s="83" t="s">
        <v>138</v>
      </c>
      <c r="D42" s="84"/>
      <c r="E42" s="26" t="s">
        <v>112</v>
      </c>
      <c r="F42" s="28">
        <v>66.09</v>
      </c>
      <c r="G42" s="28">
        <v>0</v>
      </c>
      <c r="H42" s="28">
        <f>ROUND(F42*AO42,2)</f>
        <v>0</v>
      </c>
      <c r="I42" s="28">
        <f>ROUND(F42*AP42,2)</f>
        <v>0</v>
      </c>
      <c r="J42" s="28">
        <f>ROUND(F42*G42,2)</f>
        <v>0</v>
      </c>
      <c r="K42" s="29" t="s">
        <v>57</v>
      </c>
      <c r="Z42" s="30">
        <f>ROUND(IF(AQ42="5",BJ42,0),2)</f>
        <v>0</v>
      </c>
      <c r="AB42" s="30">
        <f>ROUND(IF(AQ42="1",BH42,0),2)</f>
        <v>0</v>
      </c>
      <c r="AC42" s="30">
        <f>ROUND(IF(AQ42="1",BI42,0),2)</f>
        <v>0</v>
      </c>
      <c r="AD42" s="30">
        <f>ROUND(IF(AQ42="7",BH42,0),2)</f>
        <v>0</v>
      </c>
      <c r="AE42" s="30">
        <f>ROUND(IF(AQ42="7",BI42,0),2)</f>
        <v>0</v>
      </c>
      <c r="AF42" s="30">
        <f>ROUND(IF(AQ42="2",BH42,0),2)</f>
        <v>0</v>
      </c>
      <c r="AG42" s="30">
        <f>ROUND(IF(AQ42="2",BI42,0),2)</f>
        <v>0</v>
      </c>
      <c r="AH42" s="30">
        <f>ROUND(IF(AQ42="0",BJ42,0),2)</f>
        <v>0</v>
      </c>
      <c r="AI42" s="11" t="s">
        <v>50</v>
      </c>
      <c r="AJ42" s="28">
        <f>IF(AN42=0,J42,0)</f>
        <v>0</v>
      </c>
      <c r="AK42" s="28">
        <f>IF(AN42=12,J42,0)</f>
        <v>0</v>
      </c>
      <c r="AL42" s="28">
        <f>IF(AN42=21,J42,0)</f>
        <v>0</v>
      </c>
      <c r="AN42" s="30">
        <v>21</v>
      </c>
      <c r="AO42" s="30">
        <f>G42*0.165984695</f>
        <v>0</v>
      </c>
      <c r="AP42" s="30">
        <f>G42*(1-0.165984695)</f>
        <v>0</v>
      </c>
      <c r="AQ42" s="31" t="s">
        <v>53</v>
      </c>
      <c r="AV42" s="30">
        <f>ROUND(AW42+AX42,2)</f>
        <v>0</v>
      </c>
      <c r="AW42" s="30">
        <f>ROUND(F42*AO42,2)</f>
        <v>0</v>
      </c>
      <c r="AX42" s="30">
        <f>ROUND(F42*AP42,2)</f>
        <v>0</v>
      </c>
      <c r="AY42" s="32" t="s">
        <v>133</v>
      </c>
      <c r="AZ42" s="32" t="s">
        <v>134</v>
      </c>
      <c r="BA42" s="11" t="s">
        <v>60</v>
      </c>
      <c r="BC42" s="30">
        <f>AW42+AX42</f>
        <v>0</v>
      </c>
      <c r="BD42" s="30">
        <f>G42/(100-BE42)*100</f>
        <v>0</v>
      </c>
      <c r="BE42" s="30">
        <v>0</v>
      </c>
      <c r="BF42" s="30">
        <f>42</f>
        <v>42</v>
      </c>
      <c r="BH42" s="28">
        <f>F42*AO42</f>
        <v>0</v>
      </c>
      <c r="BI42" s="28">
        <f>F42*AP42</f>
        <v>0</v>
      </c>
      <c r="BJ42" s="28">
        <f>F42*G42</f>
        <v>0</v>
      </c>
      <c r="BK42" s="28"/>
      <c r="BL42" s="30">
        <v>61</v>
      </c>
      <c r="BW42" s="30">
        <v>21</v>
      </c>
      <c r="BX42" s="27" t="s">
        <v>138</v>
      </c>
    </row>
    <row r="43" spans="1:76" x14ac:dyDescent="0.25">
      <c r="A43" s="36" t="s">
        <v>50</v>
      </c>
      <c r="B43" s="37" t="s">
        <v>139</v>
      </c>
      <c r="C43" s="81" t="s">
        <v>140</v>
      </c>
      <c r="D43" s="82"/>
      <c r="E43" s="38" t="s">
        <v>4</v>
      </c>
      <c r="F43" s="38" t="s">
        <v>4</v>
      </c>
      <c r="G43" s="38" t="s">
        <v>4</v>
      </c>
      <c r="H43" s="1">
        <f>SUM(H44:H73)</f>
        <v>0</v>
      </c>
      <c r="I43" s="1">
        <f>SUM(I44:I73)</f>
        <v>0</v>
      </c>
      <c r="J43" s="1">
        <f>SUM(J44:J73)</f>
        <v>0</v>
      </c>
      <c r="K43" s="39" t="s">
        <v>50</v>
      </c>
      <c r="AI43" s="11" t="s">
        <v>50</v>
      </c>
      <c r="AS43" s="1">
        <f>SUM(AJ44:AJ73)</f>
        <v>0</v>
      </c>
      <c r="AT43" s="1">
        <f>SUM(AK44:AK73)</f>
        <v>0</v>
      </c>
      <c r="AU43" s="1">
        <f>SUM(AL44:AL73)</f>
        <v>0</v>
      </c>
    </row>
    <row r="44" spans="1:76" x14ac:dyDescent="0.25">
      <c r="A44" s="25" t="s">
        <v>141</v>
      </c>
      <c r="B44" s="26" t="s">
        <v>142</v>
      </c>
      <c r="C44" s="83" t="s">
        <v>143</v>
      </c>
      <c r="D44" s="84"/>
      <c r="E44" s="26" t="s">
        <v>112</v>
      </c>
      <c r="F44" s="28">
        <v>79.83</v>
      </c>
      <c r="G44" s="28">
        <v>0</v>
      </c>
      <c r="H44" s="28">
        <f>ROUND(F44*AO44,2)</f>
        <v>0</v>
      </c>
      <c r="I44" s="28">
        <f>ROUND(F44*AP44,2)</f>
        <v>0</v>
      </c>
      <c r="J44" s="28">
        <f>ROUND(F44*G44,2)</f>
        <v>0</v>
      </c>
      <c r="K44" s="29" t="s">
        <v>57</v>
      </c>
      <c r="Z44" s="30">
        <f>ROUND(IF(AQ44="5",BJ44,0),2)</f>
        <v>0</v>
      </c>
      <c r="AB44" s="30">
        <f>ROUND(IF(AQ44="1",BH44,0),2)</f>
        <v>0</v>
      </c>
      <c r="AC44" s="30">
        <f>ROUND(IF(AQ44="1",BI44,0),2)</f>
        <v>0</v>
      </c>
      <c r="AD44" s="30">
        <f>ROUND(IF(AQ44="7",BH44,0),2)</f>
        <v>0</v>
      </c>
      <c r="AE44" s="30">
        <f>ROUND(IF(AQ44="7",BI44,0),2)</f>
        <v>0</v>
      </c>
      <c r="AF44" s="30">
        <f>ROUND(IF(AQ44="2",BH44,0),2)</f>
        <v>0</v>
      </c>
      <c r="AG44" s="30">
        <f>ROUND(IF(AQ44="2",BI44,0),2)</f>
        <v>0</v>
      </c>
      <c r="AH44" s="30">
        <f>ROUND(IF(AQ44="0",BJ44,0),2)</f>
        <v>0</v>
      </c>
      <c r="AI44" s="11" t="s">
        <v>50</v>
      </c>
      <c r="AJ44" s="28">
        <f>IF(AN44=0,J44,0)</f>
        <v>0</v>
      </c>
      <c r="AK44" s="28">
        <f>IF(AN44=12,J44,0)</f>
        <v>0</v>
      </c>
      <c r="AL44" s="28">
        <f>IF(AN44=21,J44,0)</f>
        <v>0</v>
      </c>
      <c r="AN44" s="30">
        <v>21</v>
      </c>
      <c r="AO44" s="30">
        <f>G44*0.313895996</f>
        <v>0</v>
      </c>
      <c r="AP44" s="30">
        <f>G44*(1-0.313895996)</f>
        <v>0</v>
      </c>
      <c r="AQ44" s="31" t="s">
        <v>53</v>
      </c>
      <c r="AV44" s="30">
        <f>ROUND(AW44+AX44,2)</f>
        <v>0</v>
      </c>
      <c r="AW44" s="30">
        <f>ROUND(F44*AO44,2)</f>
        <v>0</v>
      </c>
      <c r="AX44" s="30">
        <f>ROUND(F44*AP44,2)</f>
        <v>0</v>
      </c>
      <c r="AY44" s="32" t="s">
        <v>144</v>
      </c>
      <c r="AZ44" s="32" t="s">
        <v>134</v>
      </c>
      <c r="BA44" s="11" t="s">
        <v>60</v>
      </c>
      <c r="BC44" s="30">
        <f>AW44+AX44</f>
        <v>0</v>
      </c>
      <c r="BD44" s="30">
        <f>G44/(100-BE44)*100</f>
        <v>0</v>
      </c>
      <c r="BE44" s="30">
        <v>0</v>
      </c>
      <c r="BF44" s="30">
        <f>44</f>
        <v>44</v>
      </c>
      <c r="BH44" s="28">
        <f>F44*AO44</f>
        <v>0</v>
      </c>
      <c r="BI44" s="28">
        <f>F44*AP44</f>
        <v>0</v>
      </c>
      <c r="BJ44" s="28">
        <f>F44*G44</f>
        <v>0</v>
      </c>
      <c r="BK44" s="28"/>
      <c r="BL44" s="30">
        <v>62</v>
      </c>
      <c r="BW44" s="30">
        <v>21</v>
      </c>
      <c r="BX44" s="27" t="s">
        <v>143</v>
      </c>
    </row>
    <row r="45" spans="1:76" x14ac:dyDescent="0.25">
      <c r="A45" s="25" t="s">
        <v>94</v>
      </c>
      <c r="B45" s="26" t="s">
        <v>145</v>
      </c>
      <c r="C45" s="83" t="s">
        <v>146</v>
      </c>
      <c r="D45" s="84"/>
      <c r="E45" s="26" t="s">
        <v>112</v>
      </c>
      <c r="F45" s="28">
        <v>303.62009999999998</v>
      </c>
      <c r="G45" s="28">
        <v>0</v>
      </c>
      <c r="H45" s="28">
        <f>ROUND(F45*AO45,2)</f>
        <v>0</v>
      </c>
      <c r="I45" s="28">
        <f>ROUND(F45*AP45,2)</f>
        <v>0</v>
      </c>
      <c r="J45" s="28">
        <f>ROUND(F45*G45,2)</f>
        <v>0</v>
      </c>
      <c r="K45" s="29" t="s">
        <v>57</v>
      </c>
      <c r="Z45" s="30">
        <f>ROUND(IF(AQ45="5",BJ45,0),2)</f>
        <v>0</v>
      </c>
      <c r="AB45" s="30">
        <f>ROUND(IF(AQ45="1",BH45,0),2)</f>
        <v>0</v>
      </c>
      <c r="AC45" s="30">
        <f>ROUND(IF(AQ45="1",BI45,0),2)</f>
        <v>0</v>
      </c>
      <c r="AD45" s="30">
        <f>ROUND(IF(AQ45="7",BH45,0),2)</f>
        <v>0</v>
      </c>
      <c r="AE45" s="30">
        <f>ROUND(IF(AQ45="7",BI45,0),2)</f>
        <v>0</v>
      </c>
      <c r="AF45" s="30">
        <f>ROUND(IF(AQ45="2",BH45,0),2)</f>
        <v>0</v>
      </c>
      <c r="AG45" s="30">
        <f>ROUND(IF(AQ45="2",BI45,0),2)</f>
        <v>0</v>
      </c>
      <c r="AH45" s="30">
        <f>ROUND(IF(AQ45="0",BJ45,0),2)</f>
        <v>0</v>
      </c>
      <c r="AI45" s="11" t="s">
        <v>50</v>
      </c>
      <c r="AJ45" s="28">
        <f>IF(AN45=0,J45,0)</f>
        <v>0</v>
      </c>
      <c r="AK45" s="28">
        <f>IF(AN45=12,J45,0)</f>
        <v>0</v>
      </c>
      <c r="AL45" s="28">
        <f>IF(AN45=21,J45,0)</f>
        <v>0</v>
      </c>
      <c r="AN45" s="30">
        <v>21</v>
      </c>
      <c r="AO45" s="30">
        <f>G45*0.869721538</f>
        <v>0</v>
      </c>
      <c r="AP45" s="30">
        <f>G45*(1-0.869721538)</f>
        <v>0</v>
      </c>
      <c r="AQ45" s="31" t="s">
        <v>53</v>
      </c>
      <c r="AV45" s="30">
        <f>ROUND(AW45+AX45,2)</f>
        <v>0</v>
      </c>
      <c r="AW45" s="30">
        <f>ROUND(F45*AO45,2)</f>
        <v>0</v>
      </c>
      <c r="AX45" s="30">
        <f>ROUND(F45*AP45,2)</f>
        <v>0</v>
      </c>
      <c r="AY45" s="32" t="s">
        <v>144</v>
      </c>
      <c r="AZ45" s="32" t="s">
        <v>134</v>
      </c>
      <c r="BA45" s="11" t="s">
        <v>60</v>
      </c>
      <c r="BC45" s="30">
        <f>AW45+AX45</f>
        <v>0</v>
      </c>
      <c r="BD45" s="30">
        <f>G45/(100-BE45)*100</f>
        <v>0</v>
      </c>
      <c r="BE45" s="30">
        <v>0</v>
      </c>
      <c r="BF45" s="30">
        <f>45</f>
        <v>45</v>
      </c>
      <c r="BH45" s="28">
        <f>F45*AO45</f>
        <v>0</v>
      </c>
      <c r="BI45" s="28">
        <f>F45*AP45</f>
        <v>0</v>
      </c>
      <c r="BJ45" s="28">
        <f>F45*G45</f>
        <v>0</v>
      </c>
      <c r="BK45" s="28"/>
      <c r="BL45" s="30">
        <v>62</v>
      </c>
      <c r="BW45" s="30">
        <v>21</v>
      </c>
      <c r="BX45" s="27" t="s">
        <v>146</v>
      </c>
    </row>
    <row r="46" spans="1:76" ht="13.5" customHeight="1" x14ac:dyDescent="0.25">
      <c r="A46" s="33"/>
      <c r="B46" s="34"/>
      <c r="C46" s="78" t="s">
        <v>147</v>
      </c>
      <c r="D46" s="79"/>
      <c r="E46" s="79"/>
      <c r="F46" s="79"/>
      <c r="G46" s="79"/>
      <c r="H46" s="79"/>
      <c r="I46" s="79"/>
      <c r="J46" s="79"/>
      <c r="K46" s="80"/>
    </row>
    <row r="47" spans="1:76" x14ac:dyDescent="0.25">
      <c r="A47" s="33"/>
      <c r="C47" s="35" t="s">
        <v>148</v>
      </c>
      <c r="D47" s="35" t="s">
        <v>149</v>
      </c>
      <c r="F47" s="40">
        <v>104.262</v>
      </c>
      <c r="K47" s="41"/>
    </row>
    <row r="48" spans="1:76" x14ac:dyDescent="0.25">
      <c r="A48" s="33"/>
      <c r="C48" s="35" t="s">
        <v>150</v>
      </c>
      <c r="D48" s="35" t="s">
        <v>151</v>
      </c>
      <c r="F48" s="40">
        <v>86.731099999999998</v>
      </c>
      <c r="K48" s="41"/>
    </row>
    <row r="49" spans="1:76" x14ac:dyDescent="0.25">
      <c r="A49" s="33"/>
      <c r="C49" s="35" t="s">
        <v>152</v>
      </c>
      <c r="D49" s="35" t="s">
        <v>153</v>
      </c>
      <c r="F49" s="40">
        <v>76.691000000000003</v>
      </c>
      <c r="K49" s="41"/>
    </row>
    <row r="50" spans="1:76" x14ac:dyDescent="0.25">
      <c r="A50" s="33"/>
      <c r="C50" s="35" t="s">
        <v>154</v>
      </c>
      <c r="D50" s="35" t="s">
        <v>155</v>
      </c>
      <c r="F50" s="40">
        <v>35.936</v>
      </c>
      <c r="K50" s="41"/>
    </row>
    <row r="51" spans="1:76" x14ac:dyDescent="0.25">
      <c r="A51" s="25" t="s">
        <v>156</v>
      </c>
      <c r="B51" s="26" t="s">
        <v>157</v>
      </c>
      <c r="C51" s="83" t="s">
        <v>158</v>
      </c>
      <c r="D51" s="84"/>
      <c r="E51" s="26" t="s">
        <v>112</v>
      </c>
      <c r="F51" s="28">
        <v>15.093999999999999</v>
      </c>
      <c r="G51" s="28">
        <v>0</v>
      </c>
      <c r="H51" s="28">
        <f>ROUND(F51*AO51,2)</f>
        <v>0</v>
      </c>
      <c r="I51" s="28">
        <f>ROUND(F51*AP51,2)</f>
        <v>0</v>
      </c>
      <c r="J51" s="28">
        <f>ROUND(F51*G51,2)</f>
        <v>0</v>
      </c>
      <c r="K51" s="29" t="s">
        <v>57</v>
      </c>
      <c r="Z51" s="30">
        <f>ROUND(IF(AQ51="5",BJ51,0),2)</f>
        <v>0</v>
      </c>
      <c r="AB51" s="30">
        <f>ROUND(IF(AQ51="1",BH51,0),2)</f>
        <v>0</v>
      </c>
      <c r="AC51" s="30">
        <f>ROUND(IF(AQ51="1",BI51,0),2)</f>
        <v>0</v>
      </c>
      <c r="AD51" s="30">
        <f>ROUND(IF(AQ51="7",BH51,0),2)</f>
        <v>0</v>
      </c>
      <c r="AE51" s="30">
        <f>ROUND(IF(AQ51="7",BI51,0),2)</f>
        <v>0</v>
      </c>
      <c r="AF51" s="30">
        <f>ROUND(IF(AQ51="2",BH51,0),2)</f>
        <v>0</v>
      </c>
      <c r="AG51" s="30">
        <f>ROUND(IF(AQ51="2",BI51,0),2)</f>
        <v>0</v>
      </c>
      <c r="AH51" s="30">
        <f>ROUND(IF(AQ51="0",BJ51,0),2)</f>
        <v>0</v>
      </c>
      <c r="AI51" s="11" t="s">
        <v>50</v>
      </c>
      <c r="AJ51" s="28">
        <f>IF(AN51=0,J51,0)</f>
        <v>0</v>
      </c>
      <c r="AK51" s="28">
        <f>IF(AN51=12,J51,0)</f>
        <v>0</v>
      </c>
      <c r="AL51" s="28">
        <f>IF(AN51=21,J51,0)</f>
        <v>0</v>
      </c>
      <c r="AN51" s="30">
        <v>21</v>
      </c>
      <c r="AO51" s="30">
        <f>G51*0.442395751</f>
        <v>0</v>
      </c>
      <c r="AP51" s="30">
        <f>G51*(1-0.442395751)</f>
        <v>0</v>
      </c>
      <c r="AQ51" s="31" t="s">
        <v>53</v>
      </c>
      <c r="AV51" s="30">
        <f>ROUND(AW51+AX51,2)</f>
        <v>0</v>
      </c>
      <c r="AW51" s="30">
        <f>ROUND(F51*AO51,2)</f>
        <v>0</v>
      </c>
      <c r="AX51" s="30">
        <f>ROUND(F51*AP51,2)</f>
        <v>0</v>
      </c>
      <c r="AY51" s="32" t="s">
        <v>144</v>
      </c>
      <c r="AZ51" s="32" t="s">
        <v>134</v>
      </c>
      <c r="BA51" s="11" t="s">
        <v>60</v>
      </c>
      <c r="BC51" s="30">
        <f>AW51+AX51</f>
        <v>0</v>
      </c>
      <c r="BD51" s="30">
        <f>G51/(100-BE51)*100</f>
        <v>0</v>
      </c>
      <c r="BE51" s="30">
        <v>0</v>
      </c>
      <c r="BF51" s="30">
        <f>51</f>
        <v>51</v>
      </c>
      <c r="BH51" s="28">
        <f>F51*AO51</f>
        <v>0</v>
      </c>
      <c r="BI51" s="28">
        <f>F51*AP51</f>
        <v>0</v>
      </c>
      <c r="BJ51" s="28">
        <f>F51*G51</f>
        <v>0</v>
      </c>
      <c r="BK51" s="28"/>
      <c r="BL51" s="30">
        <v>62</v>
      </c>
      <c r="BW51" s="30">
        <v>21</v>
      </c>
      <c r="BX51" s="27" t="s">
        <v>158</v>
      </c>
    </row>
    <row r="52" spans="1:76" ht="13.5" customHeight="1" x14ac:dyDescent="0.25">
      <c r="A52" s="33"/>
      <c r="B52" s="34"/>
      <c r="C52" s="78" t="s">
        <v>147</v>
      </c>
      <c r="D52" s="79"/>
      <c r="E52" s="79"/>
      <c r="F52" s="79"/>
      <c r="G52" s="79"/>
      <c r="H52" s="79"/>
      <c r="I52" s="79"/>
      <c r="J52" s="79"/>
      <c r="K52" s="80"/>
    </row>
    <row r="53" spans="1:76" x14ac:dyDescent="0.25">
      <c r="A53" s="33"/>
      <c r="C53" s="35" t="s">
        <v>159</v>
      </c>
      <c r="D53" s="35" t="s">
        <v>149</v>
      </c>
      <c r="F53" s="40">
        <v>15.093999999999999</v>
      </c>
      <c r="K53" s="41"/>
    </row>
    <row r="54" spans="1:76" x14ac:dyDescent="0.25">
      <c r="A54" s="25" t="s">
        <v>160</v>
      </c>
      <c r="B54" s="26" t="s">
        <v>161</v>
      </c>
      <c r="C54" s="83" t="s">
        <v>158</v>
      </c>
      <c r="D54" s="84"/>
      <c r="E54" s="26" t="s">
        <v>112</v>
      </c>
      <c r="F54" s="28">
        <v>70.599999999999994</v>
      </c>
      <c r="G54" s="28">
        <v>0</v>
      </c>
      <c r="H54" s="28">
        <f>ROUND(F54*AO54,2)</f>
        <v>0</v>
      </c>
      <c r="I54" s="28">
        <f>ROUND(F54*AP54,2)</f>
        <v>0</v>
      </c>
      <c r="J54" s="28">
        <f>ROUND(F54*G54,2)</f>
        <v>0</v>
      </c>
      <c r="K54" s="29" t="s">
        <v>57</v>
      </c>
      <c r="Z54" s="30">
        <f>ROUND(IF(AQ54="5",BJ54,0),2)</f>
        <v>0</v>
      </c>
      <c r="AB54" s="30">
        <f>ROUND(IF(AQ54="1",BH54,0),2)</f>
        <v>0</v>
      </c>
      <c r="AC54" s="30">
        <f>ROUND(IF(AQ54="1",BI54,0),2)</f>
        <v>0</v>
      </c>
      <c r="AD54" s="30">
        <f>ROUND(IF(AQ54="7",BH54,0),2)</f>
        <v>0</v>
      </c>
      <c r="AE54" s="30">
        <f>ROUND(IF(AQ54="7",BI54,0),2)</f>
        <v>0</v>
      </c>
      <c r="AF54" s="30">
        <f>ROUND(IF(AQ54="2",BH54,0),2)</f>
        <v>0</v>
      </c>
      <c r="AG54" s="30">
        <f>ROUND(IF(AQ54="2",BI54,0),2)</f>
        <v>0</v>
      </c>
      <c r="AH54" s="30">
        <f>ROUND(IF(AQ54="0",BJ54,0),2)</f>
        <v>0</v>
      </c>
      <c r="AI54" s="11" t="s">
        <v>50</v>
      </c>
      <c r="AJ54" s="28">
        <f>IF(AN54=0,J54,0)</f>
        <v>0</v>
      </c>
      <c r="AK54" s="28">
        <f>IF(AN54=12,J54,0)</f>
        <v>0</v>
      </c>
      <c r="AL54" s="28">
        <f>IF(AN54=21,J54,0)</f>
        <v>0</v>
      </c>
      <c r="AN54" s="30">
        <v>21</v>
      </c>
      <c r="AO54" s="30">
        <f>G54*0.436600786</f>
        <v>0</v>
      </c>
      <c r="AP54" s="30">
        <f>G54*(1-0.436600786)</f>
        <v>0</v>
      </c>
      <c r="AQ54" s="31" t="s">
        <v>53</v>
      </c>
      <c r="AV54" s="30">
        <f>ROUND(AW54+AX54,2)</f>
        <v>0</v>
      </c>
      <c r="AW54" s="30">
        <f>ROUND(F54*AO54,2)</f>
        <v>0</v>
      </c>
      <c r="AX54" s="30">
        <f>ROUND(F54*AP54,2)</f>
        <v>0</v>
      </c>
      <c r="AY54" s="32" t="s">
        <v>144</v>
      </c>
      <c r="AZ54" s="32" t="s">
        <v>134</v>
      </c>
      <c r="BA54" s="11" t="s">
        <v>60</v>
      </c>
      <c r="BC54" s="30">
        <f>AW54+AX54</f>
        <v>0</v>
      </c>
      <c r="BD54" s="30">
        <f>G54/(100-BE54)*100</f>
        <v>0</v>
      </c>
      <c r="BE54" s="30">
        <v>0</v>
      </c>
      <c r="BF54" s="30">
        <f>54</f>
        <v>54</v>
      </c>
      <c r="BH54" s="28">
        <f>F54*AO54</f>
        <v>0</v>
      </c>
      <c r="BI54" s="28">
        <f>F54*AP54</f>
        <v>0</v>
      </c>
      <c r="BJ54" s="28">
        <f>F54*G54</f>
        <v>0</v>
      </c>
      <c r="BK54" s="28"/>
      <c r="BL54" s="30">
        <v>62</v>
      </c>
      <c r="BW54" s="30">
        <v>21</v>
      </c>
      <c r="BX54" s="27" t="s">
        <v>158</v>
      </c>
    </row>
    <row r="55" spans="1:76" ht="13.5" customHeight="1" x14ac:dyDescent="0.25">
      <c r="A55" s="33"/>
      <c r="B55" s="34"/>
      <c r="C55" s="78" t="s">
        <v>162</v>
      </c>
      <c r="D55" s="79"/>
      <c r="E55" s="79"/>
      <c r="F55" s="79"/>
      <c r="G55" s="79"/>
      <c r="H55" s="79"/>
      <c r="I55" s="79"/>
      <c r="J55" s="79"/>
      <c r="K55" s="80"/>
    </row>
    <row r="56" spans="1:76" ht="13.5" customHeight="1" x14ac:dyDescent="0.25">
      <c r="A56" s="33"/>
      <c r="B56" s="34" t="s">
        <v>61</v>
      </c>
      <c r="C56" s="78" t="s">
        <v>163</v>
      </c>
      <c r="D56" s="79"/>
      <c r="E56" s="79"/>
      <c r="F56" s="79"/>
      <c r="G56" s="79"/>
      <c r="H56" s="79"/>
      <c r="I56" s="79"/>
      <c r="J56" s="79"/>
      <c r="K56" s="80"/>
    </row>
    <row r="57" spans="1:76" x14ac:dyDescent="0.25">
      <c r="A57" s="25" t="s">
        <v>164</v>
      </c>
      <c r="B57" s="26" t="s">
        <v>165</v>
      </c>
      <c r="C57" s="83" t="s">
        <v>548</v>
      </c>
      <c r="D57" s="84"/>
      <c r="E57" s="26" t="s">
        <v>112</v>
      </c>
      <c r="F57" s="28">
        <v>42.884999999999998</v>
      </c>
      <c r="G57" s="28">
        <v>0</v>
      </c>
      <c r="H57" s="28">
        <f>ROUND(F57*AO57,2)</f>
        <v>0</v>
      </c>
      <c r="I57" s="28">
        <f>ROUND(F57*AP57,2)</f>
        <v>0</v>
      </c>
      <c r="J57" s="28">
        <f>ROUND(F57*G57,2)</f>
        <v>0</v>
      </c>
      <c r="K57" s="29" t="s">
        <v>57</v>
      </c>
      <c r="Z57" s="30">
        <f>ROUND(IF(AQ57="5",BJ57,0),2)</f>
        <v>0</v>
      </c>
      <c r="AB57" s="30">
        <f>ROUND(IF(AQ57="1",BH57,0),2)</f>
        <v>0</v>
      </c>
      <c r="AC57" s="30">
        <f>ROUND(IF(AQ57="1",BI57,0),2)</f>
        <v>0</v>
      </c>
      <c r="AD57" s="30">
        <f>ROUND(IF(AQ57="7",BH57,0),2)</f>
        <v>0</v>
      </c>
      <c r="AE57" s="30">
        <f>ROUND(IF(AQ57="7",BI57,0),2)</f>
        <v>0</v>
      </c>
      <c r="AF57" s="30">
        <f>ROUND(IF(AQ57="2",BH57,0),2)</f>
        <v>0</v>
      </c>
      <c r="AG57" s="30">
        <f>ROUND(IF(AQ57="2",BI57,0),2)</f>
        <v>0</v>
      </c>
      <c r="AH57" s="30">
        <f>ROUND(IF(AQ57="0",BJ57,0),2)</f>
        <v>0</v>
      </c>
      <c r="AI57" s="11" t="s">
        <v>50</v>
      </c>
      <c r="AJ57" s="28">
        <f>IF(AN57=0,J57,0)</f>
        <v>0</v>
      </c>
      <c r="AK57" s="28">
        <f>IF(AN57=12,J57,0)</f>
        <v>0</v>
      </c>
      <c r="AL57" s="28">
        <f>IF(AN57=21,J57,0)</f>
        <v>0</v>
      </c>
      <c r="AN57" s="30">
        <v>21</v>
      </c>
      <c r="AO57" s="30">
        <f>G57*0.733011444</f>
        <v>0</v>
      </c>
      <c r="AP57" s="30">
        <f>G57*(1-0.733011444)</f>
        <v>0</v>
      </c>
      <c r="AQ57" s="31" t="s">
        <v>53</v>
      </c>
      <c r="AV57" s="30">
        <f>ROUND(AW57+AX57,2)</f>
        <v>0</v>
      </c>
      <c r="AW57" s="30">
        <f>ROUND(F57*AO57,2)</f>
        <v>0</v>
      </c>
      <c r="AX57" s="30">
        <f>ROUND(F57*AP57,2)</f>
        <v>0</v>
      </c>
      <c r="AY57" s="32" t="s">
        <v>144</v>
      </c>
      <c r="AZ57" s="32" t="s">
        <v>134</v>
      </c>
      <c r="BA57" s="11" t="s">
        <v>60</v>
      </c>
      <c r="BC57" s="30">
        <f>AW57+AX57</f>
        <v>0</v>
      </c>
      <c r="BD57" s="30">
        <f>G57/(100-BE57)*100</f>
        <v>0</v>
      </c>
      <c r="BE57" s="30">
        <v>0</v>
      </c>
      <c r="BF57" s="30">
        <f>57</f>
        <v>57</v>
      </c>
      <c r="BH57" s="28">
        <f>F57*AO57</f>
        <v>0</v>
      </c>
      <c r="BI57" s="28">
        <f>F57*AP57</f>
        <v>0</v>
      </c>
      <c r="BJ57" s="28">
        <f>F57*G57</f>
        <v>0</v>
      </c>
      <c r="BK57" s="28"/>
      <c r="BL57" s="30">
        <v>62</v>
      </c>
      <c r="BW57" s="30">
        <v>21</v>
      </c>
      <c r="BX57" s="27" t="s">
        <v>166</v>
      </c>
    </row>
    <row r="58" spans="1:76" ht="13.5" customHeight="1" x14ac:dyDescent="0.25">
      <c r="A58" s="33"/>
      <c r="B58" s="34"/>
      <c r="C58" s="78" t="s">
        <v>162</v>
      </c>
      <c r="D58" s="79"/>
      <c r="E58" s="79"/>
      <c r="F58" s="79"/>
      <c r="G58" s="79"/>
      <c r="H58" s="79"/>
      <c r="I58" s="79"/>
      <c r="J58" s="79"/>
      <c r="K58" s="80"/>
    </row>
    <row r="59" spans="1:76" x14ac:dyDescent="0.25">
      <c r="A59" s="33"/>
      <c r="C59" s="35" t="s">
        <v>167</v>
      </c>
      <c r="D59" s="35" t="s">
        <v>50</v>
      </c>
      <c r="F59" s="40">
        <v>42.884999999999998</v>
      </c>
      <c r="K59" s="41"/>
    </row>
    <row r="60" spans="1:76" x14ac:dyDescent="0.25">
      <c r="A60" s="25" t="s">
        <v>168</v>
      </c>
      <c r="B60" s="26" t="s">
        <v>169</v>
      </c>
      <c r="C60" s="83" t="s">
        <v>170</v>
      </c>
      <c r="D60" s="84"/>
      <c r="E60" s="26" t="s">
        <v>66</v>
      </c>
      <c r="F60" s="28">
        <v>146.19999999999999</v>
      </c>
      <c r="G60" s="28">
        <v>0</v>
      </c>
      <c r="H60" s="28">
        <f>ROUND(F60*AO60,2)</f>
        <v>0</v>
      </c>
      <c r="I60" s="28">
        <f>ROUND(F60*AP60,2)</f>
        <v>0</v>
      </c>
      <c r="J60" s="28">
        <f>ROUND(F60*G60,2)</f>
        <v>0</v>
      </c>
      <c r="K60" s="29" t="s">
        <v>57</v>
      </c>
      <c r="Z60" s="30">
        <f>ROUND(IF(AQ60="5",BJ60,0),2)</f>
        <v>0</v>
      </c>
      <c r="AB60" s="30">
        <f>ROUND(IF(AQ60="1",BH60,0),2)</f>
        <v>0</v>
      </c>
      <c r="AC60" s="30">
        <f>ROUND(IF(AQ60="1",BI60,0),2)</f>
        <v>0</v>
      </c>
      <c r="AD60" s="30">
        <f>ROUND(IF(AQ60="7",BH60,0),2)</f>
        <v>0</v>
      </c>
      <c r="AE60" s="30">
        <f>ROUND(IF(AQ60="7",BI60,0),2)</f>
        <v>0</v>
      </c>
      <c r="AF60" s="30">
        <f>ROUND(IF(AQ60="2",BH60,0),2)</f>
        <v>0</v>
      </c>
      <c r="AG60" s="30">
        <f>ROUND(IF(AQ60="2",BI60,0),2)</f>
        <v>0</v>
      </c>
      <c r="AH60" s="30">
        <f>ROUND(IF(AQ60="0",BJ60,0),2)</f>
        <v>0</v>
      </c>
      <c r="AI60" s="11" t="s">
        <v>50</v>
      </c>
      <c r="AJ60" s="28">
        <f>IF(AN60=0,J60,0)</f>
        <v>0</v>
      </c>
      <c r="AK60" s="28">
        <f>IF(AN60=12,J60,0)</f>
        <v>0</v>
      </c>
      <c r="AL60" s="28">
        <f>IF(AN60=21,J60,0)</f>
        <v>0</v>
      </c>
      <c r="AN60" s="30">
        <v>21</v>
      </c>
      <c r="AO60" s="30">
        <f>G60*0.587769185</f>
        <v>0</v>
      </c>
      <c r="AP60" s="30">
        <f>G60*(1-0.587769185)</f>
        <v>0</v>
      </c>
      <c r="AQ60" s="31" t="s">
        <v>53</v>
      </c>
      <c r="AV60" s="30">
        <f>ROUND(AW60+AX60,2)</f>
        <v>0</v>
      </c>
      <c r="AW60" s="30">
        <f>ROUND(F60*AO60,2)</f>
        <v>0</v>
      </c>
      <c r="AX60" s="30">
        <f>ROUND(F60*AP60,2)</f>
        <v>0</v>
      </c>
      <c r="AY60" s="32" t="s">
        <v>144</v>
      </c>
      <c r="AZ60" s="32" t="s">
        <v>134</v>
      </c>
      <c r="BA60" s="11" t="s">
        <v>60</v>
      </c>
      <c r="BC60" s="30">
        <f>AW60+AX60</f>
        <v>0</v>
      </c>
      <c r="BD60" s="30">
        <f>G60/(100-BE60)*100</f>
        <v>0</v>
      </c>
      <c r="BE60" s="30">
        <v>0</v>
      </c>
      <c r="BF60" s="30">
        <f>60</f>
        <v>60</v>
      </c>
      <c r="BH60" s="28">
        <f>F60*AO60</f>
        <v>0</v>
      </c>
      <c r="BI60" s="28">
        <f>F60*AP60</f>
        <v>0</v>
      </c>
      <c r="BJ60" s="28">
        <f>F60*G60</f>
        <v>0</v>
      </c>
      <c r="BK60" s="28"/>
      <c r="BL60" s="30">
        <v>62</v>
      </c>
      <c r="BW60" s="30">
        <v>21</v>
      </c>
      <c r="BX60" s="27" t="s">
        <v>170</v>
      </c>
    </row>
    <row r="61" spans="1:76" x14ac:dyDescent="0.25">
      <c r="A61" s="25" t="s">
        <v>171</v>
      </c>
      <c r="B61" s="26" t="s">
        <v>172</v>
      </c>
      <c r="C61" s="83" t="s">
        <v>173</v>
      </c>
      <c r="D61" s="84"/>
      <c r="E61" s="26" t="s">
        <v>127</v>
      </c>
      <c r="F61" s="28">
        <v>58</v>
      </c>
      <c r="G61" s="28">
        <v>0</v>
      </c>
      <c r="H61" s="28">
        <f>ROUND(F61*AO61,2)</f>
        <v>0</v>
      </c>
      <c r="I61" s="28">
        <f>ROUND(F61*AP61,2)</f>
        <v>0</v>
      </c>
      <c r="J61" s="28">
        <f>ROUND(F61*G61,2)</f>
        <v>0</v>
      </c>
      <c r="K61" s="29" t="s">
        <v>57</v>
      </c>
      <c r="Z61" s="30">
        <f>ROUND(IF(AQ61="5",BJ61,0),2)</f>
        <v>0</v>
      </c>
      <c r="AB61" s="30">
        <f>ROUND(IF(AQ61="1",BH61,0),2)</f>
        <v>0</v>
      </c>
      <c r="AC61" s="30">
        <f>ROUND(IF(AQ61="1",BI61,0),2)</f>
        <v>0</v>
      </c>
      <c r="AD61" s="30">
        <f>ROUND(IF(AQ61="7",BH61,0),2)</f>
        <v>0</v>
      </c>
      <c r="AE61" s="30">
        <f>ROUND(IF(AQ61="7",BI61,0),2)</f>
        <v>0</v>
      </c>
      <c r="AF61" s="30">
        <f>ROUND(IF(AQ61="2",BH61,0),2)</f>
        <v>0</v>
      </c>
      <c r="AG61" s="30">
        <f>ROUND(IF(AQ61="2",BI61,0),2)</f>
        <v>0</v>
      </c>
      <c r="AH61" s="30">
        <f>ROUND(IF(AQ61="0",BJ61,0),2)</f>
        <v>0</v>
      </c>
      <c r="AI61" s="11" t="s">
        <v>50</v>
      </c>
      <c r="AJ61" s="28">
        <f>IF(AN61=0,J61,0)</f>
        <v>0</v>
      </c>
      <c r="AK61" s="28">
        <f>IF(AN61=12,J61,0)</f>
        <v>0</v>
      </c>
      <c r="AL61" s="28">
        <f>IF(AN61=21,J61,0)</f>
        <v>0</v>
      </c>
      <c r="AN61" s="30">
        <v>21</v>
      </c>
      <c r="AO61" s="30">
        <f>G61*0.149230344</f>
        <v>0</v>
      </c>
      <c r="AP61" s="30">
        <f>G61*(1-0.149230344)</f>
        <v>0</v>
      </c>
      <c r="AQ61" s="31" t="s">
        <v>53</v>
      </c>
      <c r="AV61" s="30">
        <f>ROUND(AW61+AX61,2)</f>
        <v>0</v>
      </c>
      <c r="AW61" s="30">
        <f>ROUND(F61*AO61,2)</f>
        <v>0</v>
      </c>
      <c r="AX61" s="30">
        <f>ROUND(F61*AP61,2)</f>
        <v>0</v>
      </c>
      <c r="AY61" s="32" t="s">
        <v>144</v>
      </c>
      <c r="AZ61" s="32" t="s">
        <v>134</v>
      </c>
      <c r="BA61" s="11" t="s">
        <v>60</v>
      </c>
      <c r="BC61" s="30">
        <f>AW61+AX61</f>
        <v>0</v>
      </c>
      <c r="BD61" s="30">
        <f>G61/(100-BE61)*100</f>
        <v>0</v>
      </c>
      <c r="BE61" s="30">
        <v>0</v>
      </c>
      <c r="BF61" s="30">
        <f>61</f>
        <v>61</v>
      </c>
      <c r="BH61" s="28">
        <f>F61*AO61</f>
        <v>0</v>
      </c>
      <c r="BI61" s="28">
        <f>F61*AP61</f>
        <v>0</v>
      </c>
      <c r="BJ61" s="28">
        <f>F61*G61</f>
        <v>0</v>
      </c>
      <c r="BK61" s="28"/>
      <c r="BL61" s="30">
        <v>62</v>
      </c>
      <c r="BW61" s="30">
        <v>21</v>
      </c>
      <c r="BX61" s="27" t="s">
        <v>173</v>
      </c>
    </row>
    <row r="62" spans="1:76" x14ac:dyDescent="0.25">
      <c r="A62" s="25" t="s">
        <v>174</v>
      </c>
      <c r="B62" s="26" t="s">
        <v>175</v>
      </c>
      <c r="C62" s="83" t="s">
        <v>176</v>
      </c>
      <c r="D62" s="84"/>
      <c r="E62" s="26" t="s">
        <v>66</v>
      </c>
      <c r="F62" s="28">
        <v>49</v>
      </c>
      <c r="G62" s="28">
        <v>0</v>
      </c>
      <c r="H62" s="28">
        <f>ROUND(F62*AO62,2)</f>
        <v>0</v>
      </c>
      <c r="I62" s="28">
        <f>ROUND(F62*AP62,2)</f>
        <v>0</v>
      </c>
      <c r="J62" s="28">
        <f>ROUND(F62*G62,2)</f>
        <v>0</v>
      </c>
      <c r="K62" s="29" t="s">
        <v>57</v>
      </c>
      <c r="Z62" s="30">
        <f>ROUND(IF(AQ62="5",BJ62,0),2)</f>
        <v>0</v>
      </c>
      <c r="AB62" s="30">
        <f>ROUND(IF(AQ62="1",BH62,0),2)</f>
        <v>0</v>
      </c>
      <c r="AC62" s="30">
        <f>ROUND(IF(AQ62="1",BI62,0),2)</f>
        <v>0</v>
      </c>
      <c r="AD62" s="30">
        <f>ROUND(IF(AQ62="7",BH62,0),2)</f>
        <v>0</v>
      </c>
      <c r="AE62" s="30">
        <f>ROUND(IF(AQ62="7",BI62,0),2)</f>
        <v>0</v>
      </c>
      <c r="AF62" s="30">
        <f>ROUND(IF(AQ62="2",BH62,0),2)</f>
        <v>0</v>
      </c>
      <c r="AG62" s="30">
        <f>ROUND(IF(AQ62="2",BI62,0),2)</f>
        <v>0</v>
      </c>
      <c r="AH62" s="30">
        <f>ROUND(IF(AQ62="0",BJ62,0),2)</f>
        <v>0</v>
      </c>
      <c r="AI62" s="11" t="s">
        <v>50</v>
      </c>
      <c r="AJ62" s="28">
        <f>IF(AN62=0,J62,0)</f>
        <v>0</v>
      </c>
      <c r="AK62" s="28">
        <f>IF(AN62=12,J62,0)</f>
        <v>0</v>
      </c>
      <c r="AL62" s="28">
        <f>IF(AN62=21,J62,0)</f>
        <v>0</v>
      </c>
      <c r="AN62" s="30">
        <v>21</v>
      </c>
      <c r="AO62" s="30">
        <f>G62*0.621081081</f>
        <v>0</v>
      </c>
      <c r="AP62" s="30">
        <f>G62*(1-0.621081081)</f>
        <v>0</v>
      </c>
      <c r="AQ62" s="31" t="s">
        <v>53</v>
      </c>
      <c r="AV62" s="30">
        <f>ROUND(AW62+AX62,2)</f>
        <v>0</v>
      </c>
      <c r="AW62" s="30">
        <f>ROUND(F62*AO62,2)</f>
        <v>0</v>
      </c>
      <c r="AX62" s="30">
        <f>ROUND(F62*AP62,2)</f>
        <v>0</v>
      </c>
      <c r="AY62" s="32" t="s">
        <v>144</v>
      </c>
      <c r="AZ62" s="32" t="s">
        <v>134</v>
      </c>
      <c r="BA62" s="11" t="s">
        <v>60</v>
      </c>
      <c r="BC62" s="30">
        <f>AW62+AX62</f>
        <v>0</v>
      </c>
      <c r="BD62" s="30">
        <f>G62/(100-BE62)*100</f>
        <v>0</v>
      </c>
      <c r="BE62" s="30">
        <v>0</v>
      </c>
      <c r="BF62" s="30">
        <f>62</f>
        <v>62</v>
      </c>
      <c r="BH62" s="28">
        <f>F62*AO62</f>
        <v>0</v>
      </c>
      <c r="BI62" s="28">
        <f>F62*AP62</f>
        <v>0</v>
      </c>
      <c r="BJ62" s="28">
        <f>F62*G62</f>
        <v>0</v>
      </c>
      <c r="BK62" s="28"/>
      <c r="BL62" s="30">
        <v>62</v>
      </c>
      <c r="BW62" s="30">
        <v>21</v>
      </c>
      <c r="BX62" s="27" t="s">
        <v>176</v>
      </c>
    </row>
    <row r="63" spans="1:76" x14ac:dyDescent="0.25">
      <c r="A63" s="25" t="s">
        <v>177</v>
      </c>
      <c r="B63" s="26" t="s">
        <v>178</v>
      </c>
      <c r="C63" s="83" t="s">
        <v>549</v>
      </c>
      <c r="D63" s="84"/>
      <c r="E63" s="26" t="s">
        <v>112</v>
      </c>
      <c r="F63" s="28">
        <v>10.8</v>
      </c>
      <c r="G63" s="28">
        <v>0</v>
      </c>
      <c r="H63" s="28">
        <f>ROUND(F63*AO63,2)</f>
        <v>0</v>
      </c>
      <c r="I63" s="28">
        <f>ROUND(F63*AP63,2)</f>
        <v>0</v>
      </c>
      <c r="J63" s="28">
        <f>ROUND(F63*G63,2)</f>
        <v>0</v>
      </c>
      <c r="K63" s="29" t="s">
        <v>57</v>
      </c>
      <c r="Z63" s="30">
        <f>ROUND(IF(AQ63="5",BJ63,0),2)</f>
        <v>0</v>
      </c>
      <c r="AB63" s="30">
        <f>ROUND(IF(AQ63="1",BH63,0),2)</f>
        <v>0</v>
      </c>
      <c r="AC63" s="30">
        <f>ROUND(IF(AQ63="1",BI63,0),2)</f>
        <v>0</v>
      </c>
      <c r="AD63" s="30">
        <f>ROUND(IF(AQ63="7",BH63,0),2)</f>
        <v>0</v>
      </c>
      <c r="AE63" s="30">
        <f>ROUND(IF(AQ63="7",BI63,0),2)</f>
        <v>0</v>
      </c>
      <c r="AF63" s="30">
        <f>ROUND(IF(AQ63="2",BH63,0),2)</f>
        <v>0</v>
      </c>
      <c r="AG63" s="30">
        <f>ROUND(IF(AQ63="2",BI63,0),2)</f>
        <v>0</v>
      </c>
      <c r="AH63" s="30">
        <f>ROUND(IF(AQ63="0",BJ63,0),2)</f>
        <v>0</v>
      </c>
      <c r="AI63" s="11" t="s">
        <v>50</v>
      </c>
      <c r="AJ63" s="28">
        <f>IF(AN63=0,J63,0)</f>
        <v>0</v>
      </c>
      <c r="AK63" s="28">
        <f>IF(AN63=12,J63,0)</f>
        <v>0</v>
      </c>
      <c r="AL63" s="28">
        <f>IF(AN63=21,J63,0)</f>
        <v>0</v>
      </c>
      <c r="AN63" s="30">
        <v>21</v>
      </c>
      <c r="AO63" s="30">
        <f>G63*0.410522876</f>
        <v>0</v>
      </c>
      <c r="AP63" s="30">
        <f>G63*(1-0.410522876)</f>
        <v>0</v>
      </c>
      <c r="AQ63" s="31" t="s">
        <v>53</v>
      </c>
      <c r="AV63" s="30">
        <f>ROUND(AW63+AX63,2)</f>
        <v>0</v>
      </c>
      <c r="AW63" s="30">
        <f>ROUND(F63*AO63,2)</f>
        <v>0</v>
      </c>
      <c r="AX63" s="30">
        <f>ROUND(F63*AP63,2)</f>
        <v>0</v>
      </c>
      <c r="AY63" s="32" t="s">
        <v>144</v>
      </c>
      <c r="AZ63" s="32" t="s">
        <v>134</v>
      </c>
      <c r="BA63" s="11" t="s">
        <v>60</v>
      </c>
      <c r="BC63" s="30">
        <f>AW63+AX63</f>
        <v>0</v>
      </c>
      <c r="BD63" s="30">
        <f>G63/(100-BE63)*100</f>
        <v>0</v>
      </c>
      <c r="BE63" s="30">
        <v>0</v>
      </c>
      <c r="BF63" s="30">
        <f>63</f>
        <v>63</v>
      </c>
      <c r="BH63" s="28">
        <f>F63*AO63</f>
        <v>0</v>
      </c>
      <c r="BI63" s="28">
        <f>F63*AP63</f>
        <v>0</v>
      </c>
      <c r="BJ63" s="28">
        <f>F63*G63</f>
        <v>0</v>
      </c>
      <c r="BK63" s="28"/>
      <c r="BL63" s="30">
        <v>62</v>
      </c>
      <c r="BW63" s="30">
        <v>21</v>
      </c>
      <c r="BX63" s="27" t="s">
        <v>179</v>
      </c>
    </row>
    <row r="64" spans="1:76" x14ac:dyDescent="0.25">
      <c r="A64" s="25" t="s">
        <v>100</v>
      </c>
      <c r="B64" s="26" t="s">
        <v>180</v>
      </c>
      <c r="C64" s="83" t="s">
        <v>181</v>
      </c>
      <c r="D64" s="84"/>
      <c r="E64" s="26" t="s">
        <v>66</v>
      </c>
      <c r="F64" s="28">
        <v>160.69999999999999</v>
      </c>
      <c r="G64" s="28">
        <v>0</v>
      </c>
      <c r="H64" s="28">
        <f>ROUND(F64*AO64,2)</f>
        <v>0</v>
      </c>
      <c r="I64" s="28">
        <f>ROUND(F64*AP64,2)</f>
        <v>0</v>
      </c>
      <c r="J64" s="28">
        <f>ROUND(F64*G64,2)</f>
        <v>0</v>
      </c>
      <c r="K64" s="29" t="s">
        <v>57</v>
      </c>
      <c r="Z64" s="30">
        <f>ROUND(IF(AQ64="5",BJ64,0),2)</f>
        <v>0</v>
      </c>
      <c r="AB64" s="30">
        <f>ROUND(IF(AQ64="1",BH64,0),2)</f>
        <v>0</v>
      </c>
      <c r="AC64" s="30">
        <f>ROUND(IF(AQ64="1",BI64,0),2)</f>
        <v>0</v>
      </c>
      <c r="AD64" s="30">
        <f>ROUND(IF(AQ64="7",BH64,0),2)</f>
        <v>0</v>
      </c>
      <c r="AE64" s="30">
        <f>ROUND(IF(AQ64="7",BI64,0),2)</f>
        <v>0</v>
      </c>
      <c r="AF64" s="30">
        <f>ROUND(IF(AQ64="2",BH64,0),2)</f>
        <v>0</v>
      </c>
      <c r="AG64" s="30">
        <f>ROUND(IF(AQ64="2",BI64,0),2)</f>
        <v>0</v>
      </c>
      <c r="AH64" s="30">
        <f>ROUND(IF(AQ64="0",BJ64,0),2)</f>
        <v>0</v>
      </c>
      <c r="AI64" s="11" t="s">
        <v>50</v>
      </c>
      <c r="AJ64" s="28">
        <f>IF(AN64=0,J64,0)</f>
        <v>0</v>
      </c>
      <c r="AK64" s="28">
        <f>IF(AN64=12,J64,0)</f>
        <v>0</v>
      </c>
      <c r="AL64" s="28">
        <f>IF(AN64=21,J64,0)</f>
        <v>0</v>
      </c>
      <c r="AN64" s="30">
        <v>21</v>
      </c>
      <c r="AO64" s="30">
        <f>G64*0.393873395</f>
        <v>0</v>
      </c>
      <c r="AP64" s="30">
        <f>G64*(1-0.393873395)</f>
        <v>0</v>
      </c>
      <c r="AQ64" s="31" t="s">
        <v>53</v>
      </c>
      <c r="AV64" s="30">
        <f>ROUND(AW64+AX64,2)</f>
        <v>0</v>
      </c>
      <c r="AW64" s="30">
        <f>ROUND(F64*AO64,2)</f>
        <v>0</v>
      </c>
      <c r="AX64" s="30">
        <f>ROUND(F64*AP64,2)</f>
        <v>0</v>
      </c>
      <c r="AY64" s="32" t="s">
        <v>144</v>
      </c>
      <c r="AZ64" s="32" t="s">
        <v>134</v>
      </c>
      <c r="BA64" s="11" t="s">
        <v>60</v>
      </c>
      <c r="BC64" s="30">
        <f>AW64+AX64</f>
        <v>0</v>
      </c>
      <c r="BD64" s="30">
        <f>G64/(100-BE64)*100</f>
        <v>0</v>
      </c>
      <c r="BE64" s="30">
        <v>0</v>
      </c>
      <c r="BF64" s="30">
        <f>64</f>
        <v>64</v>
      </c>
      <c r="BH64" s="28">
        <f>F64*AO64</f>
        <v>0</v>
      </c>
      <c r="BI64" s="28">
        <f>F64*AP64</f>
        <v>0</v>
      </c>
      <c r="BJ64" s="28">
        <f>F64*G64</f>
        <v>0</v>
      </c>
      <c r="BK64" s="28"/>
      <c r="BL64" s="30">
        <v>62</v>
      </c>
      <c r="BW64" s="30">
        <v>21</v>
      </c>
      <c r="BX64" s="27" t="s">
        <v>181</v>
      </c>
    </row>
    <row r="65" spans="1:76" ht="13.5" customHeight="1" x14ac:dyDescent="0.25">
      <c r="A65" s="33"/>
      <c r="B65" s="34"/>
      <c r="C65" s="78" t="s">
        <v>182</v>
      </c>
      <c r="D65" s="79"/>
      <c r="E65" s="79"/>
      <c r="F65" s="79"/>
      <c r="G65" s="79"/>
      <c r="H65" s="79"/>
      <c r="I65" s="79"/>
      <c r="J65" s="79"/>
      <c r="K65" s="80"/>
    </row>
    <row r="66" spans="1:76" x14ac:dyDescent="0.25">
      <c r="A66" s="25" t="s">
        <v>183</v>
      </c>
      <c r="B66" s="26" t="s">
        <v>184</v>
      </c>
      <c r="C66" s="83" t="s">
        <v>185</v>
      </c>
      <c r="D66" s="84"/>
      <c r="E66" s="26" t="s">
        <v>112</v>
      </c>
      <c r="F66" s="28">
        <v>361.59910000000002</v>
      </c>
      <c r="G66" s="28">
        <v>0</v>
      </c>
      <c r="H66" s="28">
        <f>ROUND(F66*AO66,2)</f>
        <v>0</v>
      </c>
      <c r="I66" s="28">
        <f>ROUND(F66*AP66,2)</f>
        <v>0</v>
      </c>
      <c r="J66" s="28">
        <f>ROUND(F66*G66,2)</f>
        <v>0</v>
      </c>
      <c r="K66" s="29" t="s">
        <v>57</v>
      </c>
      <c r="Z66" s="30">
        <f>ROUND(IF(AQ66="5",BJ66,0),2)</f>
        <v>0</v>
      </c>
      <c r="AB66" s="30">
        <f>ROUND(IF(AQ66="1",BH66,0),2)</f>
        <v>0</v>
      </c>
      <c r="AC66" s="30">
        <f>ROUND(IF(AQ66="1",BI66,0),2)</f>
        <v>0</v>
      </c>
      <c r="AD66" s="30">
        <f>ROUND(IF(AQ66="7",BH66,0),2)</f>
        <v>0</v>
      </c>
      <c r="AE66" s="30">
        <f>ROUND(IF(AQ66="7",BI66,0),2)</f>
        <v>0</v>
      </c>
      <c r="AF66" s="30">
        <f>ROUND(IF(AQ66="2",BH66,0),2)</f>
        <v>0</v>
      </c>
      <c r="AG66" s="30">
        <f>ROUND(IF(AQ66="2",BI66,0),2)</f>
        <v>0</v>
      </c>
      <c r="AH66" s="30">
        <f>ROUND(IF(AQ66="0",BJ66,0),2)</f>
        <v>0</v>
      </c>
      <c r="AI66" s="11" t="s">
        <v>50</v>
      </c>
      <c r="AJ66" s="28">
        <f>IF(AN66=0,J66,0)</f>
        <v>0</v>
      </c>
      <c r="AK66" s="28">
        <f>IF(AN66=12,J66,0)</f>
        <v>0</v>
      </c>
      <c r="AL66" s="28">
        <f>IF(AN66=21,J66,0)</f>
        <v>0</v>
      </c>
      <c r="AN66" s="30">
        <v>21</v>
      </c>
      <c r="AO66" s="30">
        <f>G66*0.070291958</f>
        <v>0</v>
      </c>
      <c r="AP66" s="30">
        <f>G66*(1-0.070291958)</f>
        <v>0</v>
      </c>
      <c r="AQ66" s="31" t="s">
        <v>53</v>
      </c>
      <c r="AV66" s="30">
        <f>ROUND(AW66+AX66,2)</f>
        <v>0</v>
      </c>
      <c r="AW66" s="30">
        <f>ROUND(F66*AO66,2)</f>
        <v>0</v>
      </c>
      <c r="AX66" s="30">
        <f>ROUND(F66*AP66,2)</f>
        <v>0</v>
      </c>
      <c r="AY66" s="32" t="s">
        <v>144</v>
      </c>
      <c r="AZ66" s="32" t="s">
        <v>134</v>
      </c>
      <c r="BA66" s="11" t="s">
        <v>60</v>
      </c>
      <c r="BC66" s="30">
        <f>AW66+AX66</f>
        <v>0</v>
      </c>
      <c r="BD66" s="30">
        <f>G66/(100-BE66)*100</f>
        <v>0</v>
      </c>
      <c r="BE66" s="30">
        <v>0</v>
      </c>
      <c r="BF66" s="30">
        <f>66</f>
        <v>66</v>
      </c>
      <c r="BH66" s="28">
        <f>F66*AO66</f>
        <v>0</v>
      </c>
      <c r="BI66" s="28">
        <f>F66*AP66</f>
        <v>0</v>
      </c>
      <c r="BJ66" s="28">
        <f>F66*G66</f>
        <v>0</v>
      </c>
      <c r="BK66" s="28"/>
      <c r="BL66" s="30">
        <v>62</v>
      </c>
      <c r="BW66" s="30">
        <v>21</v>
      </c>
      <c r="BX66" s="27" t="s">
        <v>185</v>
      </c>
    </row>
    <row r="67" spans="1:76" x14ac:dyDescent="0.25">
      <c r="A67" s="25" t="s">
        <v>186</v>
      </c>
      <c r="B67" s="26" t="s">
        <v>187</v>
      </c>
      <c r="C67" s="83" t="s">
        <v>188</v>
      </c>
      <c r="D67" s="84"/>
      <c r="E67" s="26" t="s">
        <v>112</v>
      </c>
      <c r="F67" s="28">
        <v>66.09</v>
      </c>
      <c r="G67" s="28">
        <v>0</v>
      </c>
      <c r="H67" s="28">
        <f>ROUND(F67*AO67,2)</f>
        <v>0</v>
      </c>
      <c r="I67" s="28">
        <f>ROUND(F67*AP67,2)</f>
        <v>0</v>
      </c>
      <c r="J67" s="28">
        <f>ROUND(F67*G67,2)</f>
        <v>0</v>
      </c>
      <c r="K67" s="29" t="s">
        <v>57</v>
      </c>
      <c r="Z67" s="30">
        <f>ROUND(IF(AQ67="5",BJ67,0),2)</f>
        <v>0</v>
      </c>
      <c r="AB67" s="30">
        <f>ROUND(IF(AQ67="1",BH67,0),2)</f>
        <v>0</v>
      </c>
      <c r="AC67" s="30">
        <f>ROUND(IF(AQ67="1",BI67,0),2)</f>
        <v>0</v>
      </c>
      <c r="AD67" s="30">
        <f>ROUND(IF(AQ67="7",BH67,0),2)</f>
        <v>0</v>
      </c>
      <c r="AE67" s="30">
        <f>ROUND(IF(AQ67="7",BI67,0),2)</f>
        <v>0</v>
      </c>
      <c r="AF67" s="30">
        <f>ROUND(IF(AQ67="2",BH67,0),2)</f>
        <v>0</v>
      </c>
      <c r="AG67" s="30">
        <f>ROUND(IF(AQ67="2",BI67,0),2)</f>
        <v>0</v>
      </c>
      <c r="AH67" s="30">
        <f>ROUND(IF(AQ67="0",BJ67,0),2)</f>
        <v>0</v>
      </c>
      <c r="AI67" s="11" t="s">
        <v>50</v>
      </c>
      <c r="AJ67" s="28">
        <f>IF(AN67=0,J67,0)</f>
        <v>0</v>
      </c>
      <c r="AK67" s="28">
        <f>IF(AN67=12,J67,0)</f>
        <v>0</v>
      </c>
      <c r="AL67" s="28">
        <f>IF(AN67=21,J67,0)</f>
        <v>0</v>
      </c>
      <c r="AN67" s="30">
        <v>21</v>
      </c>
      <c r="AO67" s="30">
        <f>G67*0.852362395</f>
        <v>0</v>
      </c>
      <c r="AP67" s="30">
        <f>G67*(1-0.852362395)</f>
        <v>0</v>
      </c>
      <c r="AQ67" s="31" t="s">
        <v>53</v>
      </c>
      <c r="AV67" s="30">
        <f>ROUND(AW67+AX67,2)</f>
        <v>0</v>
      </c>
      <c r="AW67" s="30">
        <f>ROUND(F67*AO67,2)</f>
        <v>0</v>
      </c>
      <c r="AX67" s="30">
        <f>ROUND(F67*AP67,2)</f>
        <v>0</v>
      </c>
      <c r="AY67" s="32" t="s">
        <v>144</v>
      </c>
      <c r="AZ67" s="32" t="s">
        <v>134</v>
      </c>
      <c r="BA67" s="11" t="s">
        <v>60</v>
      </c>
      <c r="BC67" s="30">
        <f>AW67+AX67</f>
        <v>0</v>
      </c>
      <c r="BD67" s="30">
        <f>G67/(100-BE67)*100</f>
        <v>0</v>
      </c>
      <c r="BE67" s="30">
        <v>0</v>
      </c>
      <c r="BF67" s="30">
        <f>67</f>
        <v>67</v>
      </c>
      <c r="BH67" s="28">
        <f>F67*AO67</f>
        <v>0</v>
      </c>
      <c r="BI67" s="28">
        <f>F67*AP67</f>
        <v>0</v>
      </c>
      <c r="BJ67" s="28">
        <f>F67*G67</f>
        <v>0</v>
      </c>
      <c r="BK67" s="28"/>
      <c r="BL67" s="30">
        <v>62</v>
      </c>
      <c r="BW67" s="30">
        <v>21</v>
      </c>
      <c r="BX67" s="27" t="s">
        <v>188</v>
      </c>
    </row>
    <row r="68" spans="1:76" ht="13.5" customHeight="1" x14ac:dyDescent="0.25">
      <c r="A68" s="33"/>
      <c r="B68" s="34"/>
      <c r="C68" s="78" t="s">
        <v>162</v>
      </c>
      <c r="D68" s="79"/>
      <c r="E68" s="79"/>
      <c r="F68" s="79"/>
      <c r="G68" s="79"/>
      <c r="H68" s="79"/>
      <c r="I68" s="79"/>
      <c r="J68" s="79"/>
      <c r="K68" s="80"/>
    </row>
    <row r="69" spans="1:76" ht="13.5" customHeight="1" x14ac:dyDescent="0.25">
      <c r="A69" s="33"/>
      <c r="B69" s="34" t="s">
        <v>61</v>
      </c>
      <c r="C69" s="78" t="s">
        <v>189</v>
      </c>
      <c r="D69" s="79"/>
      <c r="E69" s="79"/>
      <c r="F69" s="79"/>
      <c r="G69" s="79"/>
      <c r="H69" s="79"/>
      <c r="I69" s="79"/>
      <c r="J69" s="79"/>
      <c r="K69" s="80"/>
    </row>
    <row r="70" spans="1:76" x14ac:dyDescent="0.25">
      <c r="A70" s="25" t="s">
        <v>190</v>
      </c>
      <c r="B70" s="26" t="s">
        <v>191</v>
      </c>
      <c r="C70" s="83" t="s">
        <v>192</v>
      </c>
      <c r="D70" s="84"/>
      <c r="E70" s="26" t="s">
        <v>112</v>
      </c>
      <c r="F70" s="28">
        <v>29.69</v>
      </c>
      <c r="G70" s="28">
        <v>0</v>
      </c>
      <c r="H70" s="28">
        <f>ROUND(F70*AO70,2)</f>
        <v>0</v>
      </c>
      <c r="I70" s="28">
        <f>ROUND(F70*AP70,2)</f>
        <v>0</v>
      </c>
      <c r="J70" s="28">
        <f>ROUND(F70*G70,2)</f>
        <v>0</v>
      </c>
      <c r="K70" s="29" t="s">
        <v>57</v>
      </c>
      <c r="Z70" s="30">
        <f>ROUND(IF(AQ70="5",BJ70,0),2)</f>
        <v>0</v>
      </c>
      <c r="AB70" s="30">
        <f>ROUND(IF(AQ70="1",BH70,0),2)</f>
        <v>0</v>
      </c>
      <c r="AC70" s="30">
        <f>ROUND(IF(AQ70="1",BI70,0),2)</f>
        <v>0</v>
      </c>
      <c r="AD70" s="30">
        <f>ROUND(IF(AQ70="7",BH70,0),2)</f>
        <v>0</v>
      </c>
      <c r="AE70" s="30">
        <f>ROUND(IF(AQ70="7",BI70,0),2)</f>
        <v>0</v>
      </c>
      <c r="AF70" s="30">
        <f>ROUND(IF(AQ70="2",BH70,0),2)</f>
        <v>0</v>
      </c>
      <c r="AG70" s="30">
        <f>ROUND(IF(AQ70="2",BI70,0),2)</f>
        <v>0</v>
      </c>
      <c r="AH70" s="30">
        <f>ROUND(IF(AQ70="0",BJ70,0),2)</f>
        <v>0</v>
      </c>
      <c r="AI70" s="11" t="s">
        <v>50</v>
      </c>
      <c r="AJ70" s="28">
        <f>IF(AN70=0,J70,0)</f>
        <v>0</v>
      </c>
      <c r="AK70" s="28">
        <f>IF(AN70=12,J70,0)</f>
        <v>0</v>
      </c>
      <c r="AL70" s="28">
        <f>IF(AN70=21,J70,0)</f>
        <v>0</v>
      </c>
      <c r="AN70" s="30">
        <v>21</v>
      </c>
      <c r="AO70" s="30">
        <f>G70*0.869348836</f>
        <v>0</v>
      </c>
      <c r="AP70" s="30">
        <f>G70*(1-0.869348836)</f>
        <v>0</v>
      </c>
      <c r="AQ70" s="31" t="s">
        <v>53</v>
      </c>
      <c r="AV70" s="30">
        <f>ROUND(AW70+AX70,2)</f>
        <v>0</v>
      </c>
      <c r="AW70" s="30">
        <f>ROUND(F70*AO70,2)</f>
        <v>0</v>
      </c>
      <c r="AX70" s="30">
        <f>ROUND(F70*AP70,2)</f>
        <v>0</v>
      </c>
      <c r="AY70" s="32" t="s">
        <v>144</v>
      </c>
      <c r="AZ70" s="32" t="s">
        <v>134</v>
      </c>
      <c r="BA70" s="11" t="s">
        <v>60</v>
      </c>
      <c r="BC70" s="30">
        <f>AW70+AX70</f>
        <v>0</v>
      </c>
      <c r="BD70" s="30">
        <f>G70/(100-BE70)*100</f>
        <v>0</v>
      </c>
      <c r="BE70" s="30">
        <v>0</v>
      </c>
      <c r="BF70" s="30">
        <f>70</f>
        <v>70</v>
      </c>
      <c r="BH70" s="28">
        <f>F70*AO70</f>
        <v>0</v>
      </c>
      <c r="BI70" s="28">
        <f>F70*AP70</f>
        <v>0</v>
      </c>
      <c r="BJ70" s="28">
        <f>F70*G70</f>
        <v>0</v>
      </c>
      <c r="BK70" s="28"/>
      <c r="BL70" s="30">
        <v>62</v>
      </c>
      <c r="BW70" s="30">
        <v>21</v>
      </c>
      <c r="BX70" s="27" t="s">
        <v>192</v>
      </c>
    </row>
    <row r="71" spans="1:76" ht="13.5" customHeight="1" x14ac:dyDescent="0.25">
      <c r="A71" s="33"/>
      <c r="B71" s="34"/>
      <c r="C71" s="78" t="s">
        <v>162</v>
      </c>
      <c r="D71" s="79"/>
      <c r="E71" s="79"/>
      <c r="F71" s="79"/>
      <c r="G71" s="79"/>
      <c r="H71" s="79"/>
      <c r="I71" s="79"/>
      <c r="J71" s="79"/>
      <c r="K71" s="80"/>
    </row>
    <row r="72" spans="1:76" ht="13.5" customHeight="1" x14ac:dyDescent="0.25">
      <c r="A72" s="33"/>
      <c r="B72" s="34" t="s">
        <v>61</v>
      </c>
      <c r="C72" s="78" t="s">
        <v>189</v>
      </c>
      <c r="D72" s="79"/>
      <c r="E72" s="79"/>
      <c r="F72" s="79"/>
      <c r="G72" s="79"/>
      <c r="H72" s="79"/>
      <c r="I72" s="79"/>
      <c r="J72" s="79"/>
      <c r="K72" s="80"/>
    </row>
    <row r="73" spans="1:76" x14ac:dyDescent="0.25">
      <c r="A73" s="25" t="s">
        <v>193</v>
      </c>
      <c r="B73" s="26" t="s">
        <v>194</v>
      </c>
      <c r="C73" s="83" t="s">
        <v>195</v>
      </c>
      <c r="D73" s="84"/>
      <c r="E73" s="26" t="s">
        <v>112</v>
      </c>
      <c r="F73" s="28">
        <v>95.78</v>
      </c>
      <c r="G73" s="28">
        <v>0</v>
      </c>
      <c r="H73" s="28">
        <f>ROUND(F73*AO73,2)</f>
        <v>0</v>
      </c>
      <c r="I73" s="28">
        <f>ROUND(F73*AP73,2)</f>
        <v>0</v>
      </c>
      <c r="J73" s="28">
        <f>ROUND(F73*G73,2)</f>
        <v>0</v>
      </c>
      <c r="K73" s="29" t="s">
        <v>57</v>
      </c>
      <c r="Z73" s="30">
        <f>ROUND(IF(AQ73="5",BJ73,0),2)</f>
        <v>0</v>
      </c>
      <c r="AB73" s="30">
        <f>ROUND(IF(AQ73="1",BH73,0),2)</f>
        <v>0</v>
      </c>
      <c r="AC73" s="30">
        <f>ROUND(IF(AQ73="1",BI73,0),2)</f>
        <v>0</v>
      </c>
      <c r="AD73" s="30">
        <f>ROUND(IF(AQ73="7",BH73,0),2)</f>
        <v>0</v>
      </c>
      <c r="AE73" s="30">
        <f>ROUND(IF(AQ73="7",BI73,0),2)</f>
        <v>0</v>
      </c>
      <c r="AF73" s="30">
        <f>ROUND(IF(AQ73="2",BH73,0),2)</f>
        <v>0</v>
      </c>
      <c r="AG73" s="30">
        <f>ROUND(IF(AQ73="2",BI73,0),2)</f>
        <v>0</v>
      </c>
      <c r="AH73" s="30">
        <f>ROUND(IF(AQ73="0",BJ73,0),2)</f>
        <v>0</v>
      </c>
      <c r="AI73" s="11" t="s">
        <v>50</v>
      </c>
      <c r="AJ73" s="28">
        <f>IF(AN73=0,J73,0)</f>
        <v>0</v>
      </c>
      <c r="AK73" s="28">
        <f>IF(AN73=12,J73,0)</f>
        <v>0</v>
      </c>
      <c r="AL73" s="28">
        <f>IF(AN73=21,J73,0)</f>
        <v>0</v>
      </c>
      <c r="AN73" s="30">
        <v>21</v>
      </c>
      <c r="AO73" s="30">
        <f>G73*0.013334261</f>
        <v>0</v>
      </c>
      <c r="AP73" s="30">
        <f>G73*(1-0.013334261)</f>
        <v>0</v>
      </c>
      <c r="AQ73" s="31" t="s">
        <v>53</v>
      </c>
      <c r="AV73" s="30">
        <f>ROUND(AW73+AX73,2)</f>
        <v>0</v>
      </c>
      <c r="AW73" s="30">
        <f>ROUND(F73*AO73,2)</f>
        <v>0</v>
      </c>
      <c r="AX73" s="30">
        <f>ROUND(F73*AP73,2)</f>
        <v>0</v>
      </c>
      <c r="AY73" s="32" t="s">
        <v>144</v>
      </c>
      <c r="AZ73" s="32" t="s">
        <v>134</v>
      </c>
      <c r="BA73" s="11" t="s">
        <v>60</v>
      </c>
      <c r="BC73" s="30">
        <f>AW73+AX73</f>
        <v>0</v>
      </c>
      <c r="BD73" s="30">
        <f>G73/(100-BE73)*100</f>
        <v>0</v>
      </c>
      <c r="BE73" s="30">
        <v>0</v>
      </c>
      <c r="BF73" s="30">
        <f>73</f>
        <v>73</v>
      </c>
      <c r="BH73" s="28">
        <f>F73*AO73</f>
        <v>0</v>
      </c>
      <c r="BI73" s="28">
        <f>F73*AP73</f>
        <v>0</v>
      </c>
      <c r="BJ73" s="28">
        <f>F73*G73</f>
        <v>0</v>
      </c>
      <c r="BK73" s="28"/>
      <c r="BL73" s="30">
        <v>62</v>
      </c>
      <c r="BW73" s="30">
        <v>21</v>
      </c>
      <c r="BX73" s="27" t="s">
        <v>195</v>
      </c>
    </row>
    <row r="74" spans="1:76" x14ac:dyDescent="0.25">
      <c r="A74" s="36" t="s">
        <v>50</v>
      </c>
      <c r="B74" s="37" t="s">
        <v>196</v>
      </c>
      <c r="C74" s="81" t="s">
        <v>197</v>
      </c>
      <c r="D74" s="82"/>
      <c r="E74" s="38" t="s">
        <v>4</v>
      </c>
      <c r="F74" s="38" t="s">
        <v>4</v>
      </c>
      <c r="G74" s="38" t="s">
        <v>4</v>
      </c>
      <c r="H74" s="1">
        <f>SUM(H75:H76)</f>
        <v>0</v>
      </c>
      <c r="I74" s="1">
        <f>SUM(I75:I76)</f>
        <v>0</v>
      </c>
      <c r="J74" s="1">
        <f>SUM(J75:J76)</f>
        <v>0</v>
      </c>
      <c r="K74" s="39" t="s">
        <v>50</v>
      </c>
      <c r="AI74" s="11" t="s">
        <v>50</v>
      </c>
      <c r="AS74" s="1">
        <f>SUM(AJ75:AJ76)</f>
        <v>0</v>
      </c>
      <c r="AT74" s="1">
        <f>SUM(AK75:AK76)</f>
        <v>0</v>
      </c>
      <c r="AU74" s="1">
        <f>SUM(AL75:AL76)</f>
        <v>0</v>
      </c>
    </row>
    <row r="75" spans="1:76" x14ac:dyDescent="0.25">
      <c r="A75" s="25" t="s">
        <v>198</v>
      </c>
      <c r="B75" s="26" t="s">
        <v>199</v>
      </c>
      <c r="C75" s="83" t="s">
        <v>200</v>
      </c>
      <c r="D75" s="84"/>
      <c r="E75" s="26" t="s">
        <v>112</v>
      </c>
      <c r="F75" s="28">
        <v>23.9</v>
      </c>
      <c r="G75" s="28">
        <v>0</v>
      </c>
      <c r="H75" s="28">
        <f>ROUND(F75*AO75,2)</f>
        <v>0</v>
      </c>
      <c r="I75" s="28">
        <f>ROUND(F75*AP75,2)</f>
        <v>0</v>
      </c>
      <c r="J75" s="28">
        <f>ROUND(F75*G75,2)</f>
        <v>0</v>
      </c>
      <c r="K75" s="29" t="s">
        <v>57</v>
      </c>
      <c r="Z75" s="30">
        <f>ROUND(IF(AQ75="5",BJ75,0),2)</f>
        <v>0</v>
      </c>
      <c r="AB75" s="30">
        <f>ROUND(IF(AQ75="1",BH75,0),2)</f>
        <v>0</v>
      </c>
      <c r="AC75" s="30">
        <f>ROUND(IF(AQ75="1",BI75,0),2)</f>
        <v>0</v>
      </c>
      <c r="AD75" s="30">
        <f>ROUND(IF(AQ75="7",BH75,0),2)</f>
        <v>0</v>
      </c>
      <c r="AE75" s="30">
        <f>ROUND(IF(AQ75="7",BI75,0),2)</f>
        <v>0</v>
      </c>
      <c r="AF75" s="30">
        <f>ROUND(IF(AQ75="2",BH75,0),2)</f>
        <v>0</v>
      </c>
      <c r="AG75" s="30">
        <f>ROUND(IF(AQ75="2",BI75,0),2)</f>
        <v>0</v>
      </c>
      <c r="AH75" s="30">
        <f>ROUND(IF(AQ75="0",BJ75,0),2)</f>
        <v>0</v>
      </c>
      <c r="AI75" s="11" t="s">
        <v>50</v>
      </c>
      <c r="AJ75" s="28">
        <f>IF(AN75=0,J75,0)</f>
        <v>0</v>
      </c>
      <c r="AK75" s="28">
        <f>IF(AN75=12,J75,0)</f>
        <v>0</v>
      </c>
      <c r="AL75" s="28">
        <f>IF(AN75=21,J75,0)</f>
        <v>0</v>
      </c>
      <c r="AN75" s="30">
        <v>21</v>
      </c>
      <c r="AO75" s="30">
        <f>G75*0.883824057</f>
        <v>0</v>
      </c>
      <c r="AP75" s="30">
        <f>G75*(1-0.883824057)</f>
        <v>0</v>
      </c>
      <c r="AQ75" s="31" t="s">
        <v>53</v>
      </c>
      <c r="AV75" s="30">
        <f>ROUND(AW75+AX75,2)</f>
        <v>0</v>
      </c>
      <c r="AW75" s="30">
        <f>ROUND(F75*AO75,2)</f>
        <v>0</v>
      </c>
      <c r="AX75" s="30">
        <f>ROUND(F75*AP75,2)</f>
        <v>0</v>
      </c>
      <c r="AY75" s="32" t="s">
        <v>201</v>
      </c>
      <c r="AZ75" s="32" t="s">
        <v>134</v>
      </c>
      <c r="BA75" s="11" t="s">
        <v>60</v>
      </c>
      <c r="BC75" s="30">
        <f>AW75+AX75</f>
        <v>0</v>
      </c>
      <c r="BD75" s="30">
        <f>G75/(100-BE75)*100</f>
        <v>0</v>
      </c>
      <c r="BE75" s="30">
        <v>0</v>
      </c>
      <c r="BF75" s="30">
        <f>75</f>
        <v>75</v>
      </c>
      <c r="BH75" s="28">
        <f>F75*AO75</f>
        <v>0</v>
      </c>
      <c r="BI75" s="28">
        <f>F75*AP75</f>
        <v>0</v>
      </c>
      <c r="BJ75" s="28">
        <f>F75*G75</f>
        <v>0</v>
      </c>
      <c r="BK75" s="28"/>
      <c r="BL75" s="30">
        <v>63</v>
      </c>
      <c r="BW75" s="30">
        <v>21</v>
      </c>
      <c r="BX75" s="27" t="s">
        <v>200</v>
      </c>
    </row>
    <row r="76" spans="1:76" x14ac:dyDescent="0.25">
      <c r="A76" s="25" t="s">
        <v>202</v>
      </c>
      <c r="B76" s="26" t="s">
        <v>203</v>
      </c>
      <c r="C76" s="83" t="s">
        <v>204</v>
      </c>
      <c r="D76" s="84"/>
      <c r="E76" s="26" t="s">
        <v>112</v>
      </c>
      <c r="F76" s="28">
        <v>24.135999999999999</v>
      </c>
      <c r="G76" s="28">
        <v>0</v>
      </c>
      <c r="H76" s="28">
        <f>ROUND(F76*AO76,2)</f>
        <v>0</v>
      </c>
      <c r="I76" s="28">
        <f>ROUND(F76*AP76,2)</f>
        <v>0</v>
      </c>
      <c r="J76" s="28">
        <f>ROUND(F76*G76,2)</f>
        <v>0</v>
      </c>
      <c r="K76" s="29" t="s">
        <v>57</v>
      </c>
      <c r="Z76" s="30">
        <f>ROUND(IF(AQ76="5",BJ76,0),2)</f>
        <v>0</v>
      </c>
      <c r="AB76" s="30">
        <f>ROUND(IF(AQ76="1",BH76,0),2)</f>
        <v>0</v>
      </c>
      <c r="AC76" s="30">
        <f>ROUND(IF(AQ76="1",BI76,0),2)</f>
        <v>0</v>
      </c>
      <c r="AD76" s="30">
        <f>ROUND(IF(AQ76="7",BH76,0),2)</f>
        <v>0</v>
      </c>
      <c r="AE76" s="30">
        <f>ROUND(IF(AQ76="7",BI76,0),2)</f>
        <v>0</v>
      </c>
      <c r="AF76" s="30">
        <f>ROUND(IF(AQ76="2",BH76,0),2)</f>
        <v>0</v>
      </c>
      <c r="AG76" s="30">
        <f>ROUND(IF(AQ76="2",BI76,0),2)</f>
        <v>0</v>
      </c>
      <c r="AH76" s="30">
        <f>ROUND(IF(AQ76="0",BJ76,0),2)</f>
        <v>0</v>
      </c>
      <c r="AI76" s="11" t="s">
        <v>50</v>
      </c>
      <c r="AJ76" s="28">
        <f>IF(AN76=0,J76,0)</f>
        <v>0</v>
      </c>
      <c r="AK76" s="28">
        <f>IF(AN76=12,J76,0)</f>
        <v>0</v>
      </c>
      <c r="AL76" s="28">
        <f>IF(AN76=21,J76,0)</f>
        <v>0</v>
      </c>
      <c r="AN76" s="30">
        <v>21</v>
      </c>
      <c r="AO76" s="30">
        <f>G76*0.239532863</f>
        <v>0</v>
      </c>
      <c r="AP76" s="30">
        <f>G76*(1-0.239532863)</f>
        <v>0</v>
      </c>
      <c r="AQ76" s="31" t="s">
        <v>53</v>
      </c>
      <c r="AV76" s="30">
        <f>ROUND(AW76+AX76,2)</f>
        <v>0</v>
      </c>
      <c r="AW76" s="30">
        <f>ROUND(F76*AO76,2)</f>
        <v>0</v>
      </c>
      <c r="AX76" s="30">
        <f>ROUND(F76*AP76,2)</f>
        <v>0</v>
      </c>
      <c r="AY76" s="32" t="s">
        <v>201</v>
      </c>
      <c r="AZ76" s="32" t="s">
        <v>134</v>
      </c>
      <c r="BA76" s="11" t="s">
        <v>60</v>
      </c>
      <c r="BC76" s="30">
        <f>AW76+AX76</f>
        <v>0</v>
      </c>
      <c r="BD76" s="30">
        <f>G76/(100-BE76)*100</f>
        <v>0</v>
      </c>
      <c r="BE76" s="30">
        <v>0</v>
      </c>
      <c r="BF76" s="30">
        <f>76</f>
        <v>76</v>
      </c>
      <c r="BH76" s="28">
        <f>F76*AO76</f>
        <v>0</v>
      </c>
      <c r="BI76" s="28">
        <f>F76*AP76</f>
        <v>0</v>
      </c>
      <c r="BJ76" s="28">
        <f>F76*G76</f>
        <v>0</v>
      </c>
      <c r="BK76" s="28"/>
      <c r="BL76" s="30">
        <v>63</v>
      </c>
      <c r="BW76" s="30">
        <v>21</v>
      </c>
      <c r="BX76" s="27" t="s">
        <v>204</v>
      </c>
    </row>
    <row r="77" spans="1:76" ht="13.5" customHeight="1" x14ac:dyDescent="0.25">
      <c r="A77" s="33"/>
      <c r="B77" s="34" t="s">
        <v>61</v>
      </c>
      <c r="C77" s="78" t="s">
        <v>205</v>
      </c>
      <c r="D77" s="79"/>
      <c r="E77" s="79"/>
      <c r="F77" s="79"/>
      <c r="G77" s="79"/>
      <c r="H77" s="79"/>
      <c r="I77" s="79"/>
      <c r="J77" s="79"/>
      <c r="K77" s="80"/>
    </row>
    <row r="78" spans="1:76" x14ac:dyDescent="0.25">
      <c r="A78" s="36" t="s">
        <v>50</v>
      </c>
      <c r="B78" s="37" t="s">
        <v>206</v>
      </c>
      <c r="C78" s="81" t="s">
        <v>207</v>
      </c>
      <c r="D78" s="82"/>
      <c r="E78" s="38" t="s">
        <v>4</v>
      </c>
      <c r="F78" s="38" t="s">
        <v>4</v>
      </c>
      <c r="G78" s="38" t="s">
        <v>4</v>
      </c>
      <c r="H78" s="1">
        <f>SUM(H79:H79)</f>
        <v>0</v>
      </c>
      <c r="I78" s="1">
        <f>SUM(I79:I79)</f>
        <v>0</v>
      </c>
      <c r="J78" s="1">
        <f>SUM(J79:J79)</f>
        <v>0</v>
      </c>
      <c r="K78" s="39" t="s">
        <v>50</v>
      </c>
      <c r="AI78" s="11" t="s">
        <v>50</v>
      </c>
      <c r="AS78" s="1">
        <f>SUM(AJ79:AJ79)</f>
        <v>0</v>
      </c>
      <c r="AT78" s="1">
        <f>SUM(AK79:AK79)</f>
        <v>0</v>
      </c>
      <c r="AU78" s="1">
        <f>SUM(AL79:AL79)</f>
        <v>0</v>
      </c>
    </row>
    <row r="79" spans="1:76" x14ac:dyDescent="0.25">
      <c r="A79" s="25" t="s">
        <v>108</v>
      </c>
      <c r="B79" s="26" t="s">
        <v>208</v>
      </c>
      <c r="C79" s="83" t="s">
        <v>209</v>
      </c>
      <c r="D79" s="84"/>
      <c r="E79" s="26" t="s">
        <v>66</v>
      </c>
      <c r="F79" s="28">
        <v>53.7</v>
      </c>
      <c r="G79" s="28">
        <v>0</v>
      </c>
      <c r="H79" s="28">
        <f>ROUND(F79*AO79,2)</f>
        <v>0</v>
      </c>
      <c r="I79" s="28">
        <f>ROUND(F79*AP79,2)</f>
        <v>0</v>
      </c>
      <c r="J79" s="28">
        <f>ROUND(F79*G79,2)</f>
        <v>0</v>
      </c>
      <c r="K79" s="29" t="s">
        <v>57</v>
      </c>
      <c r="Z79" s="30">
        <f>ROUND(IF(AQ79="5",BJ79,0),2)</f>
        <v>0</v>
      </c>
      <c r="AB79" s="30">
        <f>ROUND(IF(AQ79="1",BH79,0),2)</f>
        <v>0</v>
      </c>
      <c r="AC79" s="30">
        <f>ROUND(IF(AQ79="1",BI79,0),2)</f>
        <v>0</v>
      </c>
      <c r="AD79" s="30">
        <f>ROUND(IF(AQ79="7",BH79,0),2)</f>
        <v>0</v>
      </c>
      <c r="AE79" s="30">
        <f>ROUND(IF(AQ79="7",BI79,0),2)</f>
        <v>0</v>
      </c>
      <c r="AF79" s="30">
        <f>ROUND(IF(AQ79="2",BH79,0),2)</f>
        <v>0</v>
      </c>
      <c r="AG79" s="30">
        <f>ROUND(IF(AQ79="2",BI79,0),2)</f>
        <v>0</v>
      </c>
      <c r="AH79" s="30">
        <f>ROUND(IF(AQ79="0",BJ79,0),2)</f>
        <v>0</v>
      </c>
      <c r="AI79" s="11" t="s">
        <v>50</v>
      </c>
      <c r="AJ79" s="28">
        <f>IF(AN79=0,J79,0)</f>
        <v>0</v>
      </c>
      <c r="AK79" s="28">
        <f>IF(AN79=12,J79,0)</f>
        <v>0</v>
      </c>
      <c r="AL79" s="28">
        <f>IF(AN79=21,J79,0)</f>
        <v>0</v>
      </c>
      <c r="AN79" s="30">
        <v>21</v>
      </c>
      <c r="AO79" s="30">
        <f>G79*0.653849335</f>
        <v>0</v>
      </c>
      <c r="AP79" s="30">
        <f>G79*(1-0.653849335)</f>
        <v>0</v>
      </c>
      <c r="AQ79" s="31" t="s">
        <v>53</v>
      </c>
      <c r="AV79" s="30">
        <f>ROUND(AW79+AX79,2)</f>
        <v>0</v>
      </c>
      <c r="AW79" s="30">
        <f>ROUND(F79*AO79,2)</f>
        <v>0</v>
      </c>
      <c r="AX79" s="30">
        <f>ROUND(F79*AP79,2)</f>
        <v>0</v>
      </c>
      <c r="AY79" s="32" t="s">
        <v>210</v>
      </c>
      <c r="AZ79" s="32" t="s">
        <v>134</v>
      </c>
      <c r="BA79" s="11" t="s">
        <v>60</v>
      </c>
      <c r="BC79" s="30">
        <f>AW79+AX79</f>
        <v>0</v>
      </c>
      <c r="BD79" s="30">
        <f>G79/(100-BE79)*100</f>
        <v>0</v>
      </c>
      <c r="BE79" s="30">
        <v>0</v>
      </c>
      <c r="BF79" s="30">
        <f>79</f>
        <v>79</v>
      </c>
      <c r="BH79" s="28">
        <f>F79*AO79</f>
        <v>0</v>
      </c>
      <c r="BI79" s="28">
        <f>F79*AP79</f>
        <v>0</v>
      </c>
      <c r="BJ79" s="28">
        <f>F79*G79</f>
        <v>0</v>
      </c>
      <c r="BK79" s="28"/>
      <c r="BL79" s="30">
        <v>64</v>
      </c>
      <c r="BW79" s="30">
        <v>21</v>
      </c>
      <c r="BX79" s="27" t="s">
        <v>209</v>
      </c>
    </row>
    <row r="80" spans="1:76" ht="13.5" customHeight="1" x14ac:dyDescent="0.25">
      <c r="A80" s="33"/>
      <c r="B80" s="34"/>
      <c r="C80" s="78" t="s">
        <v>211</v>
      </c>
      <c r="D80" s="79"/>
      <c r="E80" s="79"/>
      <c r="F80" s="79"/>
      <c r="G80" s="79"/>
      <c r="H80" s="79"/>
      <c r="I80" s="79"/>
      <c r="J80" s="79"/>
      <c r="K80" s="80"/>
    </row>
    <row r="81" spans="1:76" x14ac:dyDescent="0.25">
      <c r="A81" s="36" t="s">
        <v>50</v>
      </c>
      <c r="B81" s="37" t="s">
        <v>212</v>
      </c>
      <c r="C81" s="81" t="s">
        <v>213</v>
      </c>
      <c r="D81" s="82"/>
      <c r="E81" s="38" t="s">
        <v>4</v>
      </c>
      <c r="F81" s="38" t="s">
        <v>4</v>
      </c>
      <c r="G81" s="38" t="s">
        <v>4</v>
      </c>
      <c r="H81" s="1">
        <f>SUM(H82:H82)</f>
        <v>0</v>
      </c>
      <c r="I81" s="1">
        <f>SUM(I82:I82)</f>
        <v>0</v>
      </c>
      <c r="J81" s="1">
        <f>SUM(J82:J82)</f>
        <v>0</v>
      </c>
      <c r="K81" s="39" t="s">
        <v>50</v>
      </c>
      <c r="AI81" s="11" t="s">
        <v>50</v>
      </c>
      <c r="AS81" s="1">
        <f>SUM(AJ82:AJ82)</f>
        <v>0</v>
      </c>
      <c r="AT81" s="1">
        <f>SUM(AK82:AK82)</f>
        <v>0</v>
      </c>
      <c r="AU81" s="1">
        <f>SUM(AL82:AL82)</f>
        <v>0</v>
      </c>
    </row>
    <row r="82" spans="1:76" x14ac:dyDescent="0.25">
      <c r="A82" s="25" t="s">
        <v>214</v>
      </c>
      <c r="B82" s="26" t="s">
        <v>215</v>
      </c>
      <c r="C82" s="83" t="s">
        <v>216</v>
      </c>
      <c r="D82" s="84"/>
      <c r="E82" s="26" t="s">
        <v>66</v>
      </c>
      <c r="F82" s="28">
        <v>47.8</v>
      </c>
      <c r="G82" s="28">
        <v>0</v>
      </c>
      <c r="H82" s="28">
        <f>ROUND(F82*AO82,2)</f>
        <v>0</v>
      </c>
      <c r="I82" s="28">
        <f>ROUND(F82*AP82,2)</f>
        <v>0</v>
      </c>
      <c r="J82" s="28">
        <f>ROUND(F82*G82,2)</f>
        <v>0</v>
      </c>
      <c r="K82" s="29" t="s">
        <v>57</v>
      </c>
      <c r="Z82" s="30">
        <f>ROUND(IF(AQ82="5",BJ82,0),2)</f>
        <v>0</v>
      </c>
      <c r="AB82" s="30">
        <f>ROUND(IF(AQ82="1",BH82,0),2)</f>
        <v>0</v>
      </c>
      <c r="AC82" s="30">
        <f>ROUND(IF(AQ82="1",BI82,0),2)</f>
        <v>0</v>
      </c>
      <c r="AD82" s="30">
        <f>ROUND(IF(AQ82="7",BH82,0),2)</f>
        <v>0</v>
      </c>
      <c r="AE82" s="30">
        <f>ROUND(IF(AQ82="7",BI82,0),2)</f>
        <v>0</v>
      </c>
      <c r="AF82" s="30">
        <f>ROUND(IF(AQ82="2",BH82,0),2)</f>
        <v>0</v>
      </c>
      <c r="AG82" s="30">
        <f>ROUND(IF(AQ82="2",BI82,0),2)</f>
        <v>0</v>
      </c>
      <c r="AH82" s="30">
        <f>ROUND(IF(AQ82="0",BJ82,0),2)</f>
        <v>0</v>
      </c>
      <c r="AI82" s="11" t="s">
        <v>50</v>
      </c>
      <c r="AJ82" s="28">
        <f>IF(AN82=0,J82,0)</f>
        <v>0</v>
      </c>
      <c r="AK82" s="28">
        <f>IF(AN82=12,J82,0)</f>
        <v>0</v>
      </c>
      <c r="AL82" s="28">
        <f>IF(AN82=21,J82,0)</f>
        <v>0</v>
      </c>
      <c r="AN82" s="30">
        <v>21</v>
      </c>
      <c r="AO82" s="30">
        <f>G82*0.733949581</f>
        <v>0</v>
      </c>
      <c r="AP82" s="30">
        <f>G82*(1-0.733949581)</f>
        <v>0</v>
      </c>
      <c r="AQ82" s="31" t="s">
        <v>53</v>
      </c>
      <c r="AV82" s="30">
        <f>ROUND(AW82+AX82,2)</f>
        <v>0</v>
      </c>
      <c r="AW82" s="30">
        <f>ROUND(F82*AO82,2)</f>
        <v>0</v>
      </c>
      <c r="AX82" s="30">
        <f>ROUND(F82*AP82,2)</f>
        <v>0</v>
      </c>
      <c r="AY82" s="32" t="s">
        <v>217</v>
      </c>
      <c r="AZ82" s="32" t="s">
        <v>218</v>
      </c>
      <c r="BA82" s="11" t="s">
        <v>60</v>
      </c>
      <c r="BC82" s="30">
        <f>AW82+AX82</f>
        <v>0</v>
      </c>
      <c r="BD82" s="30">
        <f>G82/(100-BE82)*100</f>
        <v>0</v>
      </c>
      <c r="BE82" s="30">
        <v>0</v>
      </c>
      <c r="BF82" s="30">
        <f>82</f>
        <v>82</v>
      </c>
      <c r="BH82" s="28">
        <f>F82*AO82</f>
        <v>0</v>
      </c>
      <c r="BI82" s="28">
        <f>F82*AP82</f>
        <v>0</v>
      </c>
      <c r="BJ82" s="28">
        <f>F82*G82</f>
        <v>0</v>
      </c>
      <c r="BK82" s="28"/>
      <c r="BL82" s="30">
        <v>91</v>
      </c>
      <c r="BW82" s="30">
        <v>21</v>
      </c>
      <c r="BX82" s="27" t="s">
        <v>216</v>
      </c>
    </row>
    <row r="83" spans="1:76" ht="13.5" customHeight="1" x14ac:dyDescent="0.25">
      <c r="A83" s="33"/>
      <c r="B83" s="34"/>
      <c r="C83" s="78" t="s">
        <v>219</v>
      </c>
      <c r="D83" s="79"/>
      <c r="E83" s="79"/>
      <c r="F83" s="79"/>
      <c r="G83" s="79"/>
      <c r="H83" s="79"/>
      <c r="I83" s="79"/>
      <c r="J83" s="79"/>
      <c r="K83" s="80"/>
    </row>
    <row r="84" spans="1:76" x14ac:dyDescent="0.25">
      <c r="A84" s="36" t="s">
        <v>50</v>
      </c>
      <c r="B84" s="37" t="s">
        <v>220</v>
      </c>
      <c r="C84" s="81" t="s">
        <v>221</v>
      </c>
      <c r="D84" s="82"/>
      <c r="E84" s="38" t="s">
        <v>4</v>
      </c>
      <c r="F84" s="38" t="s">
        <v>4</v>
      </c>
      <c r="G84" s="38" t="s">
        <v>4</v>
      </c>
      <c r="H84" s="1">
        <f>SUM(H85:H91)</f>
        <v>0</v>
      </c>
      <c r="I84" s="1">
        <f>SUM(I85:I91)</f>
        <v>0</v>
      </c>
      <c r="J84" s="1">
        <f>SUM(J85:J91)</f>
        <v>0</v>
      </c>
      <c r="K84" s="39" t="s">
        <v>50</v>
      </c>
      <c r="AI84" s="11" t="s">
        <v>50</v>
      </c>
      <c r="AS84" s="1">
        <f>SUM(AJ85:AJ91)</f>
        <v>0</v>
      </c>
      <c r="AT84" s="1">
        <f>SUM(AK85:AK91)</f>
        <v>0</v>
      </c>
      <c r="AU84" s="1">
        <f>SUM(AL85:AL91)</f>
        <v>0</v>
      </c>
    </row>
    <row r="85" spans="1:76" x14ac:dyDescent="0.25">
      <c r="A85" s="25" t="s">
        <v>222</v>
      </c>
      <c r="B85" s="26" t="s">
        <v>223</v>
      </c>
      <c r="C85" s="83" t="s">
        <v>224</v>
      </c>
      <c r="D85" s="84"/>
      <c r="E85" s="26" t="s">
        <v>112</v>
      </c>
      <c r="F85" s="28">
        <v>384</v>
      </c>
      <c r="G85" s="28">
        <v>0</v>
      </c>
      <c r="H85" s="28">
        <f t="shared" ref="H85:H91" si="0">ROUND(F85*AO85,2)</f>
        <v>0</v>
      </c>
      <c r="I85" s="28">
        <f t="shared" ref="I85:I91" si="1">ROUND(F85*AP85,2)</f>
        <v>0</v>
      </c>
      <c r="J85" s="28">
        <f t="shared" ref="J85:J91" si="2">ROUND(F85*G85,2)</f>
        <v>0</v>
      </c>
      <c r="K85" s="29" t="s">
        <v>57</v>
      </c>
      <c r="Z85" s="30">
        <f t="shared" ref="Z85:Z91" si="3">ROUND(IF(AQ85="5",BJ85,0),2)</f>
        <v>0</v>
      </c>
      <c r="AB85" s="30">
        <f t="shared" ref="AB85:AB91" si="4">ROUND(IF(AQ85="1",BH85,0),2)</f>
        <v>0</v>
      </c>
      <c r="AC85" s="30">
        <f t="shared" ref="AC85:AC91" si="5">ROUND(IF(AQ85="1",BI85,0),2)</f>
        <v>0</v>
      </c>
      <c r="AD85" s="30">
        <f t="shared" ref="AD85:AD91" si="6">ROUND(IF(AQ85="7",BH85,0),2)</f>
        <v>0</v>
      </c>
      <c r="AE85" s="30">
        <f t="shared" ref="AE85:AE91" si="7">ROUND(IF(AQ85="7",BI85,0),2)</f>
        <v>0</v>
      </c>
      <c r="AF85" s="30">
        <f t="shared" ref="AF85:AF91" si="8">ROUND(IF(AQ85="2",BH85,0),2)</f>
        <v>0</v>
      </c>
      <c r="AG85" s="30">
        <f t="shared" ref="AG85:AG91" si="9">ROUND(IF(AQ85="2",BI85,0),2)</f>
        <v>0</v>
      </c>
      <c r="AH85" s="30">
        <f t="shared" ref="AH85:AH91" si="10">ROUND(IF(AQ85="0",BJ85,0),2)</f>
        <v>0</v>
      </c>
      <c r="AI85" s="11" t="s">
        <v>50</v>
      </c>
      <c r="AJ85" s="28">
        <f t="shared" ref="AJ85:AJ91" si="11">IF(AN85=0,J85,0)</f>
        <v>0</v>
      </c>
      <c r="AK85" s="28">
        <f t="shared" ref="AK85:AK91" si="12">IF(AN85=12,J85,0)</f>
        <v>0</v>
      </c>
      <c r="AL85" s="28">
        <f t="shared" ref="AL85:AL91" si="13">IF(AN85=21,J85,0)</f>
        <v>0</v>
      </c>
      <c r="AN85" s="30">
        <v>21</v>
      </c>
      <c r="AO85" s="30">
        <f>G85*0.000431965</f>
        <v>0</v>
      </c>
      <c r="AP85" s="30">
        <f>G85*(1-0.000431965)</f>
        <v>0</v>
      </c>
      <c r="AQ85" s="31" t="s">
        <v>53</v>
      </c>
      <c r="AV85" s="30">
        <f t="shared" ref="AV85:AV91" si="14">ROUND(AW85+AX85,2)</f>
        <v>0</v>
      </c>
      <c r="AW85" s="30">
        <f t="shared" ref="AW85:AW91" si="15">ROUND(F85*AO85,2)</f>
        <v>0</v>
      </c>
      <c r="AX85" s="30">
        <f t="shared" ref="AX85:AX91" si="16">ROUND(F85*AP85,2)</f>
        <v>0</v>
      </c>
      <c r="AY85" s="32" t="s">
        <v>225</v>
      </c>
      <c r="AZ85" s="32" t="s">
        <v>218</v>
      </c>
      <c r="BA85" s="11" t="s">
        <v>60</v>
      </c>
      <c r="BC85" s="30">
        <f t="shared" ref="BC85:BC91" si="17">AW85+AX85</f>
        <v>0</v>
      </c>
      <c r="BD85" s="30">
        <f t="shared" ref="BD85:BD91" si="18">G85/(100-BE85)*100</f>
        <v>0</v>
      </c>
      <c r="BE85" s="30">
        <v>0</v>
      </c>
      <c r="BF85" s="30">
        <f>85</f>
        <v>85</v>
      </c>
      <c r="BH85" s="28">
        <f t="shared" ref="BH85:BH91" si="19">F85*AO85</f>
        <v>0</v>
      </c>
      <c r="BI85" s="28">
        <f t="shared" ref="BI85:BI91" si="20">F85*AP85</f>
        <v>0</v>
      </c>
      <c r="BJ85" s="28">
        <f t="shared" ref="BJ85:BJ91" si="21">F85*G85</f>
        <v>0</v>
      </c>
      <c r="BK85" s="28"/>
      <c r="BL85" s="30">
        <v>94</v>
      </c>
      <c r="BW85" s="30">
        <v>21</v>
      </c>
      <c r="BX85" s="27" t="s">
        <v>224</v>
      </c>
    </row>
    <row r="86" spans="1:76" x14ac:dyDescent="0.25">
      <c r="A86" s="25" t="s">
        <v>226</v>
      </c>
      <c r="B86" s="26" t="s">
        <v>227</v>
      </c>
      <c r="C86" s="83" t="s">
        <v>228</v>
      </c>
      <c r="D86" s="84"/>
      <c r="E86" s="26" t="s">
        <v>112</v>
      </c>
      <c r="F86" s="28">
        <v>768</v>
      </c>
      <c r="G86" s="28">
        <v>0</v>
      </c>
      <c r="H86" s="28">
        <f t="shared" si="0"/>
        <v>0</v>
      </c>
      <c r="I86" s="28">
        <f t="shared" si="1"/>
        <v>0</v>
      </c>
      <c r="J86" s="28">
        <f t="shared" si="2"/>
        <v>0</v>
      </c>
      <c r="K86" s="29" t="s">
        <v>57</v>
      </c>
      <c r="Z86" s="30">
        <f t="shared" si="3"/>
        <v>0</v>
      </c>
      <c r="AB86" s="30">
        <f t="shared" si="4"/>
        <v>0</v>
      </c>
      <c r="AC86" s="30">
        <f t="shared" si="5"/>
        <v>0</v>
      </c>
      <c r="AD86" s="30">
        <f t="shared" si="6"/>
        <v>0</v>
      </c>
      <c r="AE86" s="30">
        <f t="shared" si="7"/>
        <v>0</v>
      </c>
      <c r="AF86" s="30">
        <f t="shared" si="8"/>
        <v>0</v>
      </c>
      <c r="AG86" s="30">
        <f t="shared" si="9"/>
        <v>0</v>
      </c>
      <c r="AH86" s="30">
        <f t="shared" si="10"/>
        <v>0</v>
      </c>
      <c r="AI86" s="11" t="s">
        <v>50</v>
      </c>
      <c r="AJ86" s="28">
        <f t="shared" si="11"/>
        <v>0</v>
      </c>
      <c r="AK86" s="28">
        <f t="shared" si="12"/>
        <v>0</v>
      </c>
      <c r="AL86" s="28">
        <f t="shared" si="13"/>
        <v>0</v>
      </c>
      <c r="AN86" s="30">
        <v>21</v>
      </c>
      <c r="AO86" s="30">
        <f>G86*0.935825785</f>
        <v>0</v>
      </c>
      <c r="AP86" s="30">
        <f>G86*(1-0.935825785)</f>
        <v>0</v>
      </c>
      <c r="AQ86" s="31" t="s">
        <v>53</v>
      </c>
      <c r="AV86" s="30">
        <f t="shared" si="14"/>
        <v>0</v>
      </c>
      <c r="AW86" s="30">
        <f t="shared" si="15"/>
        <v>0</v>
      </c>
      <c r="AX86" s="30">
        <f t="shared" si="16"/>
        <v>0</v>
      </c>
      <c r="AY86" s="32" t="s">
        <v>225</v>
      </c>
      <c r="AZ86" s="32" t="s">
        <v>218</v>
      </c>
      <c r="BA86" s="11" t="s">
        <v>60</v>
      </c>
      <c r="BC86" s="30">
        <f t="shared" si="17"/>
        <v>0</v>
      </c>
      <c r="BD86" s="30">
        <f t="shared" si="18"/>
        <v>0</v>
      </c>
      <c r="BE86" s="30">
        <v>0</v>
      </c>
      <c r="BF86" s="30">
        <f>86</f>
        <v>86</v>
      </c>
      <c r="BH86" s="28">
        <f t="shared" si="19"/>
        <v>0</v>
      </c>
      <c r="BI86" s="28">
        <f t="shared" si="20"/>
        <v>0</v>
      </c>
      <c r="BJ86" s="28">
        <f t="shared" si="21"/>
        <v>0</v>
      </c>
      <c r="BK86" s="28"/>
      <c r="BL86" s="30">
        <v>94</v>
      </c>
      <c r="BW86" s="30">
        <v>21</v>
      </c>
      <c r="BX86" s="27" t="s">
        <v>228</v>
      </c>
    </row>
    <row r="87" spans="1:76" x14ac:dyDescent="0.25">
      <c r="A87" s="25" t="s">
        <v>229</v>
      </c>
      <c r="B87" s="26" t="s">
        <v>230</v>
      </c>
      <c r="C87" s="83" t="s">
        <v>231</v>
      </c>
      <c r="D87" s="84"/>
      <c r="E87" s="26" t="s">
        <v>112</v>
      </c>
      <c r="F87" s="28">
        <v>384</v>
      </c>
      <c r="G87" s="28">
        <v>0</v>
      </c>
      <c r="H87" s="28">
        <f t="shared" si="0"/>
        <v>0</v>
      </c>
      <c r="I87" s="28">
        <f t="shared" si="1"/>
        <v>0</v>
      </c>
      <c r="J87" s="28">
        <f t="shared" si="2"/>
        <v>0</v>
      </c>
      <c r="K87" s="29" t="s">
        <v>57</v>
      </c>
      <c r="Z87" s="30">
        <f t="shared" si="3"/>
        <v>0</v>
      </c>
      <c r="AB87" s="30">
        <f t="shared" si="4"/>
        <v>0</v>
      </c>
      <c r="AC87" s="30">
        <f t="shared" si="5"/>
        <v>0</v>
      </c>
      <c r="AD87" s="30">
        <f t="shared" si="6"/>
        <v>0</v>
      </c>
      <c r="AE87" s="30">
        <f t="shared" si="7"/>
        <v>0</v>
      </c>
      <c r="AF87" s="30">
        <f t="shared" si="8"/>
        <v>0</v>
      </c>
      <c r="AG87" s="30">
        <f t="shared" si="9"/>
        <v>0</v>
      </c>
      <c r="AH87" s="30">
        <f t="shared" si="10"/>
        <v>0</v>
      </c>
      <c r="AI87" s="11" t="s">
        <v>50</v>
      </c>
      <c r="AJ87" s="28">
        <f t="shared" si="11"/>
        <v>0</v>
      </c>
      <c r="AK87" s="28">
        <f t="shared" si="12"/>
        <v>0</v>
      </c>
      <c r="AL87" s="28">
        <f t="shared" si="13"/>
        <v>0</v>
      </c>
      <c r="AN87" s="30">
        <v>21</v>
      </c>
      <c r="AO87" s="30">
        <f>G87*0</f>
        <v>0</v>
      </c>
      <c r="AP87" s="30">
        <f>G87*(1-0)</f>
        <v>0</v>
      </c>
      <c r="AQ87" s="31" t="s">
        <v>53</v>
      </c>
      <c r="AV87" s="30">
        <f t="shared" si="14"/>
        <v>0</v>
      </c>
      <c r="AW87" s="30">
        <f t="shared" si="15"/>
        <v>0</v>
      </c>
      <c r="AX87" s="30">
        <f t="shared" si="16"/>
        <v>0</v>
      </c>
      <c r="AY87" s="32" t="s">
        <v>225</v>
      </c>
      <c r="AZ87" s="32" t="s">
        <v>218</v>
      </c>
      <c r="BA87" s="11" t="s">
        <v>60</v>
      </c>
      <c r="BC87" s="30">
        <f t="shared" si="17"/>
        <v>0</v>
      </c>
      <c r="BD87" s="30">
        <f t="shared" si="18"/>
        <v>0</v>
      </c>
      <c r="BE87" s="30">
        <v>0</v>
      </c>
      <c r="BF87" s="30">
        <f>87</f>
        <v>87</v>
      </c>
      <c r="BH87" s="28">
        <f t="shared" si="19"/>
        <v>0</v>
      </c>
      <c r="BI87" s="28">
        <f t="shared" si="20"/>
        <v>0</v>
      </c>
      <c r="BJ87" s="28">
        <f t="shared" si="21"/>
        <v>0</v>
      </c>
      <c r="BK87" s="28"/>
      <c r="BL87" s="30">
        <v>94</v>
      </c>
      <c r="BW87" s="30">
        <v>21</v>
      </c>
      <c r="BX87" s="27" t="s">
        <v>231</v>
      </c>
    </row>
    <row r="88" spans="1:76" x14ac:dyDescent="0.25">
      <c r="A88" s="25" t="s">
        <v>232</v>
      </c>
      <c r="B88" s="26" t="s">
        <v>233</v>
      </c>
      <c r="C88" s="83" t="s">
        <v>234</v>
      </c>
      <c r="D88" s="84"/>
      <c r="E88" s="26" t="s">
        <v>112</v>
      </c>
      <c r="F88" s="28">
        <v>384</v>
      </c>
      <c r="G88" s="28">
        <v>0</v>
      </c>
      <c r="H88" s="28">
        <f t="shared" si="0"/>
        <v>0</v>
      </c>
      <c r="I88" s="28">
        <f t="shared" si="1"/>
        <v>0</v>
      </c>
      <c r="J88" s="28">
        <f t="shared" si="2"/>
        <v>0</v>
      </c>
      <c r="K88" s="29" t="s">
        <v>57</v>
      </c>
      <c r="Z88" s="30">
        <f t="shared" si="3"/>
        <v>0</v>
      </c>
      <c r="AB88" s="30">
        <f t="shared" si="4"/>
        <v>0</v>
      </c>
      <c r="AC88" s="30">
        <f t="shared" si="5"/>
        <v>0</v>
      </c>
      <c r="AD88" s="30">
        <f t="shared" si="6"/>
        <v>0</v>
      </c>
      <c r="AE88" s="30">
        <f t="shared" si="7"/>
        <v>0</v>
      </c>
      <c r="AF88" s="30">
        <f t="shared" si="8"/>
        <v>0</v>
      </c>
      <c r="AG88" s="30">
        <f t="shared" si="9"/>
        <v>0</v>
      </c>
      <c r="AH88" s="30">
        <f t="shared" si="10"/>
        <v>0</v>
      </c>
      <c r="AI88" s="11" t="s">
        <v>50</v>
      </c>
      <c r="AJ88" s="28">
        <f t="shared" si="11"/>
        <v>0</v>
      </c>
      <c r="AK88" s="28">
        <f t="shared" si="12"/>
        <v>0</v>
      </c>
      <c r="AL88" s="28">
        <f t="shared" si="13"/>
        <v>0</v>
      </c>
      <c r="AN88" s="30">
        <v>21</v>
      </c>
      <c r="AO88" s="30">
        <f>G88*0.224965753</f>
        <v>0</v>
      </c>
      <c r="AP88" s="30">
        <f>G88*(1-0.224965753)</f>
        <v>0</v>
      </c>
      <c r="AQ88" s="31" t="s">
        <v>53</v>
      </c>
      <c r="AV88" s="30">
        <f t="shared" si="14"/>
        <v>0</v>
      </c>
      <c r="AW88" s="30">
        <f t="shared" si="15"/>
        <v>0</v>
      </c>
      <c r="AX88" s="30">
        <f t="shared" si="16"/>
        <v>0</v>
      </c>
      <c r="AY88" s="32" t="s">
        <v>225</v>
      </c>
      <c r="AZ88" s="32" t="s">
        <v>218</v>
      </c>
      <c r="BA88" s="11" t="s">
        <v>60</v>
      </c>
      <c r="BC88" s="30">
        <f t="shared" si="17"/>
        <v>0</v>
      </c>
      <c r="BD88" s="30">
        <f t="shared" si="18"/>
        <v>0</v>
      </c>
      <c r="BE88" s="30">
        <v>0</v>
      </c>
      <c r="BF88" s="30">
        <f>88</f>
        <v>88</v>
      </c>
      <c r="BH88" s="28">
        <f t="shared" si="19"/>
        <v>0</v>
      </c>
      <c r="BI88" s="28">
        <f t="shared" si="20"/>
        <v>0</v>
      </c>
      <c r="BJ88" s="28">
        <f t="shared" si="21"/>
        <v>0</v>
      </c>
      <c r="BK88" s="28"/>
      <c r="BL88" s="30">
        <v>94</v>
      </c>
      <c r="BW88" s="30">
        <v>21</v>
      </c>
      <c r="BX88" s="27" t="s">
        <v>234</v>
      </c>
    </row>
    <row r="89" spans="1:76" x14ac:dyDescent="0.25">
      <c r="A89" s="25" t="s">
        <v>235</v>
      </c>
      <c r="B89" s="26" t="s">
        <v>236</v>
      </c>
      <c r="C89" s="83" t="s">
        <v>237</v>
      </c>
      <c r="D89" s="84"/>
      <c r="E89" s="26" t="s">
        <v>56</v>
      </c>
      <c r="F89" s="28">
        <v>898</v>
      </c>
      <c r="G89" s="28">
        <v>0</v>
      </c>
      <c r="H89" s="28">
        <f t="shared" si="0"/>
        <v>0</v>
      </c>
      <c r="I89" s="28">
        <f t="shared" si="1"/>
        <v>0</v>
      </c>
      <c r="J89" s="28">
        <f t="shared" si="2"/>
        <v>0</v>
      </c>
      <c r="K89" s="29" t="s">
        <v>57</v>
      </c>
      <c r="Z89" s="30">
        <f t="shared" si="3"/>
        <v>0</v>
      </c>
      <c r="AB89" s="30">
        <f t="shared" si="4"/>
        <v>0</v>
      </c>
      <c r="AC89" s="30">
        <f t="shared" si="5"/>
        <v>0</v>
      </c>
      <c r="AD89" s="30">
        <f t="shared" si="6"/>
        <v>0</v>
      </c>
      <c r="AE89" s="30">
        <f t="shared" si="7"/>
        <v>0</v>
      </c>
      <c r="AF89" s="30">
        <f t="shared" si="8"/>
        <v>0</v>
      </c>
      <c r="AG89" s="30">
        <f t="shared" si="9"/>
        <v>0</v>
      </c>
      <c r="AH89" s="30">
        <f t="shared" si="10"/>
        <v>0</v>
      </c>
      <c r="AI89" s="11" t="s">
        <v>50</v>
      </c>
      <c r="AJ89" s="28">
        <f t="shared" si="11"/>
        <v>0</v>
      </c>
      <c r="AK89" s="28">
        <f t="shared" si="12"/>
        <v>0</v>
      </c>
      <c r="AL89" s="28">
        <f t="shared" si="13"/>
        <v>0</v>
      </c>
      <c r="AN89" s="30">
        <v>21</v>
      </c>
      <c r="AO89" s="30">
        <f>G89*0.000503778</f>
        <v>0</v>
      </c>
      <c r="AP89" s="30">
        <f>G89*(1-0.000503778)</f>
        <v>0</v>
      </c>
      <c r="AQ89" s="31" t="s">
        <v>53</v>
      </c>
      <c r="AV89" s="30">
        <f t="shared" si="14"/>
        <v>0</v>
      </c>
      <c r="AW89" s="30">
        <f t="shared" si="15"/>
        <v>0</v>
      </c>
      <c r="AX89" s="30">
        <f t="shared" si="16"/>
        <v>0</v>
      </c>
      <c r="AY89" s="32" t="s">
        <v>225</v>
      </c>
      <c r="AZ89" s="32" t="s">
        <v>218</v>
      </c>
      <c r="BA89" s="11" t="s">
        <v>60</v>
      </c>
      <c r="BC89" s="30">
        <f t="shared" si="17"/>
        <v>0</v>
      </c>
      <c r="BD89" s="30">
        <f t="shared" si="18"/>
        <v>0</v>
      </c>
      <c r="BE89" s="30">
        <v>0</v>
      </c>
      <c r="BF89" s="30">
        <f>89</f>
        <v>89</v>
      </c>
      <c r="BH89" s="28">
        <f t="shared" si="19"/>
        <v>0</v>
      </c>
      <c r="BI89" s="28">
        <f t="shared" si="20"/>
        <v>0</v>
      </c>
      <c r="BJ89" s="28">
        <f t="shared" si="21"/>
        <v>0</v>
      </c>
      <c r="BK89" s="28"/>
      <c r="BL89" s="30">
        <v>94</v>
      </c>
      <c r="BW89" s="30">
        <v>21</v>
      </c>
      <c r="BX89" s="27" t="s">
        <v>237</v>
      </c>
    </row>
    <row r="90" spans="1:76" x14ac:dyDescent="0.25">
      <c r="A90" s="25" t="s">
        <v>238</v>
      </c>
      <c r="B90" s="26" t="s">
        <v>239</v>
      </c>
      <c r="C90" s="83" t="s">
        <v>240</v>
      </c>
      <c r="D90" s="84"/>
      <c r="E90" s="26" t="s">
        <v>56</v>
      </c>
      <c r="F90" s="28">
        <v>898</v>
      </c>
      <c r="G90" s="28">
        <v>0</v>
      </c>
      <c r="H90" s="28">
        <f t="shared" si="0"/>
        <v>0</v>
      </c>
      <c r="I90" s="28">
        <f t="shared" si="1"/>
        <v>0</v>
      </c>
      <c r="J90" s="28">
        <f t="shared" si="2"/>
        <v>0</v>
      </c>
      <c r="K90" s="29" t="s">
        <v>57</v>
      </c>
      <c r="Z90" s="30">
        <f t="shared" si="3"/>
        <v>0</v>
      </c>
      <c r="AB90" s="30">
        <f t="shared" si="4"/>
        <v>0</v>
      </c>
      <c r="AC90" s="30">
        <f t="shared" si="5"/>
        <v>0</v>
      </c>
      <c r="AD90" s="30">
        <f t="shared" si="6"/>
        <v>0</v>
      </c>
      <c r="AE90" s="30">
        <f t="shared" si="7"/>
        <v>0</v>
      </c>
      <c r="AF90" s="30">
        <f t="shared" si="8"/>
        <v>0</v>
      </c>
      <c r="AG90" s="30">
        <f t="shared" si="9"/>
        <v>0</v>
      </c>
      <c r="AH90" s="30">
        <f t="shared" si="10"/>
        <v>0</v>
      </c>
      <c r="AI90" s="11" t="s">
        <v>50</v>
      </c>
      <c r="AJ90" s="28">
        <f t="shared" si="11"/>
        <v>0</v>
      </c>
      <c r="AK90" s="28">
        <f t="shared" si="12"/>
        <v>0</v>
      </c>
      <c r="AL90" s="28">
        <f t="shared" si="13"/>
        <v>0</v>
      </c>
      <c r="AN90" s="30">
        <v>21</v>
      </c>
      <c r="AO90" s="30">
        <f>G90*0.913043478</f>
        <v>0</v>
      </c>
      <c r="AP90" s="30">
        <f>G90*(1-0.913043478)</f>
        <v>0</v>
      </c>
      <c r="AQ90" s="31" t="s">
        <v>53</v>
      </c>
      <c r="AV90" s="30">
        <f t="shared" si="14"/>
        <v>0</v>
      </c>
      <c r="AW90" s="30">
        <f t="shared" si="15"/>
        <v>0</v>
      </c>
      <c r="AX90" s="30">
        <f t="shared" si="16"/>
        <v>0</v>
      </c>
      <c r="AY90" s="32" t="s">
        <v>225</v>
      </c>
      <c r="AZ90" s="32" t="s">
        <v>218</v>
      </c>
      <c r="BA90" s="11" t="s">
        <v>60</v>
      </c>
      <c r="BC90" s="30">
        <f t="shared" si="17"/>
        <v>0</v>
      </c>
      <c r="BD90" s="30">
        <f t="shared" si="18"/>
        <v>0</v>
      </c>
      <c r="BE90" s="30">
        <v>0</v>
      </c>
      <c r="BF90" s="30">
        <f>90</f>
        <v>90</v>
      </c>
      <c r="BH90" s="28">
        <f t="shared" si="19"/>
        <v>0</v>
      </c>
      <c r="BI90" s="28">
        <f t="shared" si="20"/>
        <v>0</v>
      </c>
      <c r="BJ90" s="28">
        <f t="shared" si="21"/>
        <v>0</v>
      </c>
      <c r="BK90" s="28"/>
      <c r="BL90" s="30">
        <v>94</v>
      </c>
      <c r="BW90" s="30">
        <v>21</v>
      </c>
      <c r="BX90" s="27" t="s">
        <v>240</v>
      </c>
    </row>
    <row r="91" spans="1:76" x14ac:dyDescent="0.25">
      <c r="A91" s="25" t="s">
        <v>241</v>
      </c>
      <c r="B91" s="26" t="s">
        <v>242</v>
      </c>
      <c r="C91" s="83" t="s">
        <v>243</v>
      </c>
      <c r="D91" s="84"/>
      <c r="E91" s="26" t="s">
        <v>56</v>
      </c>
      <c r="F91" s="28">
        <v>898</v>
      </c>
      <c r="G91" s="28">
        <v>0</v>
      </c>
      <c r="H91" s="28">
        <f t="shared" si="0"/>
        <v>0</v>
      </c>
      <c r="I91" s="28">
        <f t="shared" si="1"/>
        <v>0</v>
      </c>
      <c r="J91" s="28">
        <f t="shared" si="2"/>
        <v>0</v>
      </c>
      <c r="K91" s="29" t="s">
        <v>57</v>
      </c>
      <c r="Z91" s="30">
        <f t="shared" si="3"/>
        <v>0</v>
      </c>
      <c r="AB91" s="30">
        <f t="shared" si="4"/>
        <v>0</v>
      </c>
      <c r="AC91" s="30">
        <f t="shared" si="5"/>
        <v>0</v>
      </c>
      <c r="AD91" s="30">
        <f t="shared" si="6"/>
        <v>0</v>
      </c>
      <c r="AE91" s="30">
        <f t="shared" si="7"/>
        <v>0</v>
      </c>
      <c r="AF91" s="30">
        <f t="shared" si="8"/>
        <v>0</v>
      </c>
      <c r="AG91" s="30">
        <f t="shared" si="9"/>
        <v>0</v>
      </c>
      <c r="AH91" s="30">
        <f t="shared" si="10"/>
        <v>0</v>
      </c>
      <c r="AI91" s="11" t="s">
        <v>50</v>
      </c>
      <c r="AJ91" s="28">
        <f t="shared" si="11"/>
        <v>0</v>
      </c>
      <c r="AK91" s="28">
        <f t="shared" si="12"/>
        <v>0</v>
      </c>
      <c r="AL91" s="28">
        <f t="shared" si="13"/>
        <v>0</v>
      </c>
      <c r="AN91" s="30">
        <v>21</v>
      </c>
      <c r="AO91" s="30">
        <f>G91*0</f>
        <v>0</v>
      </c>
      <c r="AP91" s="30">
        <f>G91*(1-0)</f>
        <v>0</v>
      </c>
      <c r="AQ91" s="31" t="s">
        <v>53</v>
      </c>
      <c r="AV91" s="30">
        <f t="shared" si="14"/>
        <v>0</v>
      </c>
      <c r="AW91" s="30">
        <f t="shared" si="15"/>
        <v>0</v>
      </c>
      <c r="AX91" s="30">
        <f t="shared" si="16"/>
        <v>0</v>
      </c>
      <c r="AY91" s="32" t="s">
        <v>225</v>
      </c>
      <c r="AZ91" s="32" t="s">
        <v>218</v>
      </c>
      <c r="BA91" s="11" t="s">
        <v>60</v>
      </c>
      <c r="BC91" s="30">
        <f t="shared" si="17"/>
        <v>0</v>
      </c>
      <c r="BD91" s="30">
        <f t="shared" si="18"/>
        <v>0</v>
      </c>
      <c r="BE91" s="30">
        <v>0</v>
      </c>
      <c r="BF91" s="30">
        <f>91</f>
        <v>91</v>
      </c>
      <c r="BH91" s="28">
        <f t="shared" si="19"/>
        <v>0</v>
      </c>
      <c r="BI91" s="28">
        <f t="shared" si="20"/>
        <v>0</v>
      </c>
      <c r="BJ91" s="28">
        <f t="shared" si="21"/>
        <v>0</v>
      </c>
      <c r="BK91" s="28"/>
      <c r="BL91" s="30">
        <v>94</v>
      </c>
      <c r="BW91" s="30">
        <v>21</v>
      </c>
      <c r="BX91" s="27" t="s">
        <v>243</v>
      </c>
    </row>
    <row r="92" spans="1:76" x14ac:dyDescent="0.25">
      <c r="A92" s="36" t="s">
        <v>50</v>
      </c>
      <c r="B92" s="37" t="s">
        <v>244</v>
      </c>
      <c r="C92" s="81" t="s">
        <v>245</v>
      </c>
      <c r="D92" s="82"/>
      <c r="E92" s="38" t="s">
        <v>4</v>
      </c>
      <c r="F92" s="38" t="s">
        <v>4</v>
      </c>
      <c r="G92" s="38" t="s">
        <v>4</v>
      </c>
      <c r="H92" s="1">
        <f>SUM(H93:H103)</f>
        <v>0</v>
      </c>
      <c r="I92" s="1">
        <f>SUM(I93:I103)</f>
        <v>0</v>
      </c>
      <c r="J92" s="1">
        <f>SUM(J93:J103)</f>
        <v>0</v>
      </c>
      <c r="K92" s="39" t="s">
        <v>50</v>
      </c>
      <c r="AI92" s="11" t="s">
        <v>50</v>
      </c>
      <c r="AS92" s="1">
        <f>SUM(AJ93:AJ103)</f>
        <v>0</v>
      </c>
      <c r="AT92" s="1">
        <f>SUM(AK93:AK103)</f>
        <v>0</v>
      </c>
      <c r="AU92" s="1">
        <f>SUM(AL93:AL103)</f>
        <v>0</v>
      </c>
    </row>
    <row r="93" spans="1:76" x14ac:dyDescent="0.25">
      <c r="A93" s="25" t="s">
        <v>246</v>
      </c>
      <c r="B93" s="26" t="s">
        <v>247</v>
      </c>
      <c r="C93" s="83" t="s">
        <v>248</v>
      </c>
      <c r="D93" s="84"/>
      <c r="E93" s="26" t="s">
        <v>112</v>
      </c>
      <c r="F93" s="28">
        <v>317.76100000000002</v>
      </c>
      <c r="G93" s="28">
        <v>0</v>
      </c>
      <c r="H93" s="28">
        <f>ROUND(F93*AO93,2)</f>
        <v>0</v>
      </c>
      <c r="I93" s="28">
        <f>ROUND(F93*AP93,2)</f>
        <v>0</v>
      </c>
      <c r="J93" s="28">
        <f>ROUND(F93*G93,2)</f>
        <v>0</v>
      </c>
      <c r="K93" s="29" t="s">
        <v>57</v>
      </c>
      <c r="Z93" s="30">
        <f>ROUND(IF(AQ93="5",BJ93,0),2)</f>
        <v>0</v>
      </c>
      <c r="AB93" s="30">
        <f>ROUND(IF(AQ93="1",BH93,0),2)</f>
        <v>0</v>
      </c>
      <c r="AC93" s="30">
        <f>ROUND(IF(AQ93="1",BI93,0),2)</f>
        <v>0</v>
      </c>
      <c r="AD93" s="30">
        <f>ROUND(IF(AQ93="7",BH93,0),2)</f>
        <v>0</v>
      </c>
      <c r="AE93" s="30">
        <f>ROUND(IF(AQ93="7",BI93,0),2)</f>
        <v>0</v>
      </c>
      <c r="AF93" s="30">
        <f>ROUND(IF(AQ93="2",BH93,0),2)</f>
        <v>0</v>
      </c>
      <c r="AG93" s="30">
        <f>ROUND(IF(AQ93="2",BI93,0),2)</f>
        <v>0</v>
      </c>
      <c r="AH93" s="30">
        <f>ROUND(IF(AQ93="0",BJ93,0),2)</f>
        <v>0</v>
      </c>
      <c r="AI93" s="11" t="s">
        <v>50</v>
      </c>
      <c r="AJ93" s="28">
        <f>IF(AN93=0,J93,0)</f>
        <v>0</v>
      </c>
      <c r="AK93" s="28">
        <f>IF(AN93=12,J93,0)</f>
        <v>0</v>
      </c>
      <c r="AL93" s="28">
        <f>IF(AN93=21,J93,0)</f>
        <v>0</v>
      </c>
      <c r="AN93" s="30">
        <v>21</v>
      </c>
      <c r="AO93" s="30">
        <f>G93*0.051742563</f>
        <v>0</v>
      </c>
      <c r="AP93" s="30">
        <f>G93*(1-0.051742563)</f>
        <v>0</v>
      </c>
      <c r="AQ93" s="31" t="s">
        <v>53</v>
      </c>
      <c r="AV93" s="30">
        <f>ROUND(AW93+AX93,2)</f>
        <v>0</v>
      </c>
      <c r="AW93" s="30">
        <f>ROUND(F93*AO93,2)</f>
        <v>0</v>
      </c>
      <c r="AX93" s="30">
        <f>ROUND(F93*AP93,2)</f>
        <v>0</v>
      </c>
      <c r="AY93" s="32" t="s">
        <v>249</v>
      </c>
      <c r="AZ93" s="32" t="s">
        <v>218</v>
      </c>
      <c r="BA93" s="11" t="s">
        <v>60</v>
      </c>
      <c r="BC93" s="30">
        <f>AW93+AX93</f>
        <v>0</v>
      </c>
      <c r="BD93" s="30">
        <f>G93/(100-BE93)*100</f>
        <v>0</v>
      </c>
      <c r="BE93" s="30">
        <v>0</v>
      </c>
      <c r="BF93" s="30">
        <f>93</f>
        <v>93</v>
      </c>
      <c r="BH93" s="28">
        <f>F93*AO93</f>
        <v>0</v>
      </c>
      <c r="BI93" s="28">
        <f>F93*AP93</f>
        <v>0</v>
      </c>
      <c r="BJ93" s="28">
        <f>F93*G93</f>
        <v>0</v>
      </c>
      <c r="BK93" s="28"/>
      <c r="BL93" s="30">
        <v>96</v>
      </c>
      <c r="BW93" s="30">
        <v>21</v>
      </c>
      <c r="BX93" s="27" t="s">
        <v>248</v>
      </c>
    </row>
    <row r="94" spans="1:76" ht="13.5" customHeight="1" x14ac:dyDescent="0.25">
      <c r="A94" s="33"/>
      <c r="B94" s="34" t="s">
        <v>61</v>
      </c>
      <c r="C94" s="78" t="s">
        <v>250</v>
      </c>
      <c r="D94" s="79"/>
      <c r="E94" s="79"/>
      <c r="F94" s="79"/>
      <c r="G94" s="79"/>
      <c r="H94" s="79"/>
      <c r="I94" s="79"/>
      <c r="J94" s="79"/>
      <c r="K94" s="80"/>
    </row>
    <row r="95" spans="1:76" x14ac:dyDescent="0.25">
      <c r="A95" s="25" t="s">
        <v>251</v>
      </c>
      <c r="B95" s="26" t="s">
        <v>252</v>
      </c>
      <c r="C95" s="83" t="s">
        <v>253</v>
      </c>
      <c r="D95" s="84"/>
      <c r="E95" s="26" t="s">
        <v>112</v>
      </c>
      <c r="F95" s="28">
        <v>10.63</v>
      </c>
      <c r="G95" s="28">
        <v>0</v>
      </c>
      <c r="H95" s="28">
        <f>ROUND(F95*AO95,2)</f>
        <v>0</v>
      </c>
      <c r="I95" s="28">
        <f>ROUND(F95*AP95,2)</f>
        <v>0</v>
      </c>
      <c r="J95" s="28">
        <f>ROUND(F95*G95,2)</f>
        <v>0</v>
      </c>
      <c r="K95" s="29" t="s">
        <v>57</v>
      </c>
      <c r="Z95" s="30">
        <f>ROUND(IF(AQ95="5",BJ95,0),2)</f>
        <v>0</v>
      </c>
      <c r="AB95" s="30">
        <f>ROUND(IF(AQ95="1",BH95,0),2)</f>
        <v>0</v>
      </c>
      <c r="AC95" s="30">
        <f>ROUND(IF(AQ95="1",BI95,0),2)</f>
        <v>0</v>
      </c>
      <c r="AD95" s="30">
        <f>ROUND(IF(AQ95="7",BH95,0),2)</f>
        <v>0</v>
      </c>
      <c r="AE95" s="30">
        <f>ROUND(IF(AQ95="7",BI95,0),2)</f>
        <v>0</v>
      </c>
      <c r="AF95" s="30">
        <f>ROUND(IF(AQ95="2",BH95,0),2)</f>
        <v>0</v>
      </c>
      <c r="AG95" s="30">
        <f>ROUND(IF(AQ95="2",BI95,0),2)</f>
        <v>0</v>
      </c>
      <c r="AH95" s="30">
        <f>ROUND(IF(AQ95="0",BJ95,0),2)</f>
        <v>0</v>
      </c>
      <c r="AI95" s="11" t="s">
        <v>50</v>
      </c>
      <c r="AJ95" s="28">
        <f>IF(AN95=0,J95,0)</f>
        <v>0</v>
      </c>
      <c r="AK95" s="28">
        <f>IF(AN95=12,J95,0)</f>
        <v>0</v>
      </c>
      <c r="AL95" s="28">
        <f>IF(AN95=21,J95,0)</f>
        <v>0</v>
      </c>
      <c r="AN95" s="30">
        <v>21</v>
      </c>
      <c r="AO95" s="30">
        <f>G95*0</f>
        <v>0</v>
      </c>
      <c r="AP95" s="30">
        <f>G95*(1-0)</f>
        <v>0</v>
      </c>
      <c r="AQ95" s="31" t="s">
        <v>53</v>
      </c>
      <c r="AV95" s="30">
        <f>ROUND(AW95+AX95,2)</f>
        <v>0</v>
      </c>
      <c r="AW95" s="30">
        <f>ROUND(F95*AO95,2)</f>
        <v>0</v>
      </c>
      <c r="AX95" s="30">
        <f>ROUND(F95*AP95,2)</f>
        <v>0</v>
      </c>
      <c r="AY95" s="32" t="s">
        <v>249</v>
      </c>
      <c r="AZ95" s="32" t="s">
        <v>218</v>
      </c>
      <c r="BA95" s="11" t="s">
        <v>60</v>
      </c>
      <c r="BC95" s="30">
        <f>AW95+AX95</f>
        <v>0</v>
      </c>
      <c r="BD95" s="30">
        <f>G95/(100-BE95)*100</f>
        <v>0</v>
      </c>
      <c r="BE95" s="30">
        <v>0</v>
      </c>
      <c r="BF95" s="30">
        <f>95</f>
        <v>95</v>
      </c>
      <c r="BH95" s="28">
        <f>F95*AO95</f>
        <v>0</v>
      </c>
      <c r="BI95" s="28">
        <f>F95*AP95</f>
        <v>0</v>
      </c>
      <c r="BJ95" s="28">
        <f>F95*G95</f>
        <v>0</v>
      </c>
      <c r="BK95" s="28"/>
      <c r="BL95" s="30">
        <v>96</v>
      </c>
      <c r="BW95" s="30">
        <v>21</v>
      </c>
      <c r="BX95" s="27" t="s">
        <v>253</v>
      </c>
    </row>
    <row r="96" spans="1:76" x14ac:dyDescent="0.25">
      <c r="A96" s="25" t="s">
        <v>254</v>
      </c>
      <c r="B96" s="26" t="s">
        <v>255</v>
      </c>
      <c r="C96" s="83" t="s">
        <v>256</v>
      </c>
      <c r="D96" s="84"/>
      <c r="E96" s="26" t="s">
        <v>112</v>
      </c>
      <c r="F96" s="28">
        <v>49.65</v>
      </c>
      <c r="G96" s="28">
        <v>0</v>
      </c>
      <c r="H96" s="28">
        <f>ROUND(F96*AO96,2)</f>
        <v>0</v>
      </c>
      <c r="I96" s="28">
        <f>ROUND(F96*AP96,2)</f>
        <v>0</v>
      </c>
      <c r="J96" s="28">
        <f>ROUND(F96*G96,2)</f>
        <v>0</v>
      </c>
      <c r="K96" s="29" t="s">
        <v>57</v>
      </c>
      <c r="Z96" s="30">
        <f>ROUND(IF(AQ96="5",BJ96,0),2)</f>
        <v>0</v>
      </c>
      <c r="AB96" s="30">
        <f>ROUND(IF(AQ96="1",BH96,0),2)</f>
        <v>0</v>
      </c>
      <c r="AC96" s="30">
        <f>ROUND(IF(AQ96="1",BI96,0),2)</f>
        <v>0</v>
      </c>
      <c r="AD96" s="30">
        <f>ROUND(IF(AQ96="7",BH96,0),2)</f>
        <v>0</v>
      </c>
      <c r="AE96" s="30">
        <f>ROUND(IF(AQ96="7",BI96,0),2)</f>
        <v>0</v>
      </c>
      <c r="AF96" s="30">
        <f>ROUND(IF(AQ96="2",BH96,0),2)</f>
        <v>0</v>
      </c>
      <c r="AG96" s="30">
        <f>ROUND(IF(AQ96="2",BI96,0),2)</f>
        <v>0</v>
      </c>
      <c r="AH96" s="30">
        <f>ROUND(IF(AQ96="0",BJ96,0),2)</f>
        <v>0</v>
      </c>
      <c r="AI96" s="11" t="s">
        <v>50</v>
      </c>
      <c r="AJ96" s="28">
        <f>IF(AN96=0,J96,0)</f>
        <v>0</v>
      </c>
      <c r="AK96" s="28">
        <f>IF(AN96=12,J96,0)</f>
        <v>0</v>
      </c>
      <c r="AL96" s="28">
        <f>IF(AN96=21,J96,0)</f>
        <v>0</v>
      </c>
      <c r="AN96" s="30">
        <v>21</v>
      </c>
      <c r="AO96" s="30">
        <f>G96*0.091011323</f>
        <v>0</v>
      </c>
      <c r="AP96" s="30">
        <f>G96*(1-0.091011323)</f>
        <v>0</v>
      </c>
      <c r="AQ96" s="31" t="s">
        <v>53</v>
      </c>
      <c r="AV96" s="30">
        <f>ROUND(AW96+AX96,2)</f>
        <v>0</v>
      </c>
      <c r="AW96" s="30">
        <f>ROUND(F96*AO96,2)</f>
        <v>0</v>
      </c>
      <c r="AX96" s="30">
        <f>ROUND(F96*AP96,2)</f>
        <v>0</v>
      </c>
      <c r="AY96" s="32" t="s">
        <v>249</v>
      </c>
      <c r="AZ96" s="32" t="s">
        <v>218</v>
      </c>
      <c r="BA96" s="11" t="s">
        <v>60</v>
      </c>
      <c r="BC96" s="30">
        <f>AW96+AX96</f>
        <v>0</v>
      </c>
      <c r="BD96" s="30">
        <f>G96/(100-BE96)*100</f>
        <v>0</v>
      </c>
      <c r="BE96" s="30">
        <v>0</v>
      </c>
      <c r="BF96" s="30">
        <f>96</f>
        <v>96</v>
      </c>
      <c r="BH96" s="28">
        <f>F96*AO96</f>
        <v>0</v>
      </c>
      <c r="BI96" s="28">
        <f>F96*AP96</f>
        <v>0</v>
      </c>
      <c r="BJ96" s="28">
        <f>F96*G96</f>
        <v>0</v>
      </c>
      <c r="BK96" s="28"/>
      <c r="BL96" s="30">
        <v>96</v>
      </c>
      <c r="BW96" s="30">
        <v>21</v>
      </c>
      <c r="BX96" s="27" t="s">
        <v>256</v>
      </c>
    </row>
    <row r="97" spans="1:76" ht="13.5" customHeight="1" x14ac:dyDescent="0.25">
      <c r="A97" s="33"/>
      <c r="B97" s="34" t="s">
        <v>61</v>
      </c>
      <c r="C97" s="78" t="s">
        <v>257</v>
      </c>
      <c r="D97" s="79"/>
      <c r="E97" s="79"/>
      <c r="F97" s="79"/>
      <c r="G97" s="79"/>
      <c r="H97" s="79"/>
      <c r="I97" s="79"/>
      <c r="J97" s="79"/>
      <c r="K97" s="80"/>
    </row>
    <row r="98" spans="1:76" x14ac:dyDescent="0.25">
      <c r="A98" s="25" t="s">
        <v>258</v>
      </c>
      <c r="B98" s="26" t="s">
        <v>259</v>
      </c>
      <c r="C98" s="83" t="s">
        <v>260</v>
      </c>
      <c r="D98" s="84"/>
      <c r="E98" s="26" t="s">
        <v>112</v>
      </c>
      <c r="F98" s="28">
        <v>2.52</v>
      </c>
      <c r="G98" s="28">
        <v>0</v>
      </c>
      <c r="H98" s="28">
        <f t="shared" ref="H98:H103" si="22">ROUND(F98*AO98,2)</f>
        <v>0</v>
      </c>
      <c r="I98" s="28">
        <f t="shared" ref="I98:I103" si="23">ROUND(F98*AP98,2)</f>
        <v>0</v>
      </c>
      <c r="J98" s="28">
        <f t="shared" ref="J98:J103" si="24">ROUND(F98*G98,2)</f>
        <v>0</v>
      </c>
      <c r="K98" s="29" t="s">
        <v>57</v>
      </c>
      <c r="Z98" s="30">
        <f t="shared" ref="Z98:Z103" si="25">ROUND(IF(AQ98="5",BJ98,0),2)</f>
        <v>0</v>
      </c>
      <c r="AB98" s="30">
        <f t="shared" ref="AB98:AB103" si="26">ROUND(IF(AQ98="1",BH98,0),2)</f>
        <v>0</v>
      </c>
      <c r="AC98" s="30">
        <f t="shared" ref="AC98:AC103" si="27">ROUND(IF(AQ98="1",BI98,0),2)</f>
        <v>0</v>
      </c>
      <c r="AD98" s="30">
        <f t="shared" ref="AD98:AD103" si="28">ROUND(IF(AQ98="7",BH98,0),2)</f>
        <v>0</v>
      </c>
      <c r="AE98" s="30">
        <f t="shared" ref="AE98:AE103" si="29">ROUND(IF(AQ98="7",BI98,0),2)</f>
        <v>0</v>
      </c>
      <c r="AF98" s="30">
        <f t="shared" ref="AF98:AF103" si="30">ROUND(IF(AQ98="2",BH98,0),2)</f>
        <v>0</v>
      </c>
      <c r="AG98" s="30">
        <f t="shared" ref="AG98:AG103" si="31">ROUND(IF(AQ98="2",BI98,0),2)</f>
        <v>0</v>
      </c>
      <c r="AH98" s="30">
        <f t="shared" ref="AH98:AH103" si="32">ROUND(IF(AQ98="0",BJ98,0),2)</f>
        <v>0</v>
      </c>
      <c r="AI98" s="11" t="s">
        <v>50</v>
      </c>
      <c r="AJ98" s="28">
        <f t="shared" ref="AJ98:AJ103" si="33">IF(AN98=0,J98,0)</f>
        <v>0</v>
      </c>
      <c r="AK98" s="28">
        <f t="shared" ref="AK98:AK103" si="34">IF(AN98=12,J98,0)</f>
        <v>0</v>
      </c>
      <c r="AL98" s="28">
        <f t="shared" ref="AL98:AL103" si="35">IF(AN98=21,J98,0)</f>
        <v>0</v>
      </c>
      <c r="AN98" s="30">
        <v>21</v>
      </c>
      <c r="AO98" s="30">
        <f>G98*0.190577425</f>
        <v>0</v>
      </c>
      <c r="AP98" s="30">
        <f>G98*(1-0.190577425)</f>
        <v>0</v>
      </c>
      <c r="AQ98" s="31" t="s">
        <v>53</v>
      </c>
      <c r="AV98" s="30">
        <f t="shared" ref="AV98:AV103" si="36">ROUND(AW98+AX98,2)</f>
        <v>0</v>
      </c>
      <c r="AW98" s="30">
        <f t="shared" ref="AW98:AW103" si="37">ROUND(F98*AO98,2)</f>
        <v>0</v>
      </c>
      <c r="AX98" s="30">
        <f t="shared" ref="AX98:AX103" si="38">ROUND(F98*AP98,2)</f>
        <v>0</v>
      </c>
      <c r="AY98" s="32" t="s">
        <v>249</v>
      </c>
      <c r="AZ98" s="32" t="s">
        <v>218</v>
      </c>
      <c r="BA98" s="11" t="s">
        <v>60</v>
      </c>
      <c r="BC98" s="30">
        <f t="shared" ref="BC98:BC103" si="39">AW98+AX98</f>
        <v>0</v>
      </c>
      <c r="BD98" s="30">
        <f t="shared" ref="BD98:BD103" si="40">G98/(100-BE98)*100</f>
        <v>0</v>
      </c>
      <c r="BE98" s="30">
        <v>0</v>
      </c>
      <c r="BF98" s="30">
        <f>98</f>
        <v>98</v>
      </c>
      <c r="BH98" s="28">
        <f t="shared" ref="BH98:BH103" si="41">F98*AO98</f>
        <v>0</v>
      </c>
      <c r="BI98" s="28">
        <f t="shared" ref="BI98:BI103" si="42">F98*AP98</f>
        <v>0</v>
      </c>
      <c r="BJ98" s="28">
        <f t="shared" ref="BJ98:BJ103" si="43">F98*G98</f>
        <v>0</v>
      </c>
      <c r="BK98" s="28"/>
      <c r="BL98" s="30">
        <v>96</v>
      </c>
      <c r="BW98" s="30">
        <v>21</v>
      </c>
      <c r="BX98" s="27" t="s">
        <v>260</v>
      </c>
    </row>
    <row r="99" spans="1:76" x14ac:dyDescent="0.25">
      <c r="A99" s="25" t="s">
        <v>261</v>
      </c>
      <c r="B99" s="26" t="s">
        <v>262</v>
      </c>
      <c r="C99" s="83" t="s">
        <v>263</v>
      </c>
      <c r="D99" s="84"/>
      <c r="E99" s="26" t="s">
        <v>112</v>
      </c>
      <c r="F99" s="28">
        <v>30.53</v>
      </c>
      <c r="G99" s="28">
        <v>0</v>
      </c>
      <c r="H99" s="28">
        <f t="shared" si="22"/>
        <v>0</v>
      </c>
      <c r="I99" s="28">
        <f t="shared" si="23"/>
        <v>0</v>
      </c>
      <c r="J99" s="28">
        <f t="shared" si="24"/>
        <v>0</v>
      </c>
      <c r="K99" s="29" t="s">
        <v>57</v>
      </c>
      <c r="Z99" s="30">
        <f t="shared" si="25"/>
        <v>0</v>
      </c>
      <c r="AB99" s="30">
        <f t="shared" si="26"/>
        <v>0</v>
      </c>
      <c r="AC99" s="30">
        <f t="shared" si="27"/>
        <v>0</v>
      </c>
      <c r="AD99" s="30">
        <f t="shared" si="28"/>
        <v>0</v>
      </c>
      <c r="AE99" s="30">
        <f t="shared" si="29"/>
        <v>0</v>
      </c>
      <c r="AF99" s="30">
        <f t="shared" si="30"/>
        <v>0</v>
      </c>
      <c r="AG99" s="30">
        <f t="shared" si="31"/>
        <v>0</v>
      </c>
      <c r="AH99" s="30">
        <f t="shared" si="32"/>
        <v>0</v>
      </c>
      <c r="AI99" s="11" t="s">
        <v>50</v>
      </c>
      <c r="AJ99" s="28">
        <f t="shared" si="33"/>
        <v>0</v>
      </c>
      <c r="AK99" s="28">
        <f t="shared" si="34"/>
        <v>0</v>
      </c>
      <c r="AL99" s="28">
        <f t="shared" si="35"/>
        <v>0</v>
      </c>
      <c r="AN99" s="30">
        <v>21</v>
      </c>
      <c r="AO99" s="30">
        <f>G99*0.098849209</f>
        <v>0</v>
      </c>
      <c r="AP99" s="30">
        <f>G99*(1-0.098849209)</f>
        <v>0</v>
      </c>
      <c r="AQ99" s="31" t="s">
        <v>53</v>
      </c>
      <c r="AV99" s="30">
        <f t="shared" si="36"/>
        <v>0</v>
      </c>
      <c r="AW99" s="30">
        <f t="shared" si="37"/>
        <v>0</v>
      </c>
      <c r="AX99" s="30">
        <f t="shared" si="38"/>
        <v>0</v>
      </c>
      <c r="AY99" s="32" t="s">
        <v>249</v>
      </c>
      <c r="AZ99" s="32" t="s">
        <v>218</v>
      </c>
      <c r="BA99" s="11" t="s">
        <v>60</v>
      </c>
      <c r="BC99" s="30">
        <f t="shared" si="39"/>
        <v>0</v>
      </c>
      <c r="BD99" s="30">
        <f t="shared" si="40"/>
        <v>0</v>
      </c>
      <c r="BE99" s="30">
        <v>0</v>
      </c>
      <c r="BF99" s="30">
        <f>99</f>
        <v>99</v>
      </c>
      <c r="BH99" s="28">
        <f t="shared" si="41"/>
        <v>0</v>
      </c>
      <c r="BI99" s="28">
        <f t="shared" si="42"/>
        <v>0</v>
      </c>
      <c r="BJ99" s="28">
        <f t="shared" si="43"/>
        <v>0</v>
      </c>
      <c r="BK99" s="28"/>
      <c r="BL99" s="30">
        <v>96</v>
      </c>
      <c r="BW99" s="30">
        <v>21</v>
      </c>
      <c r="BX99" s="27" t="s">
        <v>263</v>
      </c>
    </row>
    <row r="100" spans="1:76" x14ac:dyDescent="0.25">
      <c r="A100" s="25" t="s">
        <v>264</v>
      </c>
      <c r="B100" s="26" t="s">
        <v>265</v>
      </c>
      <c r="C100" s="83" t="s">
        <v>266</v>
      </c>
      <c r="D100" s="84"/>
      <c r="E100" s="26" t="s">
        <v>112</v>
      </c>
      <c r="F100" s="28">
        <v>12.7</v>
      </c>
      <c r="G100" s="28">
        <v>0</v>
      </c>
      <c r="H100" s="28">
        <f t="shared" si="22"/>
        <v>0</v>
      </c>
      <c r="I100" s="28">
        <f t="shared" si="23"/>
        <v>0</v>
      </c>
      <c r="J100" s="28">
        <f t="shared" si="24"/>
        <v>0</v>
      </c>
      <c r="K100" s="29" t="s">
        <v>57</v>
      </c>
      <c r="Z100" s="30">
        <f t="shared" si="25"/>
        <v>0</v>
      </c>
      <c r="AB100" s="30">
        <f t="shared" si="26"/>
        <v>0</v>
      </c>
      <c r="AC100" s="30">
        <f t="shared" si="27"/>
        <v>0</v>
      </c>
      <c r="AD100" s="30">
        <f t="shared" si="28"/>
        <v>0</v>
      </c>
      <c r="AE100" s="30">
        <f t="shared" si="29"/>
        <v>0</v>
      </c>
      <c r="AF100" s="30">
        <f t="shared" si="30"/>
        <v>0</v>
      </c>
      <c r="AG100" s="30">
        <f t="shared" si="31"/>
        <v>0</v>
      </c>
      <c r="AH100" s="30">
        <f t="shared" si="32"/>
        <v>0</v>
      </c>
      <c r="AI100" s="11" t="s">
        <v>50</v>
      </c>
      <c r="AJ100" s="28">
        <f t="shared" si="33"/>
        <v>0</v>
      </c>
      <c r="AK100" s="28">
        <f t="shared" si="34"/>
        <v>0</v>
      </c>
      <c r="AL100" s="28">
        <f t="shared" si="35"/>
        <v>0</v>
      </c>
      <c r="AN100" s="30">
        <v>21</v>
      </c>
      <c r="AO100" s="30">
        <f>G100*0.122975189</f>
        <v>0</v>
      </c>
      <c r="AP100" s="30">
        <f>G100*(1-0.122975189)</f>
        <v>0</v>
      </c>
      <c r="AQ100" s="31" t="s">
        <v>53</v>
      </c>
      <c r="AV100" s="30">
        <f t="shared" si="36"/>
        <v>0</v>
      </c>
      <c r="AW100" s="30">
        <f t="shared" si="37"/>
        <v>0</v>
      </c>
      <c r="AX100" s="30">
        <f t="shared" si="38"/>
        <v>0</v>
      </c>
      <c r="AY100" s="32" t="s">
        <v>249</v>
      </c>
      <c r="AZ100" s="32" t="s">
        <v>218</v>
      </c>
      <c r="BA100" s="11" t="s">
        <v>60</v>
      </c>
      <c r="BC100" s="30">
        <f t="shared" si="39"/>
        <v>0</v>
      </c>
      <c r="BD100" s="30">
        <f t="shared" si="40"/>
        <v>0</v>
      </c>
      <c r="BE100" s="30">
        <v>0</v>
      </c>
      <c r="BF100" s="30">
        <f>100</f>
        <v>100</v>
      </c>
      <c r="BH100" s="28">
        <f t="shared" si="41"/>
        <v>0</v>
      </c>
      <c r="BI100" s="28">
        <f t="shared" si="42"/>
        <v>0</v>
      </c>
      <c r="BJ100" s="28">
        <f t="shared" si="43"/>
        <v>0</v>
      </c>
      <c r="BK100" s="28"/>
      <c r="BL100" s="30">
        <v>96</v>
      </c>
      <c r="BW100" s="30">
        <v>21</v>
      </c>
      <c r="BX100" s="27" t="s">
        <v>266</v>
      </c>
    </row>
    <row r="101" spans="1:76" x14ac:dyDescent="0.25">
      <c r="A101" s="25" t="s">
        <v>267</v>
      </c>
      <c r="B101" s="26" t="s">
        <v>268</v>
      </c>
      <c r="C101" s="83" t="s">
        <v>269</v>
      </c>
      <c r="D101" s="84"/>
      <c r="E101" s="26" t="s">
        <v>112</v>
      </c>
      <c r="F101" s="28">
        <v>25.44</v>
      </c>
      <c r="G101" s="28">
        <v>0</v>
      </c>
      <c r="H101" s="28">
        <f t="shared" si="22"/>
        <v>0</v>
      </c>
      <c r="I101" s="28">
        <f t="shared" si="23"/>
        <v>0</v>
      </c>
      <c r="J101" s="28">
        <f t="shared" si="24"/>
        <v>0</v>
      </c>
      <c r="K101" s="29" t="s">
        <v>57</v>
      </c>
      <c r="Z101" s="30">
        <f t="shared" si="25"/>
        <v>0</v>
      </c>
      <c r="AB101" s="30">
        <f t="shared" si="26"/>
        <v>0</v>
      </c>
      <c r="AC101" s="30">
        <f t="shared" si="27"/>
        <v>0</v>
      </c>
      <c r="AD101" s="30">
        <f t="shared" si="28"/>
        <v>0</v>
      </c>
      <c r="AE101" s="30">
        <f t="shared" si="29"/>
        <v>0</v>
      </c>
      <c r="AF101" s="30">
        <f t="shared" si="30"/>
        <v>0</v>
      </c>
      <c r="AG101" s="30">
        <f t="shared" si="31"/>
        <v>0</v>
      </c>
      <c r="AH101" s="30">
        <f t="shared" si="32"/>
        <v>0</v>
      </c>
      <c r="AI101" s="11" t="s">
        <v>50</v>
      </c>
      <c r="AJ101" s="28">
        <f t="shared" si="33"/>
        <v>0</v>
      </c>
      <c r="AK101" s="28">
        <f t="shared" si="34"/>
        <v>0</v>
      </c>
      <c r="AL101" s="28">
        <f t="shared" si="35"/>
        <v>0</v>
      </c>
      <c r="AN101" s="30">
        <v>21</v>
      </c>
      <c r="AO101" s="30">
        <f>G101*0.127320955</f>
        <v>0</v>
      </c>
      <c r="AP101" s="30">
        <f>G101*(1-0.127320955)</f>
        <v>0</v>
      </c>
      <c r="AQ101" s="31" t="s">
        <v>53</v>
      </c>
      <c r="AV101" s="30">
        <f t="shared" si="36"/>
        <v>0</v>
      </c>
      <c r="AW101" s="30">
        <f t="shared" si="37"/>
        <v>0</v>
      </c>
      <c r="AX101" s="30">
        <f t="shared" si="38"/>
        <v>0</v>
      </c>
      <c r="AY101" s="32" t="s">
        <v>249</v>
      </c>
      <c r="AZ101" s="32" t="s">
        <v>218</v>
      </c>
      <c r="BA101" s="11" t="s">
        <v>60</v>
      </c>
      <c r="BC101" s="30">
        <f t="shared" si="39"/>
        <v>0</v>
      </c>
      <c r="BD101" s="30">
        <f t="shared" si="40"/>
        <v>0</v>
      </c>
      <c r="BE101" s="30">
        <v>0</v>
      </c>
      <c r="BF101" s="30">
        <f>101</f>
        <v>101</v>
      </c>
      <c r="BH101" s="28">
        <f t="shared" si="41"/>
        <v>0</v>
      </c>
      <c r="BI101" s="28">
        <f t="shared" si="42"/>
        <v>0</v>
      </c>
      <c r="BJ101" s="28">
        <f t="shared" si="43"/>
        <v>0</v>
      </c>
      <c r="BK101" s="28"/>
      <c r="BL101" s="30">
        <v>96</v>
      </c>
      <c r="BW101" s="30">
        <v>21</v>
      </c>
      <c r="BX101" s="27" t="s">
        <v>269</v>
      </c>
    </row>
    <row r="102" spans="1:76" x14ac:dyDescent="0.25">
      <c r="A102" s="25" t="s">
        <v>270</v>
      </c>
      <c r="B102" s="26" t="s">
        <v>271</v>
      </c>
      <c r="C102" s="83" t="s">
        <v>272</v>
      </c>
      <c r="D102" s="84"/>
      <c r="E102" s="26" t="s">
        <v>112</v>
      </c>
      <c r="F102" s="28">
        <v>8.64</v>
      </c>
      <c r="G102" s="28">
        <v>0</v>
      </c>
      <c r="H102" s="28">
        <f t="shared" si="22"/>
        <v>0</v>
      </c>
      <c r="I102" s="28">
        <f t="shared" si="23"/>
        <v>0</v>
      </c>
      <c r="J102" s="28">
        <f t="shared" si="24"/>
        <v>0</v>
      </c>
      <c r="K102" s="29" t="s">
        <v>57</v>
      </c>
      <c r="Z102" s="30">
        <f t="shared" si="25"/>
        <v>0</v>
      </c>
      <c r="AB102" s="30">
        <f t="shared" si="26"/>
        <v>0</v>
      </c>
      <c r="AC102" s="30">
        <f t="shared" si="27"/>
        <v>0</v>
      </c>
      <c r="AD102" s="30">
        <f t="shared" si="28"/>
        <v>0</v>
      </c>
      <c r="AE102" s="30">
        <f t="shared" si="29"/>
        <v>0</v>
      </c>
      <c r="AF102" s="30">
        <f t="shared" si="30"/>
        <v>0</v>
      </c>
      <c r="AG102" s="30">
        <f t="shared" si="31"/>
        <v>0</v>
      </c>
      <c r="AH102" s="30">
        <f t="shared" si="32"/>
        <v>0</v>
      </c>
      <c r="AI102" s="11" t="s">
        <v>50</v>
      </c>
      <c r="AJ102" s="28">
        <f t="shared" si="33"/>
        <v>0</v>
      </c>
      <c r="AK102" s="28">
        <f t="shared" si="34"/>
        <v>0</v>
      </c>
      <c r="AL102" s="28">
        <f t="shared" si="35"/>
        <v>0</v>
      </c>
      <c r="AN102" s="30">
        <v>21</v>
      </c>
      <c r="AO102" s="30">
        <f>G102*0.10285032</f>
        <v>0</v>
      </c>
      <c r="AP102" s="30">
        <f>G102*(1-0.10285032)</f>
        <v>0</v>
      </c>
      <c r="AQ102" s="31" t="s">
        <v>53</v>
      </c>
      <c r="AV102" s="30">
        <f t="shared" si="36"/>
        <v>0</v>
      </c>
      <c r="AW102" s="30">
        <f t="shared" si="37"/>
        <v>0</v>
      </c>
      <c r="AX102" s="30">
        <f t="shared" si="38"/>
        <v>0</v>
      </c>
      <c r="AY102" s="32" t="s">
        <v>249</v>
      </c>
      <c r="AZ102" s="32" t="s">
        <v>218</v>
      </c>
      <c r="BA102" s="11" t="s">
        <v>60</v>
      </c>
      <c r="BC102" s="30">
        <f t="shared" si="39"/>
        <v>0</v>
      </c>
      <c r="BD102" s="30">
        <f t="shared" si="40"/>
        <v>0</v>
      </c>
      <c r="BE102" s="30">
        <v>0</v>
      </c>
      <c r="BF102" s="30">
        <f>102</f>
        <v>102</v>
      </c>
      <c r="BH102" s="28">
        <f t="shared" si="41"/>
        <v>0</v>
      </c>
      <c r="BI102" s="28">
        <f t="shared" si="42"/>
        <v>0</v>
      </c>
      <c r="BJ102" s="28">
        <f t="shared" si="43"/>
        <v>0</v>
      </c>
      <c r="BK102" s="28"/>
      <c r="BL102" s="30">
        <v>96</v>
      </c>
      <c r="BW102" s="30">
        <v>21</v>
      </c>
      <c r="BX102" s="27" t="s">
        <v>272</v>
      </c>
    </row>
    <row r="103" spans="1:76" x14ac:dyDescent="0.25">
      <c r="A103" s="25" t="s">
        <v>273</v>
      </c>
      <c r="B103" s="26" t="s">
        <v>274</v>
      </c>
      <c r="C103" s="83" t="s">
        <v>275</v>
      </c>
      <c r="D103" s="84"/>
      <c r="E103" s="26" t="s">
        <v>66</v>
      </c>
      <c r="F103" s="28">
        <v>60.34</v>
      </c>
      <c r="G103" s="28">
        <v>0</v>
      </c>
      <c r="H103" s="28">
        <f t="shared" si="22"/>
        <v>0</v>
      </c>
      <c r="I103" s="28">
        <f t="shared" si="23"/>
        <v>0</v>
      </c>
      <c r="J103" s="28">
        <f t="shared" si="24"/>
        <v>0</v>
      </c>
      <c r="K103" s="29" t="s">
        <v>57</v>
      </c>
      <c r="Z103" s="30">
        <f t="shared" si="25"/>
        <v>0</v>
      </c>
      <c r="AB103" s="30">
        <f t="shared" si="26"/>
        <v>0</v>
      </c>
      <c r="AC103" s="30">
        <f t="shared" si="27"/>
        <v>0</v>
      </c>
      <c r="AD103" s="30">
        <f t="shared" si="28"/>
        <v>0</v>
      </c>
      <c r="AE103" s="30">
        <f t="shared" si="29"/>
        <v>0</v>
      </c>
      <c r="AF103" s="30">
        <f t="shared" si="30"/>
        <v>0</v>
      </c>
      <c r="AG103" s="30">
        <f t="shared" si="31"/>
        <v>0</v>
      </c>
      <c r="AH103" s="30">
        <f t="shared" si="32"/>
        <v>0</v>
      </c>
      <c r="AI103" s="11" t="s">
        <v>50</v>
      </c>
      <c r="AJ103" s="28">
        <f t="shared" si="33"/>
        <v>0</v>
      </c>
      <c r="AK103" s="28">
        <f t="shared" si="34"/>
        <v>0</v>
      </c>
      <c r="AL103" s="28">
        <f t="shared" si="35"/>
        <v>0</v>
      </c>
      <c r="AN103" s="30">
        <v>21</v>
      </c>
      <c r="AO103" s="30">
        <f>G103*0</f>
        <v>0</v>
      </c>
      <c r="AP103" s="30">
        <f>G103*(1-0)</f>
        <v>0</v>
      </c>
      <c r="AQ103" s="31" t="s">
        <v>53</v>
      </c>
      <c r="AV103" s="30">
        <f t="shared" si="36"/>
        <v>0</v>
      </c>
      <c r="AW103" s="30">
        <f t="shared" si="37"/>
        <v>0</v>
      </c>
      <c r="AX103" s="30">
        <f t="shared" si="38"/>
        <v>0</v>
      </c>
      <c r="AY103" s="32" t="s">
        <v>249</v>
      </c>
      <c r="AZ103" s="32" t="s">
        <v>218</v>
      </c>
      <c r="BA103" s="11" t="s">
        <v>60</v>
      </c>
      <c r="BC103" s="30">
        <f t="shared" si="39"/>
        <v>0</v>
      </c>
      <c r="BD103" s="30">
        <f t="shared" si="40"/>
        <v>0</v>
      </c>
      <c r="BE103" s="30">
        <v>0</v>
      </c>
      <c r="BF103" s="30">
        <f>103</f>
        <v>103</v>
      </c>
      <c r="BH103" s="28">
        <f t="shared" si="41"/>
        <v>0</v>
      </c>
      <c r="BI103" s="28">
        <f t="shared" si="42"/>
        <v>0</v>
      </c>
      <c r="BJ103" s="28">
        <f t="shared" si="43"/>
        <v>0</v>
      </c>
      <c r="BK103" s="28"/>
      <c r="BL103" s="30">
        <v>96</v>
      </c>
      <c r="BW103" s="30">
        <v>21</v>
      </c>
      <c r="BX103" s="27" t="s">
        <v>275</v>
      </c>
    </row>
    <row r="104" spans="1:76" x14ac:dyDescent="0.25">
      <c r="A104" s="36" t="s">
        <v>50</v>
      </c>
      <c r="B104" s="37" t="s">
        <v>276</v>
      </c>
      <c r="C104" s="81" t="s">
        <v>277</v>
      </c>
      <c r="D104" s="82"/>
      <c r="E104" s="38" t="s">
        <v>4</v>
      </c>
      <c r="F104" s="38" t="s">
        <v>4</v>
      </c>
      <c r="G104" s="38" t="s">
        <v>4</v>
      </c>
      <c r="H104" s="1">
        <f>SUM(H105:H107)</f>
        <v>0</v>
      </c>
      <c r="I104" s="1">
        <f>SUM(I105:I107)</f>
        <v>0</v>
      </c>
      <c r="J104" s="1">
        <f>SUM(J105:J107)</f>
        <v>0</v>
      </c>
      <c r="K104" s="39" t="s">
        <v>50</v>
      </c>
      <c r="AI104" s="11" t="s">
        <v>50</v>
      </c>
      <c r="AS104" s="1">
        <f>SUM(AJ105:AJ107)</f>
        <v>0</v>
      </c>
      <c r="AT104" s="1">
        <f>SUM(AK105:AK107)</f>
        <v>0</v>
      </c>
      <c r="AU104" s="1">
        <f>SUM(AL105:AL107)</f>
        <v>0</v>
      </c>
    </row>
    <row r="105" spans="1:76" x14ac:dyDescent="0.25">
      <c r="A105" s="25" t="s">
        <v>278</v>
      </c>
      <c r="B105" s="26" t="s">
        <v>279</v>
      </c>
      <c r="C105" s="83" t="s">
        <v>280</v>
      </c>
      <c r="D105" s="84"/>
      <c r="E105" s="26" t="s">
        <v>127</v>
      </c>
      <c r="F105" s="28">
        <v>36</v>
      </c>
      <c r="G105" s="28">
        <v>0</v>
      </c>
      <c r="H105" s="28">
        <f>ROUND(F105*AO105,2)</f>
        <v>0</v>
      </c>
      <c r="I105" s="28">
        <f>ROUND(F105*AP105,2)</f>
        <v>0</v>
      </c>
      <c r="J105" s="28">
        <f>ROUND(F105*G105,2)</f>
        <v>0</v>
      </c>
      <c r="K105" s="29" t="s">
        <v>57</v>
      </c>
      <c r="Z105" s="30">
        <f>ROUND(IF(AQ105="5",BJ105,0),2)</f>
        <v>0</v>
      </c>
      <c r="AB105" s="30">
        <f>ROUND(IF(AQ105="1",BH105,0),2)</f>
        <v>0</v>
      </c>
      <c r="AC105" s="30">
        <f>ROUND(IF(AQ105="1",BI105,0),2)</f>
        <v>0</v>
      </c>
      <c r="AD105" s="30">
        <f>ROUND(IF(AQ105="7",BH105,0),2)</f>
        <v>0</v>
      </c>
      <c r="AE105" s="30">
        <f>ROUND(IF(AQ105="7",BI105,0),2)</f>
        <v>0</v>
      </c>
      <c r="AF105" s="30">
        <f>ROUND(IF(AQ105="2",BH105,0),2)</f>
        <v>0</v>
      </c>
      <c r="AG105" s="30">
        <f>ROUND(IF(AQ105="2",BI105,0),2)</f>
        <v>0</v>
      </c>
      <c r="AH105" s="30">
        <f>ROUND(IF(AQ105="0",BJ105,0),2)</f>
        <v>0</v>
      </c>
      <c r="AI105" s="11" t="s">
        <v>50</v>
      </c>
      <c r="AJ105" s="28">
        <f>IF(AN105=0,J105,0)</f>
        <v>0</v>
      </c>
      <c r="AK105" s="28">
        <f>IF(AN105=12,J105,0)</f>
        <v>0</v>
      </c>
      <c r="AL105" s="28">
        <f>IF(AN105=21,J105,0)</f>
        <v>0</v>
      </c>
      <c r="AN105" s="30">
        <v>21</v>
      </c>
      <c r="AO105" s="30">
        <f>G105*0.052021277</f>
        <v>0</v>
      </c>
      <c r="AP105" s="30">
        <f>G105*(1-0.052021277)</f>
        <v>0</v>
      </c>
      <c r="AQ105" s="31" t="s">
        <v>53</v>
      </c>
      <c r="AV105" s="30">
        <f>ROUND(AW105+AX105,2)</f>
        <v>0</v>
      </c>
      <c r="AW105" s="30">
        <f>ROUND(F105*AO105,2)</f>
        <v>0</v>
      </c>
      <c r="AX105" s="30">
        <f>ROUND(F105*AP105,2)</f>
        <v>0</v>
      </c>
      <c r="AY105" s="32" t="s">
        <v>281</v>
      </c>
      <c r="AZ105" s="32" t="s">
        <v>218</v>
      </c>
      <c r="BA105" s="11" t="s">
        <v>60</v>
      </c>
      <c r="BC105" s="30">
        <f>AW105+AX105</f>
        <v>0</v>
      </c>
      <c r="BD105" s="30">
        <f>G105/(100-BE105)*100</f>
        <v>0</v>
      </c>
      <c r="BE105" s="30">
        <v>0</v>
      </c>
      <c r="BF105" s="30">
        <f>105</f>
        <v>105</v>
      </c>
      <c r="BH105" s="28">
        <f>F105*AO105</f>
        <v>0</v>
      </c>
      <c r="BI105" s="28">
        <f>F105*AP105</f>
        <v>0</v>
      </c>
      <c r="BJ105" s="28">
        <f>F105*G105</f>
        <v>0</v>
      </c>
      <c r="BK105" s="28"/>
      <c r="BL105" s="30">
        <v>97</v>
      </c>
      <c r="BW105" s="30">
        <v>21</v>
      </c>
      <c r="BX105" s="27" t="s">
        <v>280</v>
      </c>
    </row>
    <row r="106" spans="1:76" ht="13.5" customHeight="1" x14ac:dyDescent="0.25">
      <c r="A106" s="33"/>
      <c r="B106" s="34" t="s">
        <v>61</v>
      </c>
      <c r="C106" s="78" t="s">
        <v>282</v>
      </c>
      <c r="D106" s="79"/>
      <c r="E106" s="79"/>
      <c r="F106" s="79"/>
      <c r="G106" s="79"/>
      <c r="H106" s="79"/>
      <c r="I106" s="79"/>
      <c r="J106" s="79"/>
      <c r="K106" s="80"/>
    </row>
    <row r="107" spans="1:76" x14ac:dyDescent="0.25">
      <c r="A107" s="25" t="s">
        <v>283</v>
      </c>
      <c r="B107" s="26" t="s">
        <v>284</v>
      </c>
      <c r="C107" s="83" t="s">
        <v>285</v>
      </c>
      <c r="D107" s="84"/>
      <c r="E107" s="26" t="s">
        <v>127</v>
      </c>
      <c r="F107" s="28">
        <v>8</v>
      </c>
      <c r="G107" s="28">
        <v>0</v>
      </c>
      <c r="H107" s="28">
        <f>ROUND(F107*AO107,2)</f>
        <v>0</v>
      </c>
      <c r="I107" s="28">
        <f>ROUND(F107*AP107,2)</f>
        <v>0</v>
      </c>
      <c r="J107" s="28">
        <f>ROUND(F107*G107,2)</f>
        <v>0</v>
      </c>
      <c r="K107" s="29" t="s">
        <v>57</v>
      </c>
      <c r="Z107" s="30">
        <f>ROUND(IF(AQ107="5",BJ107,0),2)</f>
        <v>0</v>
      </c>
      <c r="AB107" s="30">
        <f>ROUND(IF(AQ107="1",BH107,0),2)</f>
        <v>0</v>
      </c>
      <c r="AC107" s="30">
        <f>ROUND(IF(AQ107="1",BI107,0),2)</f>
        <v>0</v>
      </c>
      <c r="AD107" s="30">
        <f>ROUND(IF(AQ107="7",BH107,0),2)</f>
        <v>0</v>
      </c>
      <c r="AE107" s="30">
        <f>ROUND(IF(AQ107="7",BI107,0),2)</f>
        <v>0</v>
      </c>
      <c r="AF107" s="30">
        <f>ROUND(IF(AQ107="2",BH107,0),2)</f>
        <v>0</v>
      </c>
      <c r="AG107" s="30">
        <f>ROUND(IF(AQ107="2",BI107,0),2)</f>
        <v>0</v>
      </c>
      <c r="AH107" s="30">
        <f>ROUND(IF(AQ107="0",BJ107,0),2)</f>
        <v>0</v>
      </c>
      <c r="AI107" s="11" t="s">
        <v>50</v>
      </c>
      <c r="AJ107" s="28">
        <f>IF(AN107=0,J107,0)</f>
        <v>0</v>
      </c>
      <c r="AK107" s="28">
        <f>IF(AN107=12,J107,0)</f>
        <v>0</v>
      </c>
      <c r="AL107" s="28">
        <f>IF(AN107=21,J107,0)</f>
        <v>0</v>
      </c>
      <c r="AN107" s="30">
        <v>21</v>
      </c>
      <c r="AO107" s="30">
        <f>G107*0.051334214</f>
        <v>0</v>
      </c>
      <c r="AP107" s="30">
        <f>G107*(1-0.051334214)</f>
        <v>0</v>
      </c>
      <c r="AQ107" s="31" t="s">
        <v>53</v>
      </c>
      <c r="AV107" s="30">
        <f>ROUND(AW107+AX107,2)</f>
        <v>0</v>
      </c>
      <c r="AW107" s="30">
        <f>ROUND(F107*AO107,2)</f>
        <v>0</v>
      </c>
      <c r="AX107" s="30">
        <f>ROUND(F107*AP107,2)</f>
        <v>0</v>
      </c>
      <c r="AY107" s="32" t="s">
        <v>281</v>
      </c>
      <c r="AZ107" s="32" t="s">
        <v>218</v>
      </c>
      <c r="BA107" s="11" t="s">
        <v>60</v>
      </c>
      <c r="BC107" s="30">
        <f>AW107+AX107</f>
        <v>0</v>
      </c>
      <c r="BD107" s="30">
        <f>G107/(100-BE107)*100</f>
        <v>0</v>
      </c>
      <c r="BE107" s="30">
        <v>0</v>
      </c>
      <c r="BF107" s="30">
        <f>107</f>
        <v>107</v>
      </c>
      <c r="BH107" s="28">
        <f>F107*AO107</f>
        <v>0</v>
      </c>
      <c r="BI107" s="28">
        <f>F107*AP107</f>
        <v>0</v>
      </c>
      <c r="BJ107" s="28">
        <f>F107*G107</f>
        <v>0</v>
      </c>
      <c r="BK107" s="28"/>
      <c r="BL107" s="30">
        <v>97</v>
      </c>
      <c r="BW107" s="30">
        <v>21</v>
      </c>
      <c r="BX107" s="27" t="s">
        <v>285</v>
      </c>
    </row>
    <row r="108" spans="1:76" ht="13.5" customHeight="1" x14ac:dyDescent="0.25">
      <c r="A108" s="33"/>
      <c r="B108" s="34" t="s">
        <v>61</v>
      </c>
      <c r="C108" s="78" t="s">
        <v>282</v>
      </c>
      <c r="D108" s="79"/>
      <c r="E108" s="79"/>
      <c r="F108" s="79"/>
      <c r="G108" s="79"/>
      <c r="H108" s="79"/>
      <c r="I108" s="79"/>
      <c r="J108" s="79"/>
      <c r="K108" s="80"/>
    </row>
    <row r="109" spans="1:76" x14ac:dyDescent="0.25">
      <c r="A109" s="36" t="s">
        <v>50</v>
      </c>
      <c r="B109" s="37" t="s">
        <v>286</v>
      </c>
      <c r="C109" s="81" t="s">
        <v>287</v>
      </c>
      <c r="D109" s="82"/>
      <c r="E109" s="38" t="s">
        <v>4</v>
      </c>
      <c r="F109" s="38" t="s">
        <v>4</v>
      </c>
      <c r="G109" s="38" t="s">
        <v>4</v>
      </c>
      <c r="H109" s="1">
        <f>SUM(H110:H117)</f>
        <v>0</v>
      </c>
      <c r="I109" s="1">
        <f>SUM(I110:I117)</f>
        <v>0</v>
      </c>
      <c r="J109" s="1">
        <f>SUM(J110:J117)</f>
        <v>0</v>
      </c>
      <c r="K109" s="39" t="s">
        <v>50</v>
      </c>
      <c r="AI109" s="11" t="s">
        <v>50</v>
      </c>
      <c r="AS109" s="1">
        <f>SUM(AJ110:AJ117)</f>
        <v>0</v>
      </c>
      <c r="AT109" s="1">
        <f>SUM(AK110:AK117)</f>
        <v>0</v>
      </c>
      <c r="AU109" s="1">
        <f>SUM(AL110:AL117)</f>
        <v>0</v>
      </c>
    </row>
    <row r="110" spans="1:76" x14ac:dyDescent="0.25">
      <c r="A110" s="25" t="s">
        <v>288</v>
      </c>
      <c r="B110" s="26" t="s">
        <v>289</v>
      </c>
      <c r="C110" s="83" t="s">
        <v>290</v>
      </c>
      <c r="D110" s="84"/>
      <c r="E110" s="26" t="s">
        <v>291</v>
      </c>
      <c r="F110" s="28">
        <v>37.996000000000002</v>
      </c>
      <c r="G110" s="28">
        <v>0</v>
      </c>
      <c r="H110" s="28">
        <f t="shared" ref="H110:H117" si="44">ROUND(F110*AO110,2)</f>
        <v>0</v>
      </c>
      <c r="I110" s="28">
        <f t="shared" ref="I110:I117" si="45">ROUND(F110*AP110,2)</f>
        <v>0</v>
      </c>
      <c r="J110" s="28">
        <f t="shared" ref="J110:J117" si="46">ROUND(F110*G110,2)</f>
        <v>0</v>
      </c>
      <c r="K110" s="29" t="s">
        <v>57</v>
      </c>
      <c r="Z110" s="30">
        <f t="shared" ref="Z110:Z117" si="47">ROUND(IF(AQ110="5",BJ110,0),2)</f>
        <v>0</v>
      </c>
      <c r="AB110" s="30">
        <f t="shared" ref="AB110:AB117" si="48">ROUND(IF(AQ110="1",BH110,0),2)</f>
        <v>0</v>
      </c>
      <c r="AC110" s="30">
        <f t="shared" ref="AC110:AC117" si="49">ROUND(IF(AQ110="1",BI110,0),2)</f>
        <v>0</v>
      </c>
      <c r="AD110" s="30">
        <f t="shared" ref="AD110:AD117" si="50">ROUND(IF(AQ110="7",BH110,0),2)</f>
        <v>0</v>
      </c>
      <c r="AE110" s="30">
        <f t="shared" ref="AE110:AE117" si="51">ROUND(IF(AQ110="7",BI110,0),2)</f>
        <v>0</v>
      </c>
      <c r="AF110" s="30">
        <f t="shared" ref="AF110:AF117" si="52">ROUND(IF(AQ110="2",BH110,0),2)</f>
        <v>0</v>
      </c>
      <c r="AG110" s="30">
        <f t="shared" ref="AG110:AG117" si="53">ROUND(IF(AQ110="2",BI110,0),2)</f>
        <v>0</v>
      </c>
      <c r="AH110" s="30">
        <f t="shared" ref="AH110:AH117" si="54">ROUND(IF(AQ110="0",BJ110,0),2)</f>
        <v>0</v>
      </c>
      <c r="AI110" s="11" t="s">
        <v>50</v>
      </c>
      <c r="AJ110" s="28">
        <f t="shared" ref="AJ110:AJ117" si="55">IF(AN110=0,J110,0)</f>
        <v>0</v>
      </c>
      <c r="AK110" s="28">
        <f t="shared" ref="AK110:AK117" si="56">IF(AN110=12,J110,0)</f>
        <v>0</v>
      </c>
      <c r="AL110" s="28">
        <f t="shared" ref="AL110:AL117" si="57">IF(AN110=21,J110,0)</f>
        <v>0</v>
      </c>
      <c r="AN110" s="30">
        <v>21</v>
      </c>
      <c r="AO110" s="30">
        <f t="shared" ref="AO110:AO117" si="58">G110*0</f>
        <v>0</v>
      </c>
      <c r="AP110" s="30">
        <f t="shared" ref="AP110:AP117" si="59">G110*(1-0)</f>
        <v>0</v>
      </c>
      <c r="AQ110" s="31" t="s">
        <v>79</v>
      </c>
      <c r="AV110" s="30">
        <f t="shared" ref="AV110:AV117" si="60">ROUND(AW110+AX110,2)</f>
        <v>0</v>
      </c>
      <c r="AW110" s="30">
        <f t="shared" ref="AW110:AW117" si="61">ROUND(F110*AO110,2)</f>
        <v>0</v>
      </c>
      <c r="AX110" s="30">
        <f t="shared" ref="AX110:AX117" si="62">ROUND(F110*AP110,2)</f>
        <v>0</v>
      </c>
      <c r="AY110" s="32" t="s">
        <v>292</v>
      </c>
      <c r="AZ110" s="32" t="s">
        <v>218</v>
      </c>
      <c r="BA110" s="11" t="s">
        <v>60</v>
      </c>
      <c r="BC110" s="30">
        <f t="shared" ref="BC110:BC117" si="63">AW110+AX110</f>
        <v>0</v>
      </c>
      <c r="BD110" s="30">
        <f t="shared" ref="BD110:BD117" si="64">G110/(100-BE110)*100</f>
        <v>0</v>
      </c>
      <c r="BE110" s="30">
        <v>0</v>
      </c>
      <c r="BF110" s="30">
        <f>110</f>
        <v>110</v>
      </c>
      <c r="BH110" s="28">
        <f t="shared" ref="BH110:BH117" si="65">F110*AO110</f>
        <v>0</v>
      </c>
      <c r="BI110" s="28">
        <f t="shared" ref="BI110:BI117" si="66">F110*AP110</f>
        <v>0</v>
      </c>
      <c r="BJ110" s="28">
        <f t="shared" ref="BJ110:BJ117" si="67">F110*G110</f>
        <v>0</v>
      </c>
      <c r="BK110" s="28"/>
      <c r="BL110" s="30"/>
      <c r="BW110" s="30">
        <v>21</v>
      </c>
      <c r="BX110" s="27" t="s">
        <v>290</v>
      </c>
    </row>
    <row r="111" spans="1:76" x14ac:dyDescent="0.25">
      <c r="A111" s="25" t="s">
        <v>293</v>
      </c>
      <c r="B111" s="26" t="s">
        <v>294</v>
      </c>
      <c r="C111" s="83" t="s">
        <v>295</v>
      </c>
      <c r="D111" s="84"/>
      <c r="E111" s="26" t="s">
        <v>291</v>
      </c>
      <c r="F111" s="28">
        <v>569.94000000000005</v>
      </c>
      <c r="G111" s="28">
        <v>0</v>
      </c>
      <c r="H111" s="28">
        <f t="shared" si="44"/>
        <v>0</v>
      </c>
      <c r="I111" s="28">
        <f t="shared" si="45"/>
        <v>0</v>
      </c>
      <c r="J111" s="28">
        <f t="shared" si="46"/>
        <v>0</v>
      </c>
      <c r="K111" s="29" t="s">
        <v>57</v>
      </c>
      <c r="Z111" s="30">
        <f t="shared" si="47"/>
        <v>0</v>
      </c>
      <c r="AB111" s="30">
        <f t="shared" si="48"/>
        <v>0</v>
      </c>
      <c r="AC111" s="30">
        <f t="shared" si="49"/>
        <v>0</v>
      </c>
      <c r="AD111" s="30">
        <f t="shared" si="50"/>
        <v>0</v>
      </c>
      <c r="AE111" s="30">
        <f t="shared" si="51"/>
        <v>0</v>
      </c>
      <c r="AF111" s="30">
        <f t="shared" si="52"/>
        <v>0</v>
      </c>
      <c r="AG111" s="30">
        <f t="shared" si="53"/>
        <v>0</v>
      </c>
      <c r="AH111" s="30">
        <f t="shared" si="54"/>
        <v>0</v>
      </c>
      <c r="AI111" s="11" t="s">
        <v>50</v>
      </c>
      <c r="AJ111" s="28">
        <f t="shared" si="55"/>
        <v>0</v>
      </c>
      <c r="AK111" s="28">
        <f t="shared" si="56"/>
        <v>0</v>
      </c>
      <c r="AL111" s="28">
        <f t="shared" si="57"/>
        <v>0</v>
      </c>
      <c r="AN111" s="30">
        <v>21</v>
      </c>
      <c r="AO111" s="30">
        <f t="shared" si="58"/>
        <v>0</v>
      </c>
      <c r="AP111" s="30">
        <f t="shared" si="59"/>
        <v>0</v>
      </c>
      <c r="AQ111" s="31" t="s">
        <v>79</v>
      </c>
      <c r="AV111" s="30">
        <f t="shared" si="60"/>
        <v>0</v>
      </c>
      <c r="AW111" s="30">
        <f t="shared" si="61"/>
        <v>0</v>
      </c>
      <c r="AX111" s="30">
        <f t="shared" si="62"/>
        <v>0</v>
      </c>
      <c r="AY111" s="32" t="s">
        <v>292</v>
      </c>
      <c r="AZ111" s="32" t="s">
        <v>218</v>
      </c>
      <c r="BA111" s="11" t="s">
        <v>60</v>
      </c>
      <c r="BC111" s="30">
        <f t="shared" si="63"/>
        <v>0</v>
      </c>
      <c r="BD111" s="30">
        <f t="shared" si="64"/>
        <v>0</v>
      </c>
      <c r="BE111" s="30">
        <v>0</v>
      </c>
      <c r="BF111" s="30">
        <f>111</f>
        <v>111</v>
      </c>
      <c r="BH111" s="28">
        <f t="shared" si="65"/>
        <v>0</v>
      </c>
      <c r="BI111" s="28">
        <f t="shared" si="66"/>
        <v>0</v>
      </c>
      <c r="BJ111" s="28">
        <f t="shared" si="67"/>
        <v>0</v>
      </c>
      <c r="BK111" s="28"/>
      <c r="BL111" s="30"/>
      <c r="BW111" s="30">
        <v>21</v>
      </c>
      <c r="BX111" s="27" t="s">
        <v>295</v>
      </c>
    </row>
    <row r="112" spans="1:76" x14ac:dyDescent="0.25">
      <c r="A112" s="25" t="s">
        <v>296</v>
      </c>
      <c r="B112" s="26" t="s">
        <v>297</v>
      </c>
      <c r="C112" s="83" t="s">
        <v>298</v>
      </c>
      <c r="D112" s="84"/>
      <c r="E112" s="26" t="s">
        <v>291</v>
      </c>
      <c r="F112" s="28">
        <v>37.996000000000002</v>
      </c>
      <c r="G112" s="28">
        <v>0</v>
      </c>
      <c r="H112" s="28">
        <f t="shared" si="44"/>
        <v>0</v>
      </c>
      <c r="I112" s="28">
        <f t="shared" si="45"/>
        <v>0</v>
      </c>
      <c r="J112" s="28">
        <f t="shared" si="46"/>
        <v>0</v>
      </c>
      <c r="K112" s="29" t="s">
        <v>57</v>
      </c>
      <c r="Z112" s="30">
        <f t="shared" si="47"/>
        <v>0</v>
      </c>
      <c r="AB112" s="30">
        <f t="shared" si="48"/>
        <v>0</v>
      </c>
      <c r="AC112" s="30">
        <f t="shared" si="49"/>
        <v>0</v>
      </c>
      <c r="AD112" s="30">
        <f t="shared" si="50"/>
        <v>0</v>
      </c>
      <c r="AE112" s="30">
        <f t="shared" si="51"/>
        <v>0</v>
      </c>
      <c r="AF112" s="30">
        <f t="shared" si="52"/>
        <v>0</v>
      </c>
      <c r="AG112" s="30">
        <f t="shared" si="53"/>
        <v>0</v>
      </c>
      <c r="AH112" s="30">
        <f t="shared" si="54"/>
        <v>0</v>
      </c>
      <c r="AI112" s="11" t="s">
        <v>50</v>
      </c>
      <c r="AJ112" s="28">
        <f t="shared" si="55"/>
        <v>0</v>
      </c>
      <c r="AK112" s="28">
        <f t="shared" si="56"/>
        <v>0</v>
      </c>
      <c r="AL112" s="28">
        <f t="shared" si="57"/>
        <v>0</v>
      </c>
      <c r="AN112" s="30">
        <v>21</v>
      </c>
      <c r="AO112" s="30">
        <f t="shared" si="58"/>
        <v>0</v>
      </c>
      <c r="AP112" s="30">
        <f t="shared" si="59"/>
        <v>0</v>
      </c>
      <c r="AQ112" s="31" t="s">
        <v>79</v>
      </c>
      <c r="AV112" s="30">
        <f t="shared" si="60"/>
        <v>0</v>
      </c>
      <c r="AW112" s="30">
        <f t="shared" si="61"/>
        <v>0</v>
      </c>
      <c r="AX112" s="30">
        <f t="shared" si="62"/>
        <v>0</v>
      </c>
      <c r="AY112" s="32" t="s">
        <v>292</v>
      </c>
      <c r="AZ112" s="32" t="s">
        <v>218</v>
      </c>
      <c r="BA112" s="11" t="s">
        <v>60</v>
      </c>
      <c r="BC112" s="30">
        <f t="shared" si="63"/>
        <v>0</v>
      </c>
      <c r="BD112" s="30">
        <f t="shared" si="64"/>
        <v>0</v>
      </c>
      <c r="BE112" s="30">
        <v>0</v>
      </c>
      <c r="BF112" s="30">
        <f>112</f>
        <v>112</v>
      </c>
      <c r="BH112" s="28">
        <f t="shared" si="65"/>
        <v>0</v>
      </c>
      <c r="BI112" s="28">
        <f t="shared" si="66"/>
        <v>0</v>
      </c>
      <c r="BJ112" s="28">
        <f t="shared" si="67"/>
        <v>0</v>
      </c>
      <c r="BK112" s="28"/>
      <c r="BL112" s="30"/>
      <c r="BW112" s="30">
        <v>21</v>
      </c>
      <c r="BX112" s="27" t="s">
        <v>298</v>
      </c>
    </row>
    <row r="113" spans="1:76" x14ac:dyDescent="0.25">
      <c r="A113" s="25" t="s">
        <v>299</v>
      </c>
      <c r="B113" s="26" t="s">
        <v>300</v>
      </c>
      <c r="C113" s="83" t="s">
        <v>301</v>
      </c>
      <c r="D113" s="84"/>
      <c r="E113" s="26" t="s">
        <v>291</v>
      </c>
      <c r="F113" s="28">
        <v>303.96800000000002</v>
      </c>
      <c r="G113" s="28">
        <v>0</v>
      </c>
      <c r="H113" s="28">
        <f t="shared" si="44"/>
        <v>0</v>
      </c>
      <c r="I113" s="28">
        <f t="shared" si="45"/>
        <v>0</v>
      </c>
      <c r="J113" s="28">
        <f t="shared" si="46"/>
        <v>0</v>
      </c>
      <c r="K113" s="29" t="s">
        <v>57</v>
      </c>
      <c r="Z113" s="30">
        <f t="shared" si="47"/>
        <v>0</v>
      </c>
      <c r="AB113" s="30">
        <f t="shared" si="48"/>
        <v>0</v>
      </c>
      <c r="AC113" s="30">
        <f t="shared" si="49"/>
        <v>0</v>
      </c>
      <c r="AD113" s="30">
        <f t="shared" si="50"/>
        <v>0</v>
      </c>
      <c r="AE113" s="30">
        <f t="shared" si="51"/>
        <v>0</v>
      </c>
      <c r="AF113" s="30">
        <f t="shared" si="52"/>
        <v>0</v>
      </c>
      <c r="AG113" s="30">
        <f t="shared" si="53"/>
        <v>0</v>
      </c>
      <c r="AH113" s="30">
        <f t="shared" si="54"/>
        <v>0</v>
      </c>
      <c r="AI113" s="11" t="s">
        <v>50</v>
      </c>
      <c r="AJ113" s="28">
        <f t="shared" si="55"/>
        <v>0</v>
      </c>
      <c r="AK113" s="28">
        <f t="shared" si="56"/>
        <v>0</v>
      </c>
      <c r="AL113" s="28">
        <f t="shared" si="57"/>
        <v>0</v>
      </c>
      <c r="AN113" s="30">
        <v>21</v>
      </c>
      <c r="AO113" s="30">
        <f t="shared" si="58"/>
        <v>0</v>
      </c>
      <c r="AP113" s="30">
        <f t="shared" si="59"/>
        <v>0</v>
      </c>
      <c r="AQ113" s="31" t="s">
        <v>79</v>
      </c>
      <c r="AV113" s="30">
        <f t="shared" si="60"/>
        <v>0</v>
      </c>
      <c r="AW113" s="30">
        <f t="shared" si="61"/>
        <v>0</v>
      </c>
      <c r="AX113" s="30">
        <f t="shared" si="62"/>
        <v>0</v>
      </c>
      <c r="AY113" s="32" t="s">
        <v>292</v>
      </c>
      <c r="AZ113" s="32" t="s">
        <v>218</v>
      </c>
      <c r="BA113" s="11" t="s">
        <v>60</v>
      </c>
      <c r="BC113" s="30">
        <f t="shared" si="63"/>
        <v>0</v>
      </c>
      <c r="BD113" s="30">
        <f t="shared" si="64"/>
        <v>0</v>
      </c>
      <c r="BE113" s="30">
        <v>0</v>
      </c>
      <c r="BF113" s="30">
        <f>113</f>
        <v>113</v>
      </c>
      <c r="BH113" s="28">
        <f t="shared" si="65"/>
        <v>0</v>
      </c>
      <c r="BI113" s="28">
        <f t="shared" si="66"/>
        <v>0</v>
      </c>
      <c r="BJ113" s="28">
        <f t="shared" si="67"/>
        <v>0</v>
      </c>
      <c r="BK113" s="28"/>
      <c r="BL113" s="30"/>
      <c r="BW113" s="30">
        <v>21</v>
      </c>
      <c r="BX113" s="27" t="s">
        <v>301</v>
      </c>
    </row>
    <row r="114" spans="1:76" x14ac:dyDescent="0.25">
      <c r="A114" s="25" t="s">
        <v>302</v>
      </c>
      <c r="B114" s="26" t="s">
        <v>303</v>
      </c>
      <c r="C114" s="83" t="s">
        <v>304</v>
      </c>
      <c r="D114" s="84"/>
      <c r="E114" s="26" t="s">
        <v>291</v>
      </c>
      <c r="F114" s="28">
        <v>0.44719999999999999</v>
      </c>
      <c r="G114" s="28">
        <v>0</v>
      </c>
      <c r="H114" s="28">
        <f t="shared" si="44"/>
        <v>0</v>
      </c>
      <c r="I114" s="28">
        <f t="shared" si="45"/>
        <v>0</v>
      </c>
      <c r="J114" s="28">
        <f t="shared" si="46"/>
        <v>0</v>
      </c>
      <c r="K114" s="29" t="s">
        <v>57</v>
      </c>
      <c r="Z114" s="30">
        <f t="shared" si="47"/>
        <v>0</v>
      </c>
      <c r="AB114" s="30">
        <f t="shared" si="48"/>
        <v>0</v>
      </c>
      <c r="AC114" s="30">
        <f t="shared" si="49"/>
        <v>0</v>
      </c>
      <c r="AD114" s="30">
        <f t="shared" si="50"/>
        <v>0</v>
      </c>
      <c r="AE114" s="30">
        <f t="shared" si="51"/>
        <v>0</v>
      </c>
      <c r="AF114" s="30">
        <f t="shared" si="52"/>
        <v>0</v>
      </c>
      <c r="AG114" s="30">
        <f t="shared" si="53"/>
        <v>0</v>
      </c>
      <c r="AH114" s="30">
        <f t="shared" si="54"/>
        <v>0</v>
      </c>
      <c r="AI114" s="11" t="s">
        <v>50</v>
      </c>
      <c r="AJ114" s="28">
        <f t="shared" si="55"/>
        <v>0</v>
      </c>
      <c r="AK114" s="28">
        <f t="shared" si="56"/>
        <v>0</v>
      </c>
      <c r="AL114" s="28">
        <f t="shared" si="57"/>
        <v>0</v>
      </c>
      <c r="AN114" s="30">
        <v>21</v>
      </c>
      <c r="AO114" s="30">
        <f t="shared" si="58"/>
        <v>0</v>
      </c>
      <c r="AP114" s="30">
        <f t="shared" si="59"/>
        <v>0</v>
      </c>
      <c r="AQ114" s="31" t="s">
        <v>79</v>
      </c>
      <c r="AV114" s="30">
        <f t="shared" si="60"/>
        <v>0</v>
      </c>
      <c r="AW114" s="30">
        <f t="shared" si="61"/>
        <v>0</v>
      </c>
      <c r="AX114" s="30">
        <f t="shared" si="62"/>
        <v>0</v>
      </c>
      <c r="AY114" s="32" t="s">
        <v>292</v>
      </c>
      <c r="AZ114" s="32" t="s">
        <v>218</v>
      </c>
      <c r="BA114" s="11" t="s">
        <v>60</v>
      </c>
      <c r="BC114" s="30">
        <f t="shared" si="63"/>
        <v>0</v>
      </c>
      <c r="BD114" s="30">
        <f t="shared" si="64"/>
        <v>0</v>
      </c>
      <c r="BE114" s="30">
        <v>0</v>
      </c>
      <c r="BF114" s="30">
        <f>114</f>
        <v>114</v>
      </c>
      <c r="BH114" s="28">
        <f t="shared" si="65"/>
        <v>0</v>
      </c>
      <c r="BI114" s="28">
        <f t="shared" si="66"/>
        <v>0</v>
      </c>
      <c r="BJ114" s="28">
        <f t="shared" si="67"/>
        <v>0</v>
      </c>
      <c r="BK114" s="28"/>
      <c r="BL114" s="30"/>
      <c r="BW114" s="30">
        <v>21</v>
      </c>
      <c r="BX114" s="27" t="s">
        <v>304</v>
      </c>
    </row>
    <row r="115" spans="1:76" x14ac:dyDescent="0.25">
      <c r="A115" s="25" t="s">
        <v>305</v>
      </c>
      <c r="B115" s="26" t="s">
        <v>306</v>
      </c>
      <c r="C115" s="83" t="s">
        <v>307</v>
      </c>
      <c r="D115" s="84"/>
      <c r="E115" s="26" t="s">
        <v>291</v>
      </c>
      <c r="F115" s="28">
        <v>29.418600000000001</v>
      </c>
      <c r="G115" s="28">
        <v>0</v>
      </c>
      <c r="H115" s="28">
        <f t="shared" si="44"/>
        <v>0</v>
      </c>
      <c r="I115" s="28">
        <f t="shared" si="45"/>
        <v>0</v>
      </c>
      <c r="J115" s="28">
        <f t="shared" si="46"/>
        <v>0</v>
      </c>
      <c r="K115" s="29" t="s">
        <v>57</v>
      </c>
      <c r="Z115" s="30">
        <f t="shared" si="47"/>
        <v>0</v>
      </c>
      <c r="AB115" s="30">
        <f t="shared" si="48"/>
        <v>0</v>
      </c>
      <c r="AC115" s="30">
        <f t="shared" si="49"/>
        <v>0</v>
      </c>
      <c r="AD115" s="30">
        <f t="shared" si="50"/>
        <v>0</v>
      </c>
      <c r="AE115" s="30">
        <f t="shared" si="51"/>
        <v>0</v>
      </c>
      <c r="AF115" s="30">
        <f t="shared" si="52"/>
        <v>0</v>
      </c>
      <c r="AG115" s="30">
        <f t="shared" si="53"/>
        <v>0</v>
      </c>
      <c r="AH115" s="30">
        <f t="shared" si="54"/>
        <v>0</v>
      </c>
      <c r="AI115" s="11" t="s">
        <v>50</v>
      </c>
      <c r="AJ115" s="28">
        <f t="shared" si="55"/>
        <v>0</v>
      </c>
      <c r="AK115" s="28">
        <f t="shared" si="56"/>
        <v>0</v>
      </c>
      <c r="AL115" s="28">
        <f t="shared" si="57"/>
        <v>0</v>
      </c>
      <c r="AN115" s="30">
        <v>21</v>
      </c>
      <c r="AO115" s="30">
        <f t="shared" si="58"/>
        <v>0</v>
      </c>
      <c r="AP115" s="30">
        <f t="shared" si="59"/>
        <v>0</v>
      </c>
      <c r="AQ115" s="31" t="s">
        <v>79</v>
      </c>
      <c r="AV115" s="30">
        <f t="shared" si="60"/>
        <v>0</v>
      </c>
      <c r="AW115" s="30">
        <f t="shared" si="61"/>
        <v>0</v>
      </c>
      <c r="AX115" s="30">
        <f t="shared" si="62"/>
        <v>0</v>
      </c>
      <c r="AY115" s="32" t="s">
        <v>292</v>
      </c>
      <c r="AZ115" s="32" t="s">
        <v>218</v>
      </c>
      <c r="BA115" s="11" t="s">
        <v>60</v>
      </c>
      <c r="BC115" s="30">
        <f t="shared" si="63"/>
        <v>0</v>
      </c>
      <c r="BD115" s="30">
        <f t="shared" si="64"/>
        <v>0</v>
      </c>
      <c r="BE115" s="30">
        <v>0</v>
      </c>
      <c r="BF115" s="30">
        <f>115</f>
        <v>115</v>
      </c>
      <c r="BH115" s="28">
        <f t="shared" si="65"/>
        <v>0</v>
      </c>
      <c r="BI115" s="28">
        <f t="shared" si="66"/>
        <v>0</v>
      </c>
      <c r="BJ115" s="28">
        <f t="shared" si="67"/>
        <v>0</v>
      </c>
      <c r="BK115" s="28"/>
      <c r="BL115" s="30"/>
      <c r="BW115" s="30">
        <v>21</v>
      </c>
      <c r="BX115" s="27" t="s">
        <v>307</v>
      </c>
    </row>
    <row r="116" spans="1:76" x14ac:dyDescent="0.25">
      <c r="A116" s="25" t="s">
        <v>308</v>
      </c>
      <c r="B116" s="26" t="s">
        <v>309</v>
      </c>
      <c r="C116" s="83" t="s">
        <v>310</v>
      </c>
      <c r="D116" s="84"/>
      <c r="E116" s="26" t="s">
        <v>291</v>
      </c>
      <c r="F116" s="28">
        <v>3.8639999999999999</v>
      </c>
      <c r="G116" s="28">
        <v>0</v>
      </c>
      <c r="H116" s="28">
        <f t="shared" si="44"/>
        <v>0</v>
      </c>
      <c r="I116" s="28">
        <f t="shared" si="45"/>
        <v>0</v>
      </c>
      <c r="J116" s="28">
        <f t="shared" si="46"/>
        <v>0</v>
      </c>
      <c r="K116" s="29" t="s">
        <v>57</v>
      </c>
      <c r="Z116" s="30">
        <f t="shared" si="47"/>
        <v>0</v>
      </c>
      <c r="AB116" s="30">
        <f t="shared" si="48"/>
        <v>0</v>
      </c>
      <c r="AC116" s="30">
        <f t="shared" si="49"/>
        <v>0</v>
      </c>
      <c r="AD116" s="30">
        <f t="shared" si="50"/>
        <v>0</v>
      </c>
      <c r="AE116" s="30">
        <f t="shared" si="51"/>
        <v>0</v>
      </c>
      <c r="AF116" s="30">
        <f t="shared" si="52"/>
        <v>0</v>
      </c>
      <c r="AG116" s="30">
        <f t="shared" si="53"/>
        <v>0</v>
      </c>
      <c r="AH116" s="30">
        <f t="shared" si="54"/>
        <v>0</v>
      </c>
      <c r="AI116" s="11" t="s">
        <v>50</v>
      </c>
      <c r="AJ116" s="28">
        <f t="shared" si="55"/>
        <v>0</v>
      </c>
      <c r="AK116" s="28">
        <f t="shared" si="56"/>
        <v>0</v>
      </c>
      <c r="AL116" s="28">
        <f t="shared" si="57"/>
        <v>0</v>
      </c>
      <c r="AN116" s="30">
        <v>21</v>
      </c>
      <c r="AO116" s="30">
        <f t="shared" si="58"/>
        <v>0</v>
      </c>
      <c r="AP116" s="30">
        <f t="shared" si="59"/>
        <v>0</v>
      </c>
      <c r="AQ116" s="31" t="s">
        <v>79</v>
      </c>
      <c r="AV116" s="30">
        <f t="shared" si="60"/>
        <v>0</v>
      </c>
      <c r="AW116" s="30">
        <f t="shared" si="61"/>
        <v>0</v>
      </c>
      <c r="AX116" s="30">
        <f t="shared" si="62"/>
        <v>0</v>
      </c>
      <c r="AY116" s="32" t="s">
        <v>292</v>
      </c>
      <c r="AZ116" s="32" t="s">
        <v>218</v>
      </c>
      <c r="BA116" s="11" t="s">
        <v>60</v>
      </c>
      <c r="BC116" s="30">
        <f t="shared" si="63"/>
        <v>0</v>
      </c>
      <c r="BD116" s="30">
        <f t="shared" si="64"/>
        <v>0</v>
      </c>
      <c r="BE116" s="30">
        <v>0</v>
      </c>
      <c r="BF116" s="30">
        <f>116</f>
        <v>116</v>
      </c>
      <c r="BH116" s="28">
        <f t="shared" si="65"/>
        <v>0</v>
      </c>
      <c r="BI116" s="28">
        <f t="shared" si="66"/>
        <v>0</v>
      </c>
      <c r="BJ116" s="28">
        <f t="shared" si="67"/>
        <v>0</v>
      </c>
      <c r="BK116" s="28"/>
      <c r="BL116" s="30"/>
      <c r="BW116" s="30">
        <v>21</v>
      </c>
      <c r="BX116" s="27" t="s">
        <v>310</v>
      </c>
    </row>
    <row r="117" spans="1:76" x14ac:dyDescent="0.25">
      <c r="A117" s="25" t="s">
        <v>128</v>
      </c>
      <c r="B117" s="26" t="s">
        <v>311</v>
      </c>
      <c r="C117" s="83" t="s">
        <v>312</v>
      </c>
      <c r="D117" s="84"/>
      <c r="E117" s="26" t="s">
        <v>291</v>
      </c>
      <c r="F117" s="28">
        <v>4.2662000000000004</v>
      </c>
      <c r="G117" s="28">
        <v>0</v>
      </c>
      <c r="H117" s="28">
        <f t="shared" si="44"/>
        <v>0</v>
      </c>
      <c r="I117" s="28">
        <f t="shared" si="45"/>
        <v>0</v>
      </c>
      <c r="J117" s="28">
        <f t="shared" si="46"/>
        <v>0</v>
      </c>
      <c r="K117" s="29" t="s">
        <v>57</v>
      </c>
      <c r="Z117" s="30">
        <f t="shared" si="47"/>
        <v>0</v>
      </c>
      <c r="AB117" s="30">
        <f t="shared" si="48"/>
        <v>0</v>
      </c>
      <c r="AC117" s="30">
        <f t="shared" si="49"/>
        <v>0</v>
      </c>
      <c r="AD117" s="30">
        <f t="shared" si="50"/>
        <v>0</v>
      </c>
      <c r="AE117" s="30">
        <f t="shared" si="51"/>
        <v>0</v>
      </c>
      <c r="AF117" s="30">
        <f t="shared" si="52"/>
        <v>0</v>
      </c>
      <c r="AG117" s="30">
        <f t="shared" si="53"/>
        <v>0</v>
      </c>
      <c r="AH117" s="30">
        <f t="shared" si="54"/>
        <v>0</v>
      </c>
      <c r="AI117" s="11" t="s">
        <v>50</v>
      </c>
      <c r="AJ117" s="28">
        <f t="shared" si="55"/>
        <v>0</v>
      </c>
      <c r="AK117" s="28">
        <f t="shared" si="56"/>
        <v>0</v>
      </c>
      <c r="AL117" s="28">
        <f t="shared" si="57"/>
        <v>0</v>
      </c>
      <c r="AN117" s="30">
        <v>21</v>
      </c>
      <c r="AO117" s="30">
        <f t="shared" si="58"/>
        <v>0</v>
      </c>
      <c r="AP117" s="30">
        <f t="shared" si="59"/>
        <v>0</v>
      </c>
      <c r="AQ117" s="31" t="s">
        <v>79</v>
      </c>
      <c r="AV117" s="30">
        <f t="shared" si="60"/>
        <v>0</v>
      </c>
      <c r="AW117" s="30">
        <f t="shared" si="61"/>
        <v>0</v>
      </c>
      <c r="AX117" s="30">
        <f t="shared" si="62"/>
        <v>0</v>
      </c>
      <c r="AY117" s="32" t="s">
        <v>292</v>
      </c>
      <c r="AZ117" s="32" t="s">
        <v>218</v>
      </c>
      <c r="BA117" s="11" t="s">
        <v>60</v>
      </c>
      <c r="BC117" s="30">
        <f t="shared" si="63"/>
        <v>0</v>
      </c>
      <c r="BD117" s="30">
        <f t="shared" si="64"/>
        <v>0</v>
      </c>
      <c r="BE117" s="30">
        <v>0</v>
      </c>
      <c r="BF117" s="30">
        <f>117</f>
        <v>117</v>
      </c>
      <c r="BH117" s="28">
        <f t="shared" si="65"/>
        <v>0</v>
      </c>
      <c r="BI117" s="28">
        <f t="shared" si="66"/>
        <v>0</v>
      </c>
      <c r="BJ117" s="28">
        <f t="shared" si="67"/>
        <v>0</v>
      </c>
      <c r="BK117" s="28"/>
      <c r="BL117" s="30"/>
      <c r="BW117" s="30">
        <v>21</v>
      </c>
      <c r="BX117" s="27" t="s">
        <v>312</v>
      </c>
    </row>
    <row r="118" spans="1:76" x14ac:dyDescent="0.25">
      <c r="A118" s="36" t="s">
        <v>50</v>
      </c>
      <c r="B118" s="37" t="s">
        <v>313</v>
      </c>
      <c r="C118" s="81" t="s">
        <v>314</v>
      </c>
      <c r="D118" s="82"/>
      <c r="E118" s="38" t="s">
        <v>4</v>
      </c>
      <c r="F118" s="38" t="s">
        <v>4</v>
      </c>
      <c r="G118" s="38" t="s">
        <v>4</v>
      </c>
      <c r="H118" s="1">
        <f>SUM(H119:H127)</f>
        <v>0</v>
      </c>
      <c r="I118" s="1">
        <f>SUM(I119:I127)</f>
        <v>0</v>
      </c>
      <c r="J118" s="1">
        <f>SUM(J119:J127)</f>
        <v>0</v>
      </c>
      <c r="K118" s="39" t="s">
        <v>50</v>
      </c>
      <c r="AI118" s="11" t="s">
        <v>50</v>
      </c>
      <c r="AS118" s="1">
        <f>SUM(AJ119:AJ127)</f>
        <v>0</v>
      </c>
      <c r="AT118" s="1">
        <f>SUM(AK119:AK127)</f>
        <v>0</v>
      </c>
      <c r="AU118" s="1">
        <f>SUM(AL119:AL127)</f>
        <v>0</v>
      </c>
    </row>
    <row r="119" spans="1:76" x14ac:dyDescent="0.25">
      <c r="A119" s="25" t="s">
        <v>139</v>
      </c>
      <c r="B119" s="26" t="s">
        <v>315</v>
      </c>
      <c r="C119" s="83" t="s">
        <v>316</v>
      </c>
      <c r="D119" s="84"/>
      <c r="E119" s="26" t="s">
        <v>112</v>
      </c>
      <c r="F119" s="28">
        <v>42.884999999999998</v>
      </c>
      <c r="G119" s="28">
        <v>0</v>
      </c>
      <c r="H119" s="28">
        <f>ROUND(F119*AO119,2)</f>
        <v>0</v>
      </c>
      <c r="I119" s="28">
        <f>ROUND(F119*AP119,2)</f>
        <v>0</v>
      </c>
      <c r="J119" s="28">
        <f>ROUND(F119*G119,2)</f>
        <v>0</v>
      </c>
      <c r="K119" s="29" t="s">
        <v>57</v>
      </c>
      <c r="Z119" s="30">
        <f>ROUND(IF(AQ119="5",BJ119,0),2)</f>
        <v>0</v>
      </c>
      <c r="AB119" s="30">
        <f>ROUND(IF(AQ119="1",BH119,0),2)</f>
        <v>0</v>
      </c>
      <c r="AC119" s="30">
        <f>ROUND(IF(AQ119="1",BI119,0),2)</f>
        <v>0</v>
      </c>
      <c r="AD119" s="30">
        <f>ROUND(IF(AQ119="7",BH119,0),2)</f>
        <v>0</v>
      </c>
      <c r="AE119" s="30">
        <f>ROUND(IF(AQ119="7",BI119,0),2)</f>
        <v>0</v>
      </c>
      <c r="AF119" s="30">
        <f>ROUND(IF(AQ119="2",BH119,0),2)</f>
        <v>0</v>
      </c>
      <c r="AG119" s="30">
        <f>ROUND(IF(AQ119="2",BI119,0),2)</f>
        <v>0</v>
      </c>
      <c r="AH119" s="30">
        <f>ROUND(IF(AQ119="0",BJ119,0),2)</f>
        <v>0</v>
      </c>
      <c r="AI119" s="11" t="s">
        <v>50</v>
      </c>
      <c r="AJ119" s="28">
        <f>IF(AN119=0,J119,0)</f>
        <v>0</v>
      </c>
      <c r="AK119" s="28">
        <f>IF(AN119=12,J119,0)</f>
        <v>0</v>
      </c>
      <c r="AL119" s="28">
        <f>IF(AN119=21,J119,0)</f>
        <v>0</v>
      </c>
      <c r="AN119" s="30">
        <v>21</v>
      </c>
      <c r="AO119" s="30">
        <f>G119*0.089352509</f>
        <v>0</v>
      </c>
      <c r="AP119" s="30">
        <f>G119*(1-0.089352509)</f>
        <v>0</v>
      </c>
      <c r="AQ119" s="31" t="s">
        <v>85</v>
      </c>
      <c r="AV119" s="30">
        <f>ROUND(AW119+AX119,2)</f>
        <v>0</v>
      </c>
      <c r="AW119" s="30">
        <f>ROUND(F119*AO119,2)</f>
        <v>0</v>
      </c>
      <c r="AX119" s="30">
        <f>ROUND(F119*AP119,2)</f>
        <v>0</v>
      </c>
      <c r="AY119" s="32" t="s">
        <v>317</v>
      </c>
      <c r="AZ119" s="32" t="s">
        <v>318</v>
      </c>
      <c r="BA119" s="11" t="s">
        <v>60</v>
      </c>
      <c r="BC119" s="30">
        <f>AW119+AX119</f>
        <v>0</v>
      </c>
      <c r="BD119" s="30">
        <f>G119/(100-BE119)*100</f>
        <v>0</v>
      </c>
      <c r="BE119" s="30">
        <v>0</v>
      </c>
      <c r="BF119" s="30">
        <f>119</f>
        <v>119</v>
      </c>
      <c r="BH119" s="28">
        <f>F119*AO119</f>
        <v>0</v>
      </c>
      <c r="BI119" s="28">
        <f>F119*AP119</f>
        <v>0</v>
      </c>
      <c r="BJ119" s="28">
        <f>F119*G119</f>
        <v>0</v>
      </c>
      <c r="BK119" s="28"/>
      <c r="BL119" s="30">
        <v>711</v>
      </c>
      <c r="BW119" s="30">
        <v>21</v>
      </c>
      <c r="BX119" s="27" t="s">
        <v>316</v>
      </c>
    </row>
    <row r="120" spans="1:76" x14ac:dyDescent="0.25">
      <c r="A120" s="2" t="s">
        <v>196</v>
      </c>
      <c r="B120" s="3" t="s">
        <v>319</v>
      </c>
      <c r="C120" s="76" t="s">
        <v>320</v>
      </c>
      <c r="D120" s="77"/>
      <c r="E120" s="3" t="s">
        <v>112</v>
      </c>
      <c r="F120" s="30">
        <v>46.315800000000003</v>
      </c>
      <c r="G120" s="30">
        <v>0</v>
      </c>
      <c r="H120" s="30">
        <f>ROUND(F120*AO120,2)</f>
        <v>0</v>
      </c>
      <c r="I120" s="30">
        <f>ROUND(F120*AP120,2)</f>
        <v>0</v>
      </c>
      <c r="J120" s="30">
        <f>ROUND(F120*G120,2)</f>
        <v>0</v>
      </c>
      <c r="K120" s="42" t="s">
        <v>57</v>
      </c>
      <c r="Z120" s="30">
        <f>ROUND(IF(AQ120="5",BJ120,0),2)</f>
        <v>0</v>
      </c>
      <c r="AB120" s="30">
        <f>ROUND(IF(AQ120="1",BH120,0),2)</f>
        <v>0</v>
      </c>
      <c r="AC120" s="30">
        <f>ROUND(IF(AQ120="1",BI120,0),2)</f>
        <v>0</v>
      </c>
      <c r="AD120" s="30">
        <f>ROUND(IF(AQ120="7",BH120,0),2)</f>
        <v>0</v>
      </c>
      <c r="AE120" s="30">
        <f>ROUND(IF(AQ120="7",BI120,0),2)</f>
        <v>0</v>
      </c>
      <c r="AF120" s="30">
        <f>ROUND(IF(AQ120="2",BH120,0),2)</f>
        <v>0</v>
      </c>
      <c r="AG120" s="30">
        <f>ROUND(IF(AQ120="2",BI120,0),2)</f>
        <v>0</v>
      </c>
      <c r="AH120" s="30">
        <f>ROUND(IF(AQ120="0",BJ120,0),2)</f>
        <v>0</v>
      </c>
      <c r="AI120" s="11" t="s">
        <v>50</v>
      </c>
      <c r="AJ120" s="30">
        <f>IF(AN120=0,J120,0)</f>
        <v>0</v>
      </c>
      <c r="AK120" s="30">
        <f>IF(AN120=12,J120,0)</f>
        <v>0</v>
      </c>
      <c r="AL120" s="30">
        <f>IF(AN120=21,J120,0)</f>
        <v>0</v>
      </c>
      <c r="AN120" s="30">
        <v>21</v>
      </c>
      <c r="AO120" s="30">
        <f>G120*1</f>
        <v>0</v>
      </c>
      <c r="AP120" s="30">
        <f>G120*(1-1)</f>
        <v>0</v>
      </c>
      <c r="AQ120" s="32" t="s">
        <v>85</v>
      </c>
      <c r="AV120" s="30">
        <f>ROUND(AW120+AX120,2)</f>
        <v>0</v>
      </c>
      <c r="AW120" s="30">
        <f>ROUND(F120*AO120,2)</f>
        <v>0</v>
      </c>
      <c r="AX120" s="30">
        <f>ROUND(F120*AP120,2)</f>
        <v>0</v>
      </c>
      <c r="AY120" s="32" t="s">
        <v>317</v>
      </c>
      <c r="AZ120" s="32" t="s">
        <v>318</v>
      </c>
      <c r="BA120" s="11" t="s">
        <v>60</v>
      </c>
      <c r="BC120" s="30">
        <f>AW120+AX120</f>
        <v>0</v>
      </c>
      <c r="BD120" s="30">
        <f>G120/(100-BE120)*100</f>
        <v>0</v>
      </c>
      <c r="BE120" s="30">
        <v>0</v>
      </c>
      <c r="BF120" s="30">
        <f>120</f>
        <v>120</v>
      </c>
      <c r="BH120" s="30">
        <f>F120*AO120</f>
        <v>0</v>
      </c>
      <c r="BI120" s="30">
        <f>F120*AP120</f>
        <v>0</v>
      </c>
      <c r="BJ120" s="30">
        <f>F120*G120</f>
        <v>0</v>
      </c>
      <c r="BK120" s="30"/>
      <c r="BL120" s="30">
        <v>711</v>
      </c>
      <c r="BW120" s="30">
        <v>21</v>
      </c>
      <c r="BX120" s="5" t="s">
        <v>320</v>
      </c>
    </row>
    <row r="121" spans="1:76" x14ac:dyDescent="0.25">
      <c r="A121" s="33"/>
      <c r="C121" s="35" t="s">
        <v>321</v>
      </c>
      <c r="D121" s="35" t="s">
        <v>50</v>
      </c>
      <c r="F121" s="40">
        <v>42.884999999999998</v>
      </c>
      <c r="K121" s="41"/>
    </row>
    <row r="122" spans="1:76" x14ac:dyDescent="0.25">
      <c r="A122" s="33"/>
      <c r="C122" s="35" t="s">
        <v>322</v>
      </c>
      <c r="D122" s="35" t="s">
        <v>50</v>
      </c>
      <c r="F122" s="40">
        <v>3.4308000000000001</v>
      </c>
      <c r="K122" s="41"/>
    </row>
    <row r="123" spans="1:76" x14ac:dyDescent="0.25">
      <c r="A123" s="25" t="s">
        <v>206</v>
      </c>
      <c r="B123" s="26" t="s">
        <v>323</v>
      </c>
      <c r="C123" s="83" t="s">
        <v>324</v>
      </c>
      <c r="D123" s="84"/>
      <c r="E123" s="26" t="s">
        <v>112</v>
      </c>
      <c r="F123" s="28">
        <v>42.884999999999998</v>
      </c>
      <c r="G123" s="28">
        <v>0</v>
      </c>
      <c r="H123" s="28">
        <f>ROUND(F123*AO123,2)</f>
        <v>0</v>
      </c>
      <c r="I123" s="28">
        <f>ROUND(F123*AP123,2)</f>
        <v>0</v>
      </c>
      <c r="J123" s="28">
        <f>ROUND(F123*G123,2)</f>
        <v>0</v>
      </c>
      <c r="K123" s="29" t="s">
        <v>57</v>
      </c>
      <c r="Z123" s="30">
        <f>ROUND(IF(AQ123="5",BJ123,0),2)</f>
        <v>0</v>
      </c>
      <c r="AB123" s="30">
        <f>ROUND(IF(AQ123="1",BH123,0),2)</f>
        <v>0</v>
      </c>
      <c r="AC123" s="30">
        <f>ROUND(IF(AQ123="1",BI123,0),2)</f>
        <v>0</v>
      </c>
      <c r="AD123" s="30">
        <f>ROUND(IF(AQ123="7",BH123,0),2)</f>
        <v>0</v>
      </c>
      <c r="AE123" s="30">
        <f>ROUND(IF(AQ123="7",BI123,0),2)</f>
        <v>0</v>
      </c>
      <c r="AF123" s="30">
        <f>ROUND(IF(AQ123="2",BH123,0),2)</f>
        <v>0</v>
      </c>
      <c r="AG123" s="30">
        <f>ROUND(IF(AQ123="2",BI123,0),2)</f>
        <v>0</v>
      </c>
      <c r="AH123" s="30">
        <f>ROUND(IF(AQ123="0",BJ123,0),2)</f>
        <v>0</v>
      </c>
      <c r="AI123" s="11" t="s">
        <v>50</v>
      </c>
      <c r="AJ123" s="28">
        <f>IF(AN123=0,J123,0)</f>
        <v>0</v>
      </c>
      <c r="AK123" s="28">
        <f>IF(AN123=12,J123,0)</f>
        <v>0</v>
      </c>
      <c r="AL123" s="28">
        <f>IF(AN123=21,J123,0)</f>
        <v>0</v>
      </c>
      <c r="AN123" s="30">
        <v>21</v>
      </c>
      <c r="AO123" s="30">
        <f>G123*0.289540726</f>
        <v>0</v>
      </c>
      <c r="AP123" s="30">
        <f>G123*(1-0.289540726)</f>
        <v>0</v>
      </c>
      <c r="AQ123" s="31" t="s">
        <v>85</v>
      </c>
      <c r="AV123" s="30">
        <f>ROUND(AW123+AX123,2)</f>
        <v>0</v>
      </c>
      <c r="AW123" s="30">
        <f>ROUND(F123*AO123,2)</f>
        <v>0</v>
      </c>
      <c r="AX123" s="30">
        <f>ROUND(F123*AP123,2)</f>
        <v>0</v>
      </c>
      <c r="AY123" s="32" t="s">
        <v>317</v>
      </c>
      <c r="AZ123" s="32" t="s">
        <v>318</v>
      </c>
      <c r="BA123" s="11" t="s">
        <v>60</v>
      </c>
      <c r="BC123" s="30">
        <f>AW123+AX123</f>
        <v>0</v>
      </c>
      <c r="BD123" s="30">
        <f>G123/(100-BE123)*100</f>
        <v>0</v>
      </c>
      <c r="BE123" s="30">
        <v>0</v>
      </c>
      <c r="BF123" s="30">
        <f>123</f>
        <v>123</v>
      </c>
      <c r="BH123" s="28">
        <f>F123*AO123</f>
        <v>0</v>
      </c>
      <c r="BI123" s="28">
        <f>F123*AP123</f>
        <v>0</v>
      </c>
      <c r="BJ123" s="28">
        <f>F123*G123</f>
        <v>0</v>
      </c>
      <c r="BK123" s="28"/>
      <c r="BL123" s="30">
        <v>711</v>
      </c>
      <c r="BW123" s="30">
        <v>21</v>
      </c>
      <c r="BX123" s="27" t="s">
        <v>324</v>
      </c>
    </row>
    <row r="124" spans="1:76" ht="13.5" customHeight="1" x14ac:dyDescent="0.25">
      <c r="A124" s="33"/>
      <c r="B124" s="34"/>
      <c r="C124" s="78" t="s">
        <v>325</v>
      </c>
      <c r="D124" s="79"/>
      <c r="E124" s="79"/>
      <c r="F124" s="79"/>
      <c r="G124" s="79"/>
      <c r="H124" s="79"/>
      <c r="I124" s="79"/>
      <c r="J124" s="79"/>
      <c r="K124" s="80"/>
    </row>
    <row r="125" spans="1:76" x14ac:dyDescent="0.25">
      <c r="A125" s="25" t="s">
        <v>326</v>
      </c>
      <c r="B125" s="26" t="s">
        <v>327</v>
      </c>
      <c r="C125" s="83" t="s">
        <v>328</v>
      </c>
      <c r="D125" s="84"/>
      <c r="E125" s="26" t="s">
        <v>112</v>
      </c>
      <c r="F125" s="28">
        <v>42.884999999999998</v>
      </c>
      <c r="G125" s="28">
        <v>0</v>
      </c>
      <c r="H125" s="28">
        <f>ROUND(F125*AO125,2)</f>
        <v>0</v>
      </c>
      <c r="I125" s="28">
        <f>ROUND(F125*AP125,2)</f>
        <v>0</v>
      </c>
      <c r="J125" s="28">
        <f>ROUND(F125*G125,2)</f>
        <v>0</v>
      </c>
      <c r="K125" s="29" t="s">
        <v>57</v>
      </c>
      <c r="Z125" s="30">
        <f>ROUND(IF(AQ125="5",BJ125,0),2)</f>
        <v>0</v>
      </c>
      <c r="AB125" s="30">
        <f>ROUND(IF(AQ125="1",BH125,0),2)</f>
        <v>0</v>
      </c>
      <c r="AC125" s="30">
        <f>ROUND(IF(AQ125="1",BI125,0),2)</f>
        <v>0</v>
      </c>
      <c r="AD125" s="30">
        <f>ROUND(IF(AQ125="7",BH125,0),2)</f>
        <v>0</v>
      </c>
      <c r="AE125" s="30">
        <f>ROUND(IF(AQ125="7",BI125,0),2)</f>
        <v>0</v>
      </c>
      <c r="AF125" s="30">
        <f>ROUND(IF(AQ125="2",BH125,0),2)</f>
        <v>0</v>
      </c>
      <c r="AG125" s="30">
        <f>ROUND(IF(AQ125="2",BI125,0),2)</f>
        <v>0</v>
      </c>
      <c r="AH125" s="30">
        <f>ROUND(IF(AQ125="0",BJ125,0),2)</f>
        <v>0</v>
      </c>
      <c r="AI125" s="11" t="s">
        <v>50</v>
      </c>
      <c r="AJ125" s="28">
        <f>IF(AN125=0,J125,0)</f>
        <v>0</v>
      </c>
      <c r="AK125" s="28">
        <f>IF(AN125=12,J125,0)</f>
        <v>0</v>
      </c>
      <c r="AL125" s="28">
        <f>IF(AN125=21,J125,0)</f>
        <v>0</v>
      </c>
      <c r="AN125" s="30">
        <v>21</v>
      </c>
      <c r="AO125" s="30">
        <f>G125*0.472928745</f>
        <v>0</v>
      </c>
      <c r="AP125" s="30">
        <f>G125*(1-0.472928745)</f>
        <v>0</v>
      </c>
      <c r="AQ125" s="31" t="s">
        <v>85</v>
      </c>
      <c r="AV125" s="30">
        <f>ROUND(AW125+AX125,2)</f>
        <v>0</v>
      </c>
      <c r="AW125" s="30">
        <f>ROUND(F125*AO125,2)</f>
        <v>0</v>
      </c>
      <c r="AX125" s="30">
        <f>ROUND(F125*AP125,2)</f>
        <v>0</v>
      </c>
      <c r="AY125" s="32" t="s">
        <v>317</v>
      </c>
      <c r="AZ125" s="32" t="s">
        <v>318</v>
      </c>
      <c r="BA125" s="11" t="s">
        <v>60</v>
      </c>
      <c r="BC125" s="30">
        <f>AW125+AX125</f>
        <v>0</v>
      </c>
      <c r="BD125" s="30">
        <f>G125/(100-BE125)*100</f>
        <v>0</v>
      </c>
      <c r="BE125" s="30">
        <v>0</v>
      </c>
      <c r="BF125" s="30">
        <f>125</f>
        <v>125</v>
      </c>
      <c r="BH125" s="28">
        <f>F125*AO125</f>
        <v>0</v>
      </c>
      <c r="BI125" s="28">
        <f>F125*AP125</f>
        <v>0</v>
      </c>
      <c r="BJ125" s="28">
        <f>F125*G125</f>
        <v>0</v>
      </c>
      <c r="BK125" s="28"/>
      <c r="BL125" s="30">
        <v>711</v>
      </c>
      <c r="BW125" s="30">
        <v>21</v>
      </c>
      <c r="BX125" s="27" t="s">
        <v>328</v>
      </c>
    </row>
    <row r="126" spans="1:76" ht="13.5" customHeight="1" x14ac:dyDescent="0.25">
      <c r="A126" s="33"/>
      <c r="B126" s="34"/>
      <c r="C126" s="78" t="s">
        <v>550</v>
      </c>
      <c r="D126" s="79"/>
      <c r="E126" s="79"/>
      <c r="F126" s="79"/>
      <c r="G126" s="79"/>
      <c r="H126" s="79"/>
      <c r="I126" s="79"/>
      <c r="J126" s="79"/>
      <c r="K126" s="80"/>
    </row>
    <row r="127" spans="1:76" x14ac:dyDescent="0.25">
      <c r="A127" s="25" t="s">
        <v>329</v>
      </c>
      <c r="B127" s="26" t="s">
        <v>330</v>
      </c>
      <c r="C127" s="83" t="s">
        <v>331</v>
      </c>
      <c r="D127" s="84"/>
      <c r="E127" s="26" t="s">
        <v>291</v>
      </c>
      <c r="F127" s="28">
        <v>0.26289000000000001</v>
      </c>
      <c r="G127" s="28">
        <v>0</v>
      </c>
      <c r="H127" s="28">
        <f>ROUND(F127*AO127,2)</f>
        <v>0</v>
      </c>
      <c r="I127" s="28">
        <f>ROUND(F127*AP127,2)</f>
        <v>0</v>
      </c>
      <c r="J127" s="28">
        <f>ROUND(F127*G127,2)</f>
        <v>0</v>
      </c>
      <c r="K127" s="29" t="s">
        <v>57</v>
      </c>
      <c r="Z127" s="30">
        <f>ROUND(IF(AQ127="5",BJ127,0),2)</f>
        <v>0</v>
      </c>
      <c r="AB127" s="30">
        <f>ROUND(IF(AQ127="1",BH127,0),2)</f>
        <v>0</v>
      </c>
      <c r="AC127" s="30">
        <f>ROUND(IF(AQ127="1",BI127,0),2)</f>
        <v>0</v>
      </c>
      <c r="AD127" s="30">
        <f>ROUND(IF(AQ127="7",BH127,0),2)</f>
        <v>0</v>
      </c>
      <c r="AE127" s="30">
        <f>ROUND(IF(AQ127="7",BI127,0),2)</f>
        <v>0</v>
      </c>
      <c r="AF127" s="30">
        <f>ROUND(IF(AQ127="2",BH127,0),2)</f>
        <v>0</v>
      </c>
      <c r="AG127" s="30">
        <f>ROUND(IF(AQ127="2",BI127,0),2)</f>
        <v>0</v>
      </c>
      <c r="AH127" s="30">
        <f>ROUND(IF(AQ127="0",BJ127,0),2)</f>
        <v>0</v>
      </c>
      <c r="AI127" s="11" t="s">
        <v>50</v>
      </c>
      <c r="AJ127" s="28">
        <f>IF(AN127=0,J127,0)</f>
        <v>0</v>
      </c>
      <c r="AK127" s="28">
        <f>IF(AN127=12,J127,0)</f>
        <v>0</v>
      </c>
      <c r="AL127" s="28">
        <f>IF(AN127=21,J127,0)</f>
        <v>0</v>
      </c>
      <c r="AN127" s="30">
        <v>21</v>
      </c>
      <c r="AO127" s="30">
        <f>G127*0</f>
        <v>0</v>
      </c>
      <c r="AP127" s="30">
        <f>G127*(1-0)</f>
        <v>0</v>
      </c>
      <c r="AQ127" s="31" t="s">
        <v>79</v>
      </c>
      <c r="AV127" s="30">
        <f>ROUND(AW127+AX127,2)</f>
        <v>0</v>
      </c>
      <c r="AW127" s="30">
        <f>ROUND(F127*AO127,2)</f>
        <v>0</v>
      </c>
      <c r="AX127" s="30">
        <f>ROUND(F127*AP127,2)</f>
        <v>0</v>
      </c>
      <c r="AY127" s="32" t="s">
        <v>317</v>
      </c>
      <c r="AZ127" s="32" t="s">
        <v>318</v>
      </c>
      <c r="BA127" s="11" t="s">
        <v>60</v>
      </c>
      <c r="BC127" s="30">
        <f>AW127+AX127</f>
        <v>0</v>
      </c>
      <c r="BD127" s="30">
        <f>G127/(100-BE127)*100</f>
        <v>0</v>
      </c>
      <c r="BE127" s="30">
        <v>0</v>
      </c>
      <c r="BF127" s="30">
        <f>127</f>
        <v>127</v>
      </c>
      <c r="BH127" s="28">
        <f>F127*AO127</f>
        <v>0</v>
      </c>
      <c r="BI127" s="28">
        <f>F127*AP127</f>
        <v>0</v>
      </c>
      <c r="BJ127" s="28">
        <f>F127*G127</f>
        <v>0</v>
      </c>
      <c r="BK127" s="28"/>
      <c r="BL127" s="30">
        <v>711</v>
      </c>
      <c r="BW127" s="30">
        <v>21</v>
      </c>
      <c r="BX127" s="27" t="s">
        <v>331</v>
      </c>
    </row>
    <row r="128" spans="1:76" x14ac:dyDescent="0.25">
      <c r="A128" s="36" t="s">
        <v>50</v>
      </c>
      <c r="B128" s="37" t="s">
        <v>332</v>
      </c>
      <c r="C128" s="81" t="s">
        <v>333</v>
      </c>
      <c r="D128" s="82"/>
      <c r="E128" s="38" t="s">
        <v>4</v>
      </c>
      <c r="F128" s="38" t="s">
        <v>4</v>
      </c>
      <c r="G128" s="38" t="s">
        <v>4</v>
      </c>
      <c r="H128" s="1">
        <f>SUM(H129:H139)</f>
        <v>0</v>
      </c>
      <c r="I128" s="1">
        <f>SUM(I129:I139)</f>
        <v>0</v>
      </c>
      <c r="J128" s="1">
        <f>SUM(J129:J139)</f>
        <v>0</v>
      </c>
      <c r="K128" s="39" t="s">
        <v>50</v>
      </c>
      <c r="AI128" s="11" t="s">
        <v>50</v>
      </c>
      <c r="AS128" s="1">
        <f>SUM(AJ129:AJ139)</f>
        <v>0</v>
      </c>
      <c r="AT128" s="1">
        <f>SUM(AK129:AK139)</f>
        <v>0</v>
      </c>
      <c r="AU128" s="1">
        <f>SUM(AL129:AL139)</f>
        <v>0</v>
      </c>
    </row>
    <row r="129" spans="1:76" ht="25.5" x14ac:dyDescent="0.25">
      <c r="A129" s="25" t="s">
        <v>334</v>
      </c>
      <c r="B129" s="26" t="s">
        <v>335</v>
      </c>
      <c r="C129" s="83" t="s">
        <v>336</v>
      </c>
      <c r="D129" s="84"/>
      <c r="E129" s="26" t="s">
        <v>112</v>
      </c>
      <c r="F129" s="28">
        <v>76.28</v>
      </c>
      <c r="G129" s="28">
        <v>0</v>
      </c>
      <c r="H129" s="28">
        <f>ROUND(F129*AO129,2)</f>
        <v>0</v>
      </c>
      <c r="I129" s="28">
        <f>ROUND(F129*AP129,2)</f>
        <v>0</v>
      </c>
      <c r="J129" s="28">
        <f>ROUND(F129*G129,2)</f>
        <v>0</v>
      </c>
      <c r="K129" s="29" t="s">
        <v>57</v>
      </c>
      <c r="Z129" s="30">
        <f>ROUND(IF(AQ129="5",BJ129,0),2)</f>
        <v>0</v>
      </c>
      <c r="AB129" s="30">
        <f>ROUND(IF(AQ129="1",BH129,0),2)</f>
        <v>0</v>
      </c>
      <c r="AC129" s="30">
        <f>ROUND(IF(AQ129="1",BI129,0),2)</f>
        <v>0</v>
      </c>
      <c r="AD129" s="30">
        <f>ROUND(IF(AQ129="7",BH129,0),2)</f>
        <v>0</v>
      </c>
      <c r="AE129" s="30">
        <f>ROUND(IF(AQ129="7",BI129,0),2)</f>
        <v>0</v>
      </c>
      <c r="AF129" s="30">
        <f>ROUND(IF(AQ129="2",BH129,0),2)</f>
        <v>0</v>
      </c>
      <c r="AG129" s="30">
        <f>ROUND(IF(AQ129="2",BI129,0),2)</f>
        <v>0</v>
      </c>
      <c r="AH129" s="30">
        <f>ROUND(IF(AQ129="0",BJ129,0),2)</f>
        <v>0</v>
      </c>
      <c r="AI129" s="11" t="s">
        <v>50</v>
      </c>
      <c r="AJ129" s="28">
        <f>IF(AN129=0,J129,0)</f>
        <v>0</v>
      </c>
      <c r="AK129" s="28">
        <f>IF(AN129=12,J129,0)</f>
        <v>0</v>
      </c>
      <c r="AL129" s="28">
        <f>IF(AN129=21,J129,0)</f>
        <v>0</v>
      </c>
      <c r="AN129" s="30">
        <v>21</v>
      </c>
      <c r="AO129" s="30">
        <f>G129*0.127412208</f>
        <v>0</v>
      </c>
      <c r="AP129" s="30">
        <f>G129*(1-0.127412208)</f>
        <v>0</v>
      </c>
      <c r="AQ129" s="31" t="s">
        <v>85</v>
      </c>
      <c r="AV129" s="30">
        <f>ROUND(AW129+AX129,2)</f>
        <v>0</v>
      </c>
      <c r="AW129" s="30">
        <f>ROUND(F129*AO129,2)</f>
        <v>0</v>
      </c>
      <c r="AX129" s="30">
        <f>ROUND(F129*AP129,2)</f>
        <v>0</v>
      </c>
      <c r="AY129" s="32" t="s">
        <v>337</v>
      </c>
      <c r="AZ129" s="32" t="s">
        <v>318</v>
      </c>
      <c r="BA129" s="11" t="s">
        <v>60</v>
      </c>
      <c r="BC129" s="30">
        <f>AW129+AX129</f>
        <v>0</v>
      </c>
      <c r="BD129" s="30">
        <f>G129/(100-BE129)*100</f>
        <v>0</v>
      </c>
      <c r="BE129" s="30">
        <v>0</v>
      </c>
      <c r="BF129" s="30">
        <f>129</f>
        <v>129</v>
      </c>
      <c r="BH129" s="28">
        <f>F129*AO129</f>
        <v>0</v>
      </c>
      <c r="BI129" s="28">
        <f>F129*AP129</f>
        <v>0</v>
      </c>
      <c r="BJ129" s="28">
        <f>F129*G129</f>
        <v>0</v>
      </c>
      <c r="BK129" s="28"/>
      <c r="BL129" s="30">
        <v>712</v>
      </c>
      <c r="BW129" s="30">
        <v>21</v>
      </c>
      <c r="BX129" s="27" t="s">
        <v>336</v>
      </c>
    </row>
    <row r="130" spans="1:76" ht="13.5" customHeight="1" x14ac:dyDescent="0.25">
      <c r="A130" s="33"/>
      <c r="B130" s="34"/>
      <c r="C130" s="78" t="s">
        <v>338</v>
      </c>
      <c r="D130" s="79"/>
      <c r="E130" s="79"/>
      <c r="F130" s="79"/>
      <c r="G130" s="79"/>
      <c r="H130" s="79"/>
      <c r="I130" s="79"/>
      <c r="J130" s="79"/>
      <c r="K130" s="80"/>
    </row>
    <row r="131" spans="1:76" x14ac:dyDescent="0.25">
      <c r="A131" s="2" t="s">
        <v>339</v>
      </c>
      <c r="B131" s="3" t="s">
        <v>340</v>
      </c>
      <c r="C131" s="76" t="s">
        <v>341</v>
      </c>
      <c r="D131" s="77"/>
      <c r="E131" s="3" t="s">
        <v>112</v>
      </c>
      <c r="F131" s="30">
        <v>82.382400000000004</v>
      </c>
      <c r="G131" s="30">
        <v>0</v>
      </c>
      <c r="H131" s="30">
        <f>ROUND(F131*AO131,2)</f>
        <v>0</v>
      </c>
      <c r="I131" s="30">
        <f>ROUND(F131*AP131,2)</f>
        <v>0</v>
      </c>
      <c r="J131" s="30">
        <f>ROUND(F131*G131,2)</f>
        <v>0</v>
      </c>
      <c r="K131" s="42" t="s">
        <v>57</v>
      </c>
      <c r="Z131" s="30">
        <f>ROUND(IF(AQ131="5",BJ131,0),2)</f>
        <v>0</v>
      </c>
      <c r="AB131" s="30">
        <f>ROUND(IF(AQ131="1",BH131,0),2)</f>
        <v>0</v>
      </c>
      <c r="AC131" s="30">
        <f>ROUND(IF(AQ131="1",BI131,0),2)</f>
        <v>0</v>
      </c>
      <c r="AD131" s="30">
        <f>ROUND(IF(AQ131="7",BH131,0),2)</f>
        <v>0</v>
      </c>
      <c r="AE131" s="30">
        <f>ROUND(IF(AQ131="7",BI131,0),2)</f>
        <v>0</v>
      </c>
      <c r="AF131" s="30">
        <f>ROUND(IF(AQ131="2",BH131,0),2)</f>
        <v>0</v>
      </c>
      <c r="AG131" s="30">
        <f>ROUND(IF(AQ131="2",BI131,0),2)</f>
        <v>0</v>
      </c>
      <c r="AH131" s="30">
        <f>ROUND(IF(AQ131="0",BJ131,0),2)</f>
        <v>0</v>
      </c>
      <c r="AI131" s="11" t="s">
        <v>50</v>
      </c>
      <c r="AJ131" s="30">
        <f>IF(AN131=0,J131,0)</f>
        <v>0</v>
      </c>
      <c r="AK131" s="30">
        <f>IF(AN131=12,J131,0)</f>
        <v>0</v>
      </c>
      <c r="AL131" s="30">
        <f>IF(AN131=21,J131,0)</f>
        <v>0</v>
      </c>
      <c r="AN131" s="30">
        <v>21</v>
      </c>
      <c r="AO131" s="30">
        <f>G131*1</f>
        <v>0</v>
      </c>
      <c r="AP131" s="30">
        <f>G131*(1-1)</f>
        <v>0</v>
      </c>
      <c r="AQ131" s="32" t="s">
        <v>85</v>
      </c>
      <c r="AV131" s="30">
        <f>ROUND(AW131+AX131,2)</f>
        <v>0</v>
      </c>
      <c r="AW131" s="30">
        <f>ROUND(F131*AO131,2)</f>
        <v>0</v>
      </c>
      <c r="AX131" s="30">
        <f>ROUND(F131*AP131,2)</f>
        <v>0</v>
      </c>
      <c r="AY131" s="32" t="s">
        <v>337</v>
      </c>
      <c r="AZ131" s="32" t="s">
        <v>318</v>
      </c>
      <c r="BA131" s="11" t="s">
        <v>60</v>
      </c>
      <c r="BC131" s="30">
        <f>AW131+AX131</f>
        <v>0</v>
      </c>
      <c r="BD131" s="30">
        <f>G131/(100-BE131)*100</f>
        <v>0</v>
      </c>
      <c r="BE131" s="30">
        <v>0</v>
      </c>
      <c r="BF131" s="30">
        <f>131</f>
        <v>131</v>
      </c>
      <c r="BH131" s="30">
        <f>F131*AO131</f>
        <v>0</v>
      </c>
      <c r="BI131" s="30">
        <f>F131*AP131</f>
        <v>0</v>
      </c>
      <c r="BJ131" s="30">
        <f>F131*G131</f>
        <v>0</v>
      </c>
      <c r="BK131" s="30"/>
      <c r="BL131" s="30">
        <v>712</v>
      </c>
      <c r="BW131" s="30">
        <v>21</v>
      </c>
      <c r="BX131" s="5" t="s">
        <v>341</v>
      </c>
    </row>
    <row r="132" spans="1:76" x14ac:dyDescent="0.25">
      <c r="A132" s="33"/>
      <c r="C132" s="35" t="s">
        <v>342</v>
      </c>
      <c r="D132" s="35" t="s">
        <v>50</v>
      </c>
      <c r="F132" s="40">
        <v>76.28</v>
      </c>
      <c r="K132" s="41"/>
    </row>
    <row r="133" spans="1:76" x14ac:dyDescent="0.25">
      <c r="A133" s="33"/>
      <c r="C133" s="35" t="s">
        <v>343</v>
      </c>
      <c r="D133" s="35" t="s">
        <v>50</v>
      </c>
      <c r="F133" s="40">
        <v>6.1024000000000003</v>
      </c>
      <c r="K133" s="41"/>
    </row>
    <row r="134" spans="1:76" ht="25.5" x14ac:dyDescent="0.25">
      <c r="A134" s="25" t="s">
        <v>344</v>
      </c>
      <c r="B134" s="26" t="s">
        <v>345</v>
      </c>
      <c r="C134" s="83" t="s">
        <v>346</v>
      </c>
      <c r="D134" s="84"/>
      <c r="E134" s="26" t="s">
        <v>112</v>
      </c>
      <c r="F134" s="28">
        <v>638.33000000000004</v>
      </c>
      <c r="G134" s="28">
        <v>0</v>
      </c>
      <c r="H134" s="28">
        <f>ROUND(F134*AO134,2)</f>
        <v>0</v>
      </c>
      <c r="I134" s="28">
        <f>ROUND(F134*AP134,2)</f>
        <v>0</v>
      </c>
      <c r="J134" s="28">
        <f>ROUND(F134*G134,2)</f>
        <v>0</v>
      </c>
      <c r="K134" s="29" t="s">
        <v>57</v>
      </c>
      <c r="Z134" s="30">
        <f>ROUND(IF(AQ134="5",BJ134,0),2)</f>
        <v>0</v>
      </c>
      <c r="AB134" s="30">
        <f>ROUND(IF(AQ134="1",BH134,0),2)</f>
        <v>0</v>
      </c>
      <c r="AC134" s="30">
        <f>ROUND(IF(AQ134="1",BI134,0),2)</f>
        <v>0</v>
      </c>
      <c r="AD134" s="30">
        <f>ROUND(IF(AQ134="7",BH134,0),2)</f>
        <v>0</v>
      </c>
      <c r="AE134" s="30">
        <f>ROUND(IF(AQ134="7",BI134,0),2)</f>
        <v>0</v>
      </c>
      <c r="AF134" s="30">
        <f>ROUND(IF(AQ134="2",BH134,0),2)</f>
        <v>0</v>
      </c>
      <c r="AG134" s="30">
        <f>ROUND(IF(AQ134="2",BI134,0),2)</f>
        <v>0</v>
      </c>
      <c r="AH134" s="30">
        <f>ROUND(IF(AQ134="0",BJ134,0),2)</f>
        <v>0</v>
      </c>
      <c r="AI134" s="11" t="s">
        <v>50</v>
      </c>
      <c r="AJ134" s="28">
        <f>IF(AN134=0,J134,0)</f>
        <v>0</v>
      </c>
      <c r="AK134" s="28">
        <f>IF(AN134=12,J134,0)</f>
        <v>0</v>
      </c>
      <c r="AL134" s="28">
        <f>IF(AN134=21,J134,0)</f>
        <v>0</v>
      </c>
      <c r="AN134" s="30">
        <v>21</v>
      </c>
      <c r="AO134" s="30">
        <f>G134*0.09527716</f>
        <v>0</v>
      </c>
      <c r="AP134" s="30">
        <f>G134*(1-0.09527716)</f>
        <v>0</v>
      </c>
      <c r="AQ134" s="31" t="s">
        <v>85</v>
      </c>
      <c r="AV134" s="30">
        <f>ROUND(AW134+AX134,2)</f>
        <v>0</v>
      </c>
      <c r="AW134" s="30">
        <f>ROUND(F134*AO134,2)</f>
        <v>0</v>
      </c>
      <c r="AX134" s="30">
        <f>ROUND(F134*AP134,2)</f>
        <v>0</v>
      </c>
      <c r="AY134" s="32" t="s">
        <v>337</v>
      </c>
      <c r="AZ134" s="32" t="s">
        <v>318</v>
      </c>
      <c r="BA134" s="11" t="s">
        <v>60</v>
      </c>
      <c r="BC134" s="30">
        <f>AW134+AX134</f>
        <v>0</v>
      </c>
      <c r="BD134" s="30">
        <f>G134/(100-BE134)*100</f>
        <v>0</v>
      </c>
      <c r="BE134" s="30">
        <v>0</v>
      </c>
      <c r="BF134" s="30">
        <f>134</f>
        <v>134</v>
      </c>
      <c r="BH134" s="28">
        <f>F134*AO134</f>
        <v>0</v>
      </c>
      <c r="BI134" s="28">
        <f>F134*AP134</f>
        <v>0</v>
      </c>
      <c r="BJ134" s="28">
        <f>F134*G134</f>
        <v>0</v>
      </c>
      <c r="BK134" s="28"/>
      <c r="BL134" s="30">
        <v>712</v>
      </c>
      <c r="BW134" s="30">
        <v>21</v>
      </c>
      <c r="BX134" s="27" t="s">
        <v>346</v>
      </c>
    </row>
    <row r="135" spans="1:76" ht="13.5" customHeight="1" x14ac:dyDescent="0.25">
      <c r="A135" s="33"/>
      <c r="B135" s="34"/>
      <c r="C135" s="78" t="s">
        <v>338</v>
      </c>
      <c r="D135" s="79"/>
      <c r="E135" s="79"/>
      <c r="F135" s="79"/>
      <c r="G135" s="79"/>
      <c r="H135" s="79"/>
      <c r="I135" s="79"/>
      <c r="J135" s="79"/>
      <c r="K135" s="80"/>
    </row>
    <row r="136" spans="1:76" x14ac:dyDescent="0.25">
      <c r="A136" s="2" t="s">
        <v>347</v>
      </c>
      <c r="B136" s="3" t="s">
        <v>340</v>
      </c>
      <c r="C136" s="76" t="s">
        <v>348</v>
      </c>
      <c r="D136" s="77"/>
      <c r="E136" s="3" t="s">
        <v>112</v>
      </c>
      <c r="F136" s="30">
        <v>689.39639999999997</v>
      </c>
      <c r="G136" s="30">
        <v>0</v>
      </c>
      <c r="H136" s="30">
        <f>ROUND(F136*AO136,2)</f>
        <v>0</v>
      </c>
      <c r="I136" s="30">
        <f>ROUND(F136*AP136,2)</f>
        <v>0</v>
      </c>
      <c r="J136" s="30">
        <f>ROUND(F136*G136,2)</f>
        <v>0</v>
      </c>
      <c r="K136" s="42" t="s">
        <v>57</v>
      </c>
      <c r="Z136" s="30">
        <f>ROUND(IF(AQ136="5",BJ136,0),2)</f>
        <v>0</v>
      </c>
      <c r="AB136" s="30">
        <f>ROUND(IF(AQ136="1",BH136,0),2)</f>
        <v>0</v>
      </c>
      <c r="AC136" s="30">
        <f>ROUND(IF(AQ136="1",BI136,0),2)</f>
        <v>0</v>
      </c>
      <c r="AD136" s="30">
        <f>ROUND(IF(AQ136="7",BH136,0),2)</f>
        <v>0</v>
      </c>
      <c r="AE136" s="30">
        <f>ROUND(IF(AQ136="7",BI136,0),2)</f>
        <v>0</v>
      </c>
      <c r="AF136" s="30">
        <f>ROUND(IF(AQ136="2",BH136,0),2)</f>
        <v>0</v>
      </c>
      <c r="AG136" s="30">
        <f>ROUND(IF(AQ136="2",BI136,0),2)</f>
        <v>0</v>
      </c>
      <c r="AH136" s="30">
        <f>ROUND(IF(AQ136="0",BJ136,0),2)</f>
        <v>0</v>
      </c>
      <c r="AI136" s="11" t="s">
        <v>50</v>
      </c>
      <c r="AJ136" s="30">
        <f>IF(AN136=0,J136,0)</f>
        <v>0</v>
      </c>
      <c r="AK136" s="30">
        <f>IF(AN136=12,J136,0)</f>
        <v>0</v>
      </c>
      <c r="AL136" s="30">
        <f>IF(AN136=21,J136,0)</f>
        <v>0</v>
      </c>
      <c r="AN136" s="30">
        <v>21</v>
      </c>
      <c r="AO136" s="30">
        <f>G136*1</f>
        <v>0</v>
      </c>
      <c r="AP136" s="30">
        <f>G136*(1-1)</f>
        <v>0</v>
      </c>
      <c r="AQ136" s="32" t="s">
        <v>85</v>
      </c>
      <c r="AV136" s="30">
        <f>ROUND(AW136+AX136,2)</f>
        <v>0</v>
      </c>
      <c r="AW136" s="30">
        <f>ROUND(F136*AO136,2)</f>
        <v>0</v>
      </c>
      <c r="AX136" s="30">
        <f>ROUND(F136*AP136,2)</f>
        <v>0</v>
      </c>
      <c r="AY136" s="32" t="s">
        <v>337</v>
      </c>
      <c r="AZ136" s="32" t="s">
        <v>318</v>
      </c>
      <c r="BA136" s="11" t="s">
        <v>60</v>
      </c>
      <c r="BC136" s="30">
        <f>AW136+AX136</f>
        <v>0</v>
      </c>
      <c r="BD136" s="30">
        <f>G136/(100-BE136)*100</f>
        <v>0</v>
      </c>
      <c r="BE136" s="30">
        <v>0</v>
      </c>
      <c r="BF136" s="30">
        <f>136</f>
        <v>136</v>
      </c>
      <c r="BH136" s="30">
        <f>F136*AO136</f>
        <v>0</v>
      </c>
      <c r="BI136" s="30">
        <f>F136*AP136</f>
        <v>0</v>
      </c>
      <c r="BJ136" s="30">
        <f>F136*G136</f>
        <v>0</v>
      </c>
      <c r="BK136" s="30"/>
      <c r="BL136" s="30">
        <v>712</v>
      </c>
      <c r="BW136" s="30">
        <v>21</v>
      </c>
      <c r="BX136" s="5" t="s">
        <v>348</v>
      </c>
    </row>
    <row r="137" spans="1:76" x14ac:dyDescent="0.25">
      <c r="A137" s="33"/>
      <c r="C137" s="35" t="s">
        <v>349</v>
      </c>
      <c r="D137" s="35" t="s">
        <v>50</v>
      </c>
      <c r="F137" s="40">
        <v>638.33000000000004</v>
      </c>
      <c r="K137" s="41"/>
    </row>
    <row r="138" spans="1:76" x14ac:dyDescent="0.25">
      <c r="A138" s="33"/>
      <c r="C138" s="35" t="s">
        <v>350</v>
      </c>
      <c r="D138" s="35" t="s">
        <v>50</v>
      </c>
      <c r="F138" s="40">
        <v>51.066400000000002</v>
      </c>
      <c r="K138" s="41"/>
    </row>
    <row r="139" spans="1:76" x14ac:dyDescent="0.25">
      <c r="A139" s="25" t="s">
        <v>351</v>
      </c>
      <c r="B139" s="26" t="s">
        <v>352</v>
      </c>
      <c r="C139" s="83" t="s">
        <v>353</v>
      </c>
      <c r="D139" s="84"/>
      <c r="E139" s="26" t="s">
        <v>291</v>
      </c>
      <c r="F139" s="28">
        <v>2.1553499999999999</v>
      </c>
      <c r="G139" s="28">
        <v>0</v>
      </c>
      <c r="H139" s="28">
        <f>ROUND(F139*AO139,2)</f>
        <v>0</v>
      </c>
      <c r="I139" s="28">
        <f>ROUND(F139*AP139,2)</f>
        <v>0</v>
      </c>
      <c r="J139" s="28">
        <f>ROUND(F139*G139,2)</f>
        <v>0</v>
      </c>
      <c r="K139" s="29" t="s">
        <v>57</v>
      </c>
      <c r="Z139" s="30">
        <f>ROUND(IF(AQ139="5",BJ139,0),2)</f>
        <v>0</v>
      </c>
      <c r="AB139" s="30">
        <f>ROUND(IF(AQ139="1",BH139,0),2)</f>
        <v>0</v>
      </c>
      <c r="AC139" s="30">
        <f>ROUND(IF(AQ139="1",BI139,0),2)</f>
        <v>0</v>
      </c>
      <c r="AD139" s="30">
        <f>ROUND(IF(AQ139="7",BH139,0),2)</f>
        <v>0</v>
      </c>
      <c r="AE139" s="30">
        <f>ROUND(IF(AQ139="7",BI139,0),2)</f>
        <v>0</v>
      </c>
      <c r="AF139" s="30">
        <f>ROUND(IF(AQ139="2",BH139,0),2)</f>
        <v>0</v>
      </c>
      <c r="AG139" s="30">
        <f>ROUND(IF(AQ139="2",BI139,0),2)</f>
        <v>0</v>
      </c>
      <c r="AH139" s="30">
        <f>ROUND(IF(AQ139="0",BJ139,0),2)</f>
        <v>0</v>
      </c>
      <c r="AI139" s="11" t="s">
        <v>50</v>
      </c>
      <c r="AJ139" s="28">
        <f>IF(AN139=0,J139,0)</f>
        <v>0</v>
      </c>
      <c r="AK139" s="28">
        <f>IF(AN139=12,J139,0)</f>
        <v>0</v>
      </c>
      <c r="AL139" s="28">
        <f>IF(AN139=21,J139,0)</f>
        <v>0</v>
      </c>
      <c r="AN139" s="30">
        <v>21</v>
      </c>
      <c r="AO139" s="30">
        <f>G139*0</f>
        <v>0</v>
      </c>
      <c r="AP139" s="30">
        <f>G139*(1-0)</f>
        <v>0</v>
      </c>
      <c r="AQ139" s="31" t="s">
        <v>79</v>
      </c>
      <c r="AV139" s="30">
        <f>ROUND(AW139+AX139,2)</f>
        <v>0</v>
      </c>
      <c r="AW139" s="30">
        <f>ROUND(F139*AO139,2)</f>
        <v>0</v>
      </c>
      <c r="AX139" s="30">
        <f>ROUND(F139*AP139,2)</f>
        <v>0</v>
      </c>
      <c r="AY139" s="32" t="s">
        <v>337</v>
      </c>
      <c r="AZ139" s="32" t="s">
        <v>318</v>
      </c>
      <c r="BA139" s="11" t="s">
        <v>60</v>
      </c>
      <c r="BC139" s="30">
        <f>AW139+AX139</f>
        <v>0</v>
      </c>
      <c r="BD139" s="30">
        <f>G139/(100-BE139)*100</f>
        <v>0</v>
      </c>
      <c r="BE139" s="30">
        <v>0</v>
      </c>
      <c r="BF139" s="30">
        <f>139</f>
        <v>139</v>
      </c>
      <c r="BH139" s="28">
        <f>F139*AO139</f>
        <v>0</v>
      </c>
      <c r="BI139" s="28">
        <f>F139*AP139</f>
        <v>0</v>
      </c>
      <c r="BJ139" s="28">
        <f>F139*G139</f>
        <v>0</v>
      </c>
      <c r="BK139" s="28"/>
      <c r="BL139" s="30">
        <v>712</v>
      </c>
      <c r="BW139" s="30">
        <v>21</v>
      </c>
      <c r="BX139" s="27" t="s">
        <v>353</v>
      </c>
    </row>
    <row r="140" spans="1:76" x14ac:dyDescent="0.25">
      <c r="A140" s="36" t="s">
        <v>50</v>
      </c>
      <c r="B140" s="37" t="s">
        <v>354</v>
      </c>
      <c r="C140" s="81" t="s">
        <v>355</v>
      </c>
      <c r="D140" s="82"/>
      <c r="E140" s="38" t="s">
        <v>4</v>
      </c>
      <c r="F140" s="38" t="s">
        <v>4</v>
      </c>
      <c r="G140" s="38" t="s">
        <v>4</v>
      </c>
      <c r="H140" s="1">
        <f>SUM(H141:H167)</f>
        <v>0</v>
      </c>
      <c r="I140" s="1">
        <f>SUM(I141:I167)</f>
        <v>0</v>
      </c>
      <c r="J140" s="1">
        <f>SUM(J141:J167)</f>
        <v>0</v>
      </c>
      <c r="K140" s="39" t="s">
        <v>50</v>
      </c>
      <c r="AI140" s="11" t="s">
        <v>50</v>
      </c>
      <c r="AS140" s="1">
        <f>SUM(AJ141:AJ167)</f>
        <v>0</v>
      </c>
      <c r="AT140" s="1">
        <f>SUM(AK141:AK167)</f>
        <v>0</v>
      </c>
      <c r="AU140" s="1">
        <f>SUM(AL141:AL167)</f>
        <v>0</v>
      </c>
    </row>
    <row r="141" spans="1:76" x14ac:dyDescent="0.25">
      <c r="A141" s="25" t="s">
        <v>356</v>
      </c>
      <c r="B141" s="26" t="s">
        <v>357</v>
      </c>
      <c r="C141" s="83" t="s">
        <v>358</v>
      </c>
      <c r="D141" s="84"/>
      <c r="E141" s="26" t="s">
        <v>112</v>
      </c>
      <c r="F141" s="28">
        <v>527.35199999999998</v>
      </c>
      <c r="G141" s="28">
        <v>0</v>
      </c>
      <c r="H141" s="28">
        <f>ROUND(F141*AO141,2)</f>
        <v>0</v>
      </c>
      <c r="I141" s="28">
        <f>ROUND(F141*AP141,2)</f>
        <v>0</v>
      </c>
      <c r="J141" s="28">
        <f>ROUND(F141*G141,2)</f>
        <v>0</v>
      </c>
      <c r="K141" s="29" t="s">
        <v>57</v>
      </c>
      <c r="Z141" s="30">
        <f>ROUND(IF(AQ141="5",BJ141,0),2)</f>
        <v>0</v>
      </c>
      <c r="AB141" s="30">
        <f>ROUND(IF(AQ141="1",BH141,0),2)</f>
        <v>0</v>
      </c>
      <c r="AC141" s="30">
        <f>ROUND(IF(AQ141="1",BI141,0),2)</f>
        <v>0</v>
      </c>
      <c r="AD141" s="30">
        <f>ROUND(IF(AQ141="7",BH141,0),2)</f>
        <v>0</v>
      </c>
      <c r="AE141" s="30">
        <f>ROUND(IF(AQ141="7",BI141,0),2)</f>
        <v>0</v>
      </c>
      <c r="AF141" s="30">
        <f>ROUND(IF(AQ141="2",BH141,0),2)</f>
        <v>0</v>
      </c>
      <c r="AG141" s="30">
        <f>ROUND(IF(AQ141="2",BI141,0),2)</f>
        <v>0</v>
      </c>
      <c r="AH141" s="30">
        <f>ROUND(IF(AQ141="0",BJ141,0),2)</f>
        <v>0</v>
      </c>
      <c r="AI141" s="11" t="s">
        <v>50</v>
      </c>
      <c r="AJ141" s="28">
        <f>IF(AN141=0,J141,0)</f>
        <v>0</v>
      </c>
      <c r="AK141" s="28">
        <f>IF(AN141=12,J141,0)</f>
        <v>0</v>
      </c>
      <c r="AL141" s="28">
        <f>IF(AN141=21,J141,0)</f>
        <v>0</v>
      </c>
      <c r="AN141" s="30">
        <v>21</v>
      </c>
      <c r="AO141" s="30">
        <f>G141*0.277735791</f>
        <v>0</v>
      </c>
      <c r="AP141" s="30">
        <f>G141*(1-0.277735791)</f>
        <v>0</v>
      </c>
      <c r="AQ141" s="31" t="s">
        <v>85</v>
      </c>
      <c r="AV141" s="30">
        <f>ROUND(AW141+AX141,2)</f>
        <v>0</v>
      </c>
      <c r="AW141" s="30">
        <f>ROUND(F141*AO141,2)</f>
        <v>0</v>
      </c>
      <c r="AX141" s="30">
        <f>ROUND(F141*AP141,2)</f>
        <v>0</v>
      </c>
      <c r="AY141" s="32" t="s">
        <v>359</v>
      </c>
      <c r="AZ141" s="32" t="s">
        <v>318</v>
      </c>
      <c r="BA141" s="11" t="s">
        <v>60</v>
      </c>
      <c r="BC141" s="30">
        <f>AW141+AX141</f>
        <v>0</v>
      </c>
      <c r="BD141" s="30">
        <f>G141/(100-BE141)*100</f>
        <v>0</v>
      </c>
      <c r="BE141" s="30">
        <v>0</v>
      </c>
      <c r="BF141" s="30">
        <f>141</f>
        <v>141</v>
      </c>
      <c r="BH141" s="28">
        <f>F141*AO141</f>
        <v>0</v>
      </c>
      <c r="BI141" s="28">
        <f>F141*AP141</f>
        <v>0</v>
      </c>
      <c r="BJ141" s="28">
        <f>F141*G141</f>
        <v>0</v>
      </c>
      <c r="BK141" s="28"/>
      <c r="BL141" s="30">
        <v>713</v>
      </c>
      <c r="BW141" s="30">
        <v>21</v>
      </c>
      <c r="BX141" s="27" t="s">
        <v>358</v>
      </c>
    </row>
    <row r="142" spans="1:76" ht="13.5" customHeight="1" x14ac:dyDescent="0.25">
      <c r="A142" s="33"/>
      <c r="B142" s="34"/>
      <c r="C142" s="78" t="s">
        <v>360</v>
      </c>
      <c r="D142" s="79"/>
      <c r="E142" s="79"/>
      <c r="F142" s="79"/>
      <c r="G142" s="79"/>
      <c r="H142" s="79"/>
      <c r="I142" s="79"/>
      <c r="J142" s="79"/>
      <c r="K142" s="80"/>
    </row>
    <row r="143" spans="1:76" x14ac:dyDescent="0.25">
      <c r="A143" s="33"/>
      <c r="C143" s="35" t="s">
        <v>361</v>
      </c>
      <c r="D143" s="35" t="s">
        <v>50</v>
      </c>
      <c r="F143" s="40">
        <v>527.35199999999998</v>
      </c>
      <c r="K143" s="41"/>
    </row>
    <row r="144" spans="1:76" x14ac:dyDescent="0.25">
      <c r="A144" s="25" t="s">
        <v>362</v>
      </c>
      <c r="B144" s="26" t="s">
        <v>363</v>
      </c>
      <c r="C144" s="83" t="s">
        <v>364</v>
      </c>
      <c r="D144" s="84"/>
      <c r="E144" s="26" t="s">
        <v>112</v>
      </c>
      <c r="F144" s="28">
        <v>502.24</v>
      </c>
      <c r="G144" s="28">
        <v>0</v>
      </c>
      <c r="H144" s="28">
        <f>ROUND(F144*AO144,2)</f>
        <v>0</v>
      </c>
      <c r="I144" s="28">
        <f>ROUND(F144*AP144,2)</f>
        <v>0</v>
      </c>
      <c r="J144" s="28">
        <f>ROUND(F144*G144,2)</f>
        <v>0</v>
      </c>
      <c r="K144" s="29" t="s">
        <v>57</v>
      </c>
      <c r="Z144" s="30">
        <f>ROUND(IF(AQ144="5",BJ144,0),2)</f>
        <v>0</v>
      </c>
      <c r="AB144" s="30">
        <f>ROUND(IF(AQ144="1",BH144,0),2)</f>
        <v>0</v>
      </c>
      <c r="AC144" s="30">
        <f>ROUND(IF(AQ144="1",BI144,0),2)</f>
        <v>0</v>
      </c>
      <c r="AD144" s="30">
        <f>ROUND(IF(AQ144="7",BH144,0),2)</f>
        <v>0</v>
      </c>
      <c r="AE144" s="30">
        <f>ROUND(IF(AQ144="7",BI144,0),2)</f>
        <v>0</v>
      </c>
      <c r="AF144" s="30">
        <f>ROUND(IF(AQ144="2",BH144,0),2)</f>
        <v>0</v>
      </c>
      <c r="AG144" s="30">
        <f>ROUND(IF(AQ144="2",BI144,0),2)</f>
        <v>0</v>
      </c>
      <c r="AH144" s="30">
        <f>ROUND(IF(AQ144="0",BJ144,0),2)</f>
        <v>0</v>
      </c>
      <c r="AI144" s="11" t="s">
        <v>50</v>
      </c>
      <c r="AJ144" s="28">
        <f>IF(AN144=0,J144,0)</f>
        <v>0</v>
      </c>
      <c r="AK144" s="28">
        <f>IF(AN144=12,J144,0)</f>
        <v>0</v>
      </c>
      <c r="AL144" s="28">
        <f>IF(AN144=21,J144,0)</f>
        <v>0</v>
      </c>
      <c r="AN144" s="30">
        <v>21</v>
      </c>
      <c r="AO144" s="30">
        <f>G144*0.133265838</f>
        <v>0</v>
      </c>
      <c r="AP144" s="30">
        <f>G144*(1-0.133265838)</f>
        <v>0</v>
      </c>
      <c r="AQ144" s="31" t="s">
        <v>85</v>
      </c>
      <c r="AV144" s="30">
        <f>ROUND(AW144+AX144,2)</f>
        <v>0</v>
      </c>
      <c r="AW144" s="30">
        <f>ROUND(F144*AO144,2)</f>
        <v>0</v>
      </c>
      <c r="AX144" s="30">
        <f>ROUND(F144*AP144,2)</f>
        <v>0</v>
      </c>
      <c r="AY144" s="32" t="s">
        <v>359</v>
      </c>
      <c r="AZ144" s="32" t="s">
        <v>318</v>
      </c>
      <c r="BA144" s="11" t="s">
        <v>60</v>
      </c>
      <c r="BC144" s="30">
        <f>AW144+AX144</f>
        <v>0</v>
      </c>
      <c r="BD144" s="30">
        <f>G144/(100-BE144)*100</f>
        <v>0</v>
      </c>
      <c r="BE144" s="30">
        <v>0</v>
      </c>
      <c r="BF144" s="30">
        <f>144</f>
        <v>144</v>
      </c>
      <c r="BH144" s="28">
        <f>F144*AO144</f>
        <v>0</v>
      </c>
      <c r="BI144" s="28">
        <f>F144*AP144</f>
        <v>0</v>
      </c>
      <c r="BJ144" s="28">
        <f>F144*G144</f>
        <v>0</v>
      </c>
      <c r="BK144" s="28"/>
      <c r="BL144" s="30">
        <v>713</v>
      </c>
      <c r="BW144" s="30">
        <v>21</v>
      </c>
      <c r="BX144" s="27" t="s">
        <v>364</v>
      </c>
    </row>
    <row r="145" spans="1:76" ht="13.5" customHeight="1" x14ac:dyDescent="0.25">
      <c r="A145" s="33"/>
      <c r="B145" s="34"/>
      <c r="C145" s="78" t="s">
        <v>365</v>
      </c>
      <c r="D145" s="79"/>
      <c r="E145" s="79"/>
      <c r="F145" s="79"/>
      <c r="G145" s="79"/>
      <c r="H145" s="79"/>
      <c r="I145" s="79"/>
      <c r="J145" s="79"/>
      <c r="K145" s="80"/>
    </row>
    <row r="146" spans="1:76" x14ac:dyDescent="0.25">
      <c r="A146" s="2" t="s">
        <v>366</v>
      </c>
      <c r="B146" s="3" t="s">
        <v>367</v>
      </c>
      <c r="C146" s="76" t="s">
        <v>368</v>
      </c>
      <c r="D146" s="77"/>
      <c r="E146" s="3" t="s">
        <v>112</v>
      </c>
      <c r="F146" s="30">
        <v>527.35199999999998</v>
      </c>
      <c r="G146" s="30">
        <v>0</v>
      </c>
      <c r="H146" s="30">
        <f>ROUND(F146*AO146,2)</f>
        <v>0</v>
      </c>
      <c r="I146" s="30">
        <f>ROUND(F146*AP146,2)</f>
        <v>0</v>
      </c>
      <c r="J146" s="30">
        <f>ROUND(F146*G146,2)</f>
        <v>0</v>
      </c>
      <c r="K146" s="42" t="s">
        <v>57</v>
      </c>
      <c r="Z146" s="30">
        <f>ROUND(IF(AQ146="5",BJ146,0),2)</f>
        <v>0</v>
      </c>
      <c r="AB146" s="30">
        <f>ROUND(IF(AQ146="1",BH146,0),2)</f>
        <v>0</v>
      </c>
      <c r="AC146" s="30">
        <f>ROUND(IF(AQ146="1",BI146,0),2)</f>
        <v>0</v>
      </c>
      <c r="AD146" s="30">
        <f>ROUND(IF(AQ146="7",BH146,0),2)</f>
        <v>0</v>
      </c>
      <c r="AE146" s="30">
        <f>ROUND(IF(AQ146="7",BI146,0),2)</f>
        <v>0</v>
      </c>
      <c r="AF146" s="30">
        <f>ROUND(IF(AQ146="2",BH146,0),2)</f>
        <v>0</v>
      </c>
      <c r="AG146" s="30">
        <f>ROUND(IF(AQ146="2",BI146,0),2)</f>
        <v>0</v>
      </c>
      <c r="AH146" s="30">
        <f>ROUND(IF(AQ146="0",BJ146,0),2)</f>
        <v>0</v>
      </c>
      <c r="AI146" s="11" t="s">
        <v>50</v>
      </c>
      <c r="AJ146" s="30">
        <f>IF(AN146=0,J146,0)</f>
        <v>0</v>
      </c>
      <c r="AK146" s="30">
        <f>IF(AN146=12,J146,0)</f>
        <v>0</v>
      </c>
      <c r="AL146" s="30">
        <f>IF(AN146=21,J146,0)</f>
        <v>0</v>
      </c>
      <c r="AN146" s="30">
        <v>21</v>
      </c>
      <c r="AO146" s="30">
        <f>G146*1</f>
        <v>0</v>
      </c>
      <c r="AP146" s="30">
        <f>G146*(1-1)</f>
        <v>0</v>
      </c>
      <c r="AQ146" s="32" t="s">
        <v>85</v>
      </c>
      <c r="AV146" s="30">
        <f>ROUND(AW146+AX146,2)</f>
        <v>0</v>
      </c>
      <c r="AW146" s="30">
        <f>ROUND(F146*AO146,2)</f>
        <v>0</v>
      </c>
      <c r="AX146" s="30">
        <f>ROUND(F146*AP146,2)</f>
        <v>0</v>
      </c>
      <c r="AY146" s="32" t="s">
        <v>359</v>
      </c>
      <c r="AZ146" s="32" t="s">
        <v>318</v>
      </c>
      <c r="BA146" s="11" t="s">
        <v>60</v>
      </c>
      <c r="BC146" s="30">
        <f>AW146+AX146</f>
        <v>0</v>
      </c>
      <c r="BD146" s="30">
        <f>G146/(100-BE146)*100</f>
        <v>0</v>
      </c>
      <c r="BE146" s="30">
        <v>0</v>
      </c>
      <c r="BF146" s="30">
        <f>146</f>
        <v>146</v>
      </c>
      <c r="BH146" s="30">
        <f>F146*AO146</f>
        <v>0</v>
      </c>
      <c r="BI146" s="30">
        <f>F146*AP146</f>
        <v>0</v>
      </c>
      <c r="BJ146" s="30">
        <f>F146*G146</f>
        <v>0</v>
      </c>
      <c r="BK146" s="30"/>
      <c r="BL146" s="30">
        <v>713</v>
      </c>
      <c r="BW146" s="30">
        <v>21</v>
      </c>
      <c r="BX146" s="5" t="s">
        <v>368</v>
      </c>
    </row>
    <row r="147" spans="1:76" x14ac:dyDescent="0.25">
      <c r="A147" s="33"/>
      <c r="C147" s="35" t="s">
        <v>369</v>
      </c>
      <c r="D147" s="35" t="s">
        <v>50</v>
      </c>
      <c r="F147" s="40">
        <v>502.24</v>
      </c>
      <c r="K147" s="41"/>
    </row>
    <row r="148" spans="1:76" x14ac:dyDescent="0.25">
      <c r="A148" s="33"/>
      <c r="C148" s="35" t="s">
        <v>370</v>
      </c>
      <c r="D148" s="35" t="s">
        <v>50</v>
      </c>
      <c r="F148" s="40">
        <v>25.111999999999998</v>
      </c>
      <c r="K148" s="41"/>
    </row>
    <row r="149" spans="1:76" x14ac:dyDescent="0.25">
      <c r="A149" s="25" t="s">
        <v>371</v>
      </c>
      <c r="B149" s="26" t="s">
        <v>372</v>
      </c>
      <c r="C149" s="83" t="s">
        <v>373</v>
      </c>
      <c r="D149" s="84"/>
      <c r="E149" s="26" t="s">
        <v>112</v>
      </c>
      <c r="F149" s="28">
        <v>689.39639999999997</v>
      </c>
      <c r="G149" s="28">
        <v>0</v>
      </c>
      <c r="H149" s="28">
        <f>ROUND(F149*AO149,2)</f>
        <v>0</v>
      </c>
      <c r="I149" s="28">
        <f>ROUND(F149*AP149,2)</f>
        <v>0</v>
      </c>
      <c r="J149" s="28">
        <f>ROUND(F149*G149,2)</f>
        <v>0</v>
      </c>
      <c r="K149" s="29" t="s">
        <v>57</v>
      </c>
      <c r="Z149" s="30">
        <f>ROUND(IF(AQ149="5",BJ149,0),2)</f>
        <v>0</v>
      </c>
      <c r="AB149" s="30">
        <f>ROUND(IF(AQ149="1",BH149,0),2)</f>
        <v>0</v>
      </c>
      <c r="AC149" s="30">
        <f>ROUND(IF(AQ149="1",BI149,0),2)</f>
        <v>0</v>
      </c>
      <c r="AD149" s="30">
        <f>ROUND(IF(AQ149="7",BH149,0),2)</f>
        <v>0</v>
      </c>
      <c r="AE149" s="30">
        <f>ROUND(IF(AQ149="7",BI149,0),2)</f>
        <v>0</v>
      </c>
      <c r="AF149" s="30">
        <f>ROUND(IF(AQ149="2",BH149,0),2)</f>
        <v>0</v>
      </c>
      <c r="AG149" s="30">
        <f>ROUND(IF(AQ149="2",BI149,0),2)</f>
        <v>0</v>
      </c>
      <c r="AH149" s="30">
        <f>ROUND(IF(AQ149="0",BJ149,0),2)</f>
        <v>0</v>
      </c>
      <c r="AI149" s="11" t="s">
        <v>50</v>
      </c>
      <c r="AJ149" s="28">
        <f>IF(AN149=0,J149,0)</f>
        <v>0</v>
      </c>
      <c r="AK149" s="28">
        <f>IF(AN149=12,J149,0)</f>
        <v>0</v>
      </c>
      <c r="AL149" s="28">
        <f>IF(AN149=21,J149,0)</f>
        <v>0</v>
      </c>
      <c r="AN149" s="30">
        <v>21</v>
      </c>
      <c r="AO149" s="30">
        <f>G149*0.406271936</f>
        <v>0</v>
      </c>
      <c r="AP149" s="30">
        <f>G149*(1-0.406271936)</f>
        <v>0</v>
      </c>
      <c r="AQ149" s="31" t="s">
        <v>85</v>
      </c>
      <c r="AV149" s="30">
        <f>ROUND(AW149+AX149,2)</f>
        <v>0</v>
      </c>
      <c r="AW149" s="30">
        <f>ROUND(F149*AO149,2)</f>
        <v>0</v>
      </c>
      <c r="AX149" s="30">
        <f>ROUND(F149*AP149,2)</f>
        <v>0</v>
      </c>
      <c r="AY149" s="32" t="s">
        <v>359</v>
      </c>
      <c r="AZ149" s="32" t="s">
        <v>318</v>
      </c>
      <c r="BA149" s="11" t="s">
        <v>60</v>
      </c>
      <c r="BC149" s="30">
        <f>AW149+AX149</f>
        <v>0</v>
      </c>
      <c r="BD149" s="30">
        <f>G149/(100-BE149)*100</f>
        <v>0</v>
      </c>
      <c r="BE149" s="30">
        <v>0</v>
      </c>
      <c r="BF149" s="30">
        <f>149</f>
        <v>149</v>
      </c>
      <c r="BH149" s="28">
        <f>F149*AO149</f>
        <v>0</v>
      </c>
      <c r="BI149" s="28">
        <f>F149*AP149</f>
        <v>0</v>
      </c>
      <c r="BJ149" s="28">
        <f>F149*G149</f>
        <v>0</v>
      </c>
      <c r="BK149" s="28"/>
      <c r="BL149" s="30">
        <v>713</v>
      </c>
      <c r="BW149" s="30">
        <v>21</v>
      </c>
      <c r="BX149" s="27" t="s">
        <v>373</v>
      </c>
    </row>
    <row r="150" spans="1:76" ht="13.5" customHeight="1" x14ac:dyDescent="0.25">
      <c r="A150" s="33"/>
      <c r="B150" s="34"/>
      <c r="C150" s="78" t="s">
        <v>360</v>
      </c>
      <c r="D150" s="79"/>
      <c r="E150" s="79"/>
      <c r="F150" s="79"/>
      <c r="G150" s="79"/>
      <c r="H150" s="79"/>
      <c r="I150" s="79"/>
      <c r="J150" s="79"/>
      <c r="K150" s="80"/>
    </row>
    <row r="151" spans="1:76" x14ac:dyDescent="0.25">
      <c r="A151" s="25" t="s">
        <v>374</v>
      </c>
      <c r="B151" s="26" t="s">
        <v>375</v>
      </c>
      <c r="C151" s="83" t="s">
        <v>376</v>
      </c>
      <c r="D151" s="84"/>
      <c r="E151" s="26" t="s">
        <v>112</v>
      </c>
      <c r="F151" s="28">
        <v>76.28</v>
      </c>
      <c r="G151" s="28">
        <v>0</v>
      </c>
      <c r="H151" s="28">
        <f>ROUND(F151*AO151,2)</f>
        <v>0</v>
      </c>
      <c r="I151" s="28">
        <f>ROUND(F151*AP151,2)</f>
        <v>0</v>
      </c>
      <c r="J151" s="28">
        <f>ROUND(F151*G151,2)</f>
        <v>0</v>
      </c>
      <c r="K151" s="29" t="s">
        <v>57</v>
      </c>
      <c r="Z151" s="30">
        <f>ROUND(IF(AQ151="5",BJ151,0),2)</f>
        <v>0</v>
      </c>
      <c r="AB151" s="30">
        <f>ROUND(IF(AQ151="1",BH151,0),2)</f>
        <v>0</v>
      </c>
      <c r="AC151" s="30">
        <f>ROUND(IF(AQ151="1",BI151,0),2)</f>
        <v>0</v>
      </c>
      <c r="AD151" s="30">
        <f>ROUND(IF(AQ151="7",BH151,0),2)</f>
        <v>0</v>
      </c>
      <c r="AE151" s="30">
        <f>ROUND(IF(AQ151="7",BI151,0),2)</f>
        <v>0</v>
      </c>
      <c r="AF151" s="30">
        <f>ROUND(IF(AQ151="2",BH151,0),2)</f>
        <v>0</v>
      </c>
      <c r="AG151" s="30">
        <f>ROUND(IF(AQ151="2",BI151,0),2)</f>
        <v>0</v>
      </c>
      <c r="AH151" s="30">
        <f>ROUND(IF(AQ151="0",BJ151,0),2)</f>
        <v>0</v>
      </c>
      <c r="AI151" s="11" t="s">
        <v>50</v>
      </c>
      <c r="AJ151" s="28">
        <f>IF(AN151=0,J151,0)</f>
        <v>0</v>
      </c>
      <c r="AK151" s="28">
        <f>IF(AN151=12,J151,0)</f>
        <v>0</v>
      </c>
      <c r="AL151" s="28">
        <f>IF(AN151=21,J151,0)</f>
        <v>0</v>
      </c>
      <c r="AN151" s="30">
        <v>21</v>
      </c>
      <c r="AO151" s="30">
        <f>G151*0.878422875</f>
        <v>0</v>
      </c>
      <c r="AP151" s="30">
        <f>G151*(1-0.878422875)</f>
        <v>0</v>
      </c>
      <c r="AQ151" s="31" t="s">
        <v>85</v>
      </c>
      <c r="AV151" s="30">
        <f>ROUND(AW151+AX151,2)</f>
        <v>0</v>
      </c>
      <c r="AW151" s="30">
        <f>ROUND(F151*AO151,2)</f>
        <v>0</v>
      </c>
      <c r="AX151" s="30">
        <f>ROUND(F151*AP151,2)</f>
        <v>0</v>
      </c>
      <c r="AY151" s="32" t="s">
        <v>359</v>
      </c>
      <c r="AZ151" s="32" t="s">
        <v>318</v>
      </c>
      <c r="BA151" s="11" t="s">
        <v>60</v>
      </c>
      <c r="BC151" s="30">
        <f>AW151+AX151</f>
        <v>0</v>
      </c>
      <c r="BD151" s="30">
        <f>G151/(100-BE151)*100</f>
        <v>0</v>
      </c>
      <c r="BE151" s="30">
        <v>0</v>
      </c>
      <c r="BF151" s="30">
        <f>151</f>
        <v>151</v>
      </c>
      <c r="BH151" s="28">
        <f>F151*AO151</f>
        <v>0</v>
      </c>
      <c r="BI151" s="28">
        <f>F151*AP151</f>
        <v>0</v>
      </c>
      <c r="BJ151" s="28">
        <f>F151*G151</f>
        <v>0</v>
      </c>
      <c r="BK151" s="28"/>
      <c r="BL151" s="30">
        <v>713</v>
      </c>
      <c r="BW151" s="30">
        <v>21</v>
      </c>
      <c r="BX151" s="27" t="s">
        <v>376</v>
      </c>
    </row>
    <row r="152" spans="1:76" x14ac:dyDescent="0.25">
      <c r="A152" s="2" t="s">
        <v>377</v>
      </c>
      <c r="B152" s="3" t="s">
        <v>378</v>
      </c>
      <c r="C152" s="76" t="s">
        <v>392</v>
      </c>
      <c r="D152" s="77"/>
      <c r="E152" s="3" t="s">
        <v>112</v>
      </c>
      <c r="F152" s="30">
        <v>80.093999999999994</v>
      </c>
      <c r="G152" s="30">
        <v>0</v>
      </c>
      <c r="H152" s="30">
        <f>ROUND(F152*AO152,2)</f>
        <v>0</v>
      </c>
      <c r="I152" s="30">
        <f>ROUND(F152*AP152,2)</f>
        <v>0</v>
      </c>
      <c r="J152" s="30">
        <f>ROUND(F152*G152,2)</f>
        <v>0</v>
      </c>
      <c r="K152" s="42" t="s">
        <v>57</v>
      </c>
      <c r="Z152" s="30">
        <f>ROUND(IF(AQ152="5",BJ152,0),2)</f>
        <v>0</v>
      </c>
      <c r="AB152" s="30">
        <f>ROUND(IF(AQ152="1",BH152,0),2)</f>
        <v>0</v>
      </c>
      <c r="AC152" s="30">
        <f>ROUND(IF(AQ152="1",BI152,0),2)</f>
        <v>0</v>
      </c>
      <c r="AD152" s="30">
        <f>ROUND(IF(AQ152="7",BH152,0),2)</f>
        <v>0</v>
      </c>
      <c r="AE152" s="30">
        <f>ROUND(IF(AQ152="7",BI152,0),2)</f>
        <v>0</v>
      </c>
      <c r="AF152" s="30">
        <f>ROUND(IF(AQ152="2",BH152,0),2)</f>
        <v>0</v>
      </c>
      <c r="AG152" s="30">
        <f>ROUND(IF(AQ152="2",BI152,0),2)</f>
        <v>0</v>
      </c>
      <c r="AH152" s="30">
        <f>ROUND(IF(AQ152="0",BJ152,0),2)</f>
        <v>0</v>
      </c>
      <c r="AI152" s="11" t="s">
        <v>50</v>
      </c>
      <c r="AJ152" s="30">
        <f>IF(AN152=0,J152,0)</f>
        <v>0</v>
      </c>
      <c r="AK152" s="30">
        <f>IF(AN152=12,J152,0)</f>
        <v>0</v>
      </c>
      <c r="AL152" s="30">
        <f>IF(AN152=21,J152,0)</f>
        <v>0</v>
      </c>
      <c r="AN152" s="30">
        <v>21</v>
      </c>
      <c r="AO152" s="30">
        <f>G152*1</f>
        <v>0</v>
      </c>
      <c r="AP152" s="30">
        <f>G152*(1-1)</f>
        <v>0</v>
      </c>
      <c r="AQ152" s="32" t="s">
        <v>85</v>
      </c>
      <c r="AV152" s="30">
        <f>ROUND(AW152+AX152,2)</f>
        <v>0</v>
      </c>
      <c r="AW152" s="30">
        <f>ROUND(F152*AO152,2)</f>
        <v>0</v>
      </c>
      <c r="AX152" s="30">
        <f>ROUND(F152*AP152,2)</f>
        <v>0</v>
      </c>
      <c r="AY152" s="32" t="s">
        <v>359</v>
      </c>
      <c r="AZ152" s="32" t="s">
        <v>318</v>
      </c>
      <c r="BA152" s="11" t="s">
        <v>60</v>
      </c>
      <c r="BC152" s="30">
        <f>AW152+AX152</f>
        <v>0</v>
      </c>
      <c r="BD152" s="30">
        <f>G152/(100-BE152)*100</f>
        <v>0</v>
      </c>
      <c r="BE152" s="30">
        <v>0</v>
      </c>
      <c r="BF152" s="30">
        <f>152</f>
        <v>152</v>
      </c>
      <c r="BH152" s="30">
        <f>F152*AO152</f>
        <v>0</v>
      </c>
      <c r="BI152" s="30">
        <f>F152*AP152</f>
        <v>0</v>
      </c>
      <c r="BJ152" s="30">
        <f>F152*G152</f>
        <v>0</v>
      </c>
      <c r="BK152" s="30"/>
      <c r="BL152" s="30">
        <v>713</v>
      </c>
      <c r="BW152" s="30">
        <v>21</v>
      </c>
      <c r="BX152" s="5" t="s">
        <v>379</v>
      </c>
    </row>
    <row r="153" spans="1:76" x14ac:dyDescent="0.25">
      <c r="A153" s="33"/>
      <c r="C153" s="35" t="s">
        <v>342</v>
      </c>
      <c r="D153" s="35" t="s">
        <v>50</v>
      </c>
      <c r="F153" s="40">
        <v>76.28</v>
      </c>
      <c r="K153" s="41"/>
    </row>
    <row r="154" spans="1:76" x14ac:dyDescent="0.25">
      <c r="A154" s="33"/>
      <c r="C154" s="35" t="s">
        <v>380</v>
      </c>
      <c r="D154" s="35" t="s">
        <v>50</v>
      </c>
      <c r="F154" s="40">
        <v>3.8140000000000001</v>
      </c>
      <c r="K154" s="41"/>
    </row>
    <row r="155" spans="1:76" x14ac:dyDescent="0.25">
      <c r="A155" s="2" t="s">
        <v>381</v>
      </c>
      <c r="B155" s="3" t="s">
        <v>382</v>
      </c>
      <c r="C155" s="76" t="s">
        <v>551</v>
      </c>
      <c r="D155" s="77"/>
      <c r="E155" s="3" t="s">
        <v>112</v>
      </c>
      <c r="F155" s="30">
        <v>80.093999999999994</v>
      </c>
      <c r="G155" s="30">
        <v>0</v>
      </c>
      <c r="H155" s="30">
        <f>ROUND(F155*AO155,2)</f>
        <v>0</v>
      </c>
      <c r="I155" s="30">
        <f>ROUND(F155*AP155,2)</f>
        <v>0</v>
      </c>
      <c r="J155" s="30">
        <f>ROUND(F155*G155,2)</f>
        <v>0</v>
      </c>
      <c r="K155" s="42" t="s">
        <v>57</v>
      </c>
      <c r="Z155" s="30">
        <f>ROUND(IF(AQ155="5",BJ155,0),2)</f>
        <v>0</v>
      </c>
      <c r="AB155" s="30">
        <f>ROUND(IF(AQ155="1",BH155,0),2)</f>
        <v>0</v>
      </c>
      <c r="AC155" s="30">
        <f>ROUND(IF(AQ155="1",BI155,0),2)</f>
        <v>0</v>
      </c>
      <c r="AD155" s="30">
        <f>ROUND(IF(AQ155="7",BH155,0),2)</f>
        <v>0</v>
      </c>
      <c r="AE155" s="30">
        <f>ROUND(IF(AQ155="7",BI155,0),2)</f>
        <v>0</v>
      </c>
      <c r="AF155" s="30">
        <f>ROUND(IF(AQ155="2",BH155,0),2)</f>
        <v>0</v>
      </c>
      <c r="AG155" s="30">
        <f>ROUND(IF(AQ155="2",BI155,0),2)</f>
        <v>0</v>
      </c>
      <c r="AH155" s="30">
        <f>ROUND(IF(AQ155="0",BJ155,0),2)</f>
        <v>0</v>
      </c>
      <c r="AI155" s="11" t="s">
        <v>50</v>
      </c>
      <c r="AJ155" s="30">
        <f>IF(AN155=0,J155,0)</f>
        <v>0</v>
      </c>
      <c r="AK155" s="30">
        <f>IF(AN155=12,J155,0)</f>
        <v>0</v>
      </c>
      <c r="AL155" s="30">
        <f>IF(AN155=21,J155,0)</f>
        <v>0</v>
      </c>
      <c r="AN155" s="30">
        <v>21</v>
      </c>
      <c r="AO155" s="30">
        <f>G155*1</f>
        <v>0</v>
      </c>
      <c r="AP155" s="30">
        <f>G155*(1-1)</f>
        <v>0</v>
      </c>
      <c r="AQ155" s="32" t="s">
        <v>85</v>
      </c>
      <c r="AV155" s="30">
        <f>ROUND(AW155+AX155,2)</f>
        <v>0</v>
      </c>
      <c r="AW155" s="30">
        <f>ROUND(F155*AO155,2)</f>
        <v>0</v>
      </c>
      <c r="AX155" s="30">
        <f>ROUND(F155*AP155,2)</f>
        <v>0</v>
      </c>
      <c r="AY155" s="32" t="s">
        <v>359</v>
      </c>
      <c r="AZ155" s="32" t="s">
        <v>318</v>
      </c>
      <c r="BA155" s="11" t="s">
        <v>60</v>
      </c>
      <c r="BC155" s="30">
        <f>AW155+AX155</f>
        <v>0</v>
      </c>
      <c r="BD155" s="30">
        <f>G155/(100-BE155)*100</f>
        <v>0</v>
      </c>
      <c r="BE155" s="30">
        <v>0</v>
      </c>
      <c r="BF155" s="30">
        <f>155</f>
        <v>155</v>
      </c>
      <c r="BH155" s="30">
        <f>F155*AO155</f>
        <v>0</v>
      </c>
      <c r="BI155" s="30">
        <f>F155*AP155</f>
        <v>0</v>
      </c>
      <c r="BJ155" s="30">
        <f>F155*G155</f>
        <v>0</v>
      </c>
      <c r="BK155" s="30"/>
      <c r="BL155" s="30">
        <v>713</v>
      </c>
      <c r="BW155" s="30">
        <v>21</v>
      </c>
      <c r="BX155" s="5" t="s">
        <v>383</v>
      </c>
    </row>
    <row r="156" spans="1:76" x14ac:dyDescent="0.25">
      <c r="A156" s="33"/>
      <c r="C156" s="35" t="s">
        <v>342</v>
      </c>
      <c r="D156" s="35" t="s">
        <v>50</v>
      </c>
      <c r="F156" s="40">
        <v>76.28</v>
      </c>
      <c r="K156" s="41"/>
    </row>
    <row r="157" spans="1:76" x14ac:dyDescent="0.25">
      <c r="A157" s="33"/>
      <c r="C157" s="35" t="s">
        <v>380</v>
      </c>
      <c r="D157" s="35" t="s">
        <v>50</v>
      </c>
      <c r="F157" s="40">
        <v>3.8140000000000001</v>
      </c>
      <c r="K157" s="41"/>
    </row>
    <row r="158" spans="1:76" x14ac:dyDescent="0.25">
      <c r="A158" s="25" t="s">
        <v>384</v>
      </c>
      <c r="B158" s="26" t="s">
        <v>385</v>
      </c>
      <c r="C158" s="83" t="s">
        <v>386</v>
      </c>
      <c r="D158" s="84"/>
      <c r="E158" s="26" t="s">
        <v>112</v>
      </c>
      <c r="F158" s="28">
        <v>638.33000000000004</v>
      </c>
      <c r="G158" s="28">
        <v>0</v>
      </c>
      <c r="H158" s="28">
        <f>ROUND(F158*AO158,2)</f>
        <v>0</v>
      </c>
      <c r="I158" s="28">
        <f>ROUND(F158*AP158,2)</f>
        <v>0</v>
      </c>
      <c r="J158" s="28">
        <f>ROUND(F158*G158,2)</f>
        <v>0</v>
      </c>
      <c r="K158" s="29" t="s">
        <v>57</v>
      </c>
      <c r="Z158" s="30">
        <f>ROUND(IF(AQ158="5",BJ158,0),2)</f>
        <v>0</v>
      </c>
      <c r="AB158" s="30">
        <f>ROUND(IF(AQ158="1",BH158,0),2)</f>
        <v>0</v>
      </c>
      <c r="AC158" s="30">
        <f>ROUND(IF(AQ158="1",BI158,0),2)</f>
        <v>0</v>
      </c>
      <c r="AD158" s="30">
        <f>ROUND(IF(AQ158="7",BH158,0),2)</f>
        <v>0</v>
      </c>
      <c r="AE158" s="30">
        <f>ROUND(IF(AQ158="7",BI158,0),2)</f>
        <v>0</v>
      </c>
      <c r="AF158" s="30">
        <f>ROUND(IF(AQ158="2",BH158,0),2)</f>
        <v>0</v>
      </c>
      <c r="AG158" s="30">
        <f>ROUND(IF(AQ158="2",BI158,0),2)</f>
        <v>0</v>
      </c>
      <c r="AH158" s="30">
        <f>ROUND(IF(AQ158="0",BJ158,0),2)</f>
        <v>0</v>
      </c>
      <c r="AI158" s="11" t="s">
        <v>50</v>
      </c>
      <c r="AJ158" s="28">
        <f>IF(AN158=0,J158,0)</f>
        <v>0</v>
      </c>
      <c r="AK158" s="28">
        <f>IF(AN158=12,J158,0)</f>
        <v>0</v>
      </c>
      <c r="AL158" s="28">
        <f>IF(AN158=21,J158,0)</f>
        <v>0</v>
      </c>
      <c r="AN158" s="30">
        <v>21</v>
      </c>
      <c r="AO158" s="30">
        <f>G158*0.635716235</f>
        <v>0</v>
      </c>
      <c r="AP158" s="30">
        <f>G158*(1-0.635716235)</f>
        <v>0</v>
      </c>
      <c r="AQ158" s="31" t="s">
        <v>85</v>
      </c>
      <c r="AV158" s="30">
        <f>ROUND(AW158+AX158,2)</f>
        <v>0</v>
      </c>
      <c r="AW158" s="30">
        <f>ROUND(F158*AO158,2)</f>
        <v>0</v>
      </c>
      <c r="AX158" s="30">
        <f>ROUND(F158*AP158,2)</f>
        <v>0</v>
      </c>
      <c r="AY158" s="32" t="s">
        <v>359</v>
      </c>
      <c r="AZ158" s="32" t="s">
        <v>318</v>
      </c>
      <c r="BA158" s="11" t="s">
        <v>60</v>
      </c>
      <c r="BC158" s="30">
        <f>AW158+AX158</f>
        <v>0</v>
      </c>
      <c r="BD158" s="30">
        <f>G158/(100-BE158)*100</f>
        <v>0</v>
      </c>
      <c r="BE158" s="30">
        <v>0</v>
      </c>
      <c r="BF158" s="30">
        <f>158</f>
        <v>158</v>
      </c>
      <c r="BH158" s="28">
        <f>F158*AO158</f>
        <v>0</v>
      </c>
      <c r="BI158" s="28">
        <f>F158*AP158</f>
        <v>0</v>
      </c>
      <c r="BJ158" s="28">
        <f>F158*G158</f>
        <v>0</v>
      </c>
      <c r="BK158" s="28"/>
      <c r="BL158" s="30">
        <v>713</v>
      </c>
      <c r="BW158" s="30">
        <v>21</v>
      </c>
      <c r="BX158" s="27" t="s">
        <v>386</v>
      </c>
    </row>
    <row r="159" spans="1:76" x14ac:dyDescent="0.25">
      <c r="A159" s="2" t="s">
        <v>387</v>
      </c>
      <c r="B159" s="3" t="s">
        <v>388</v>
      </c>
      <c r="C159" s="76" t="s">
        <v>389</v>
      </c>
      <c r="D159" s="77"/>
      <c r="E159" s="3" t="s">
        <v>112</v>
      </c>
      <c r="F159" s="30">
        <v>670.24649999999997</v>
      </c>
      <c r="G159" s="30">
        <v>0</v>
      </c>
      <c r="H159" s="30">
        <f>ROUND(F159*AO159,2)</f>
        <v>0</v>
      </c>
      <c r="I159" s="30">
        <f>ROUND(F159*AP159,2)</f>
        <v>0</v>
      </c>
      <c r="J159" s="30">
        <f>ROUND(F159*G159,2)</f>
        <v>0</v>
      </c>
      <c r="K159" s="42" t="s">
        <v>57</v>
      </c>
      <c r="Z159" s="30">
        <f>ROUND(IF(AQ159="5",BJ159,0),2)</f>
        <v>0</v>
      </c>
      <c r="AB159" s="30">
        <f>ROUND(IF(AQ159="1",BH159,0),2)</f>
        <v>0</v>
      </c>
      <c r="AC159" s="30">
        <f>ROUND(IF(AQ159="1",BI159,0),2)</f>
        <v>0</v>
      </c>
      <c r="AD159" s="30">
        <f>ROUND(IF(AQ159="7",BH159,0),2)</f>
        <v>0</v>
      </c>
      <c r="AE159" s="30">
        <f>ROUND(IF(AQ159="7",BI159,0),2)</f>
        <v>0</v>
      </c>
      <c r="AF159" s="30">
        <f>ROUND(IF(AQ159="2",BH159,0),2)</f>
        <v>0</v>
      </c>
      <c r="AG159" s="30">
        <f>ROUND(IF(AQ159="2",BI159,0),2)</f>
        <v>0</v>
      </c>
      <c r="AH159" s="30">
        <f>ROUND(IF(AQ159="0",BJ159,0),2)</f>
        <v>0</v>
      </c>
      <c r="AI159" s="11" t="s">
        <v>50</v>
      </c>
      <c r="AJ159" s="30">
        <f>IF(AN159=0,J159,0)</f>
        <v>0</v>
      </c>
      <c r="AK159" s="30">
        <f>IF(AN159=12,J159,0)</f>
        <v>0</v>
      </c>
      <c r="AL159" s="30">
        <f>IF(AN159=21,J159,0)</f>
        <v>0</v>
      </c>
      <c r="AN159" s="30">
        <v>21</v>
      </c>
      <c r="AO159" s="30">
        <f>G159*1</f>
        <v>0</v>
      </c>
      <c r="AP159" s="30">
        <f>G159*(1-1)</f>
        <v>0</v>
      </c>
      <c r="AQ159" s="32" t="s">
        <v>85</v>
      </c>
      <c r="AV159" s="30">
        <f>ROUND(AW159+AX159,2)</f>
        <v>0</v>
      </c>
      <c r="AW159" s="30">
        <f>ROUND(F159*AO159,2)</f>
        <v>0</v>
      </c>
      <c r="AX159" s="30">
        <f>ROUND(F159*AP159,2)</f>
        <v>0</v>
      </c>
      <c r="AY159" s="32" t="s">
        <v>359</v>
      </c>
      <c r="AZ159" s="32" t="s">
        <v>318</v>
      </c>
      <c r="BA159" s="11" t="s">
        <v>60</v>
      </c>
      <c r="BC159" s="30">
        <f>AW159+AX159</f>
        <v>0</v>
      </c>
      <c r="BD159" s="30">
        <f>G159/(100-BE159)*100</f>
        <v>0</v>
      </c>
      <c r="BE159" s="30">
        <v>0</v>
      </c>
      <c r="BF159" s="30">
        <f>159</f>
        <v>159</v>
      </c>
      <c r="BH159" s="30">
        <f>F159*AO159</f>
        <v>0</v>
      </c>
      <c r="BI159" s="30">
        <f>F159*AP159</f>
        <v>0</v>
      </c>
      <c r="BJ159" s="30">
        <f>F159*G159</f>
        <v>0</v>
      </c>
      <c r="BK159" s="30"/>
      <c r="BL159" s="30">
        <v>713</v>
      </c>
      <c r="BW159" s="30">
        <v>21</v>
      </c>
      <c r="BX159" s="5" t="s">
        <v>389</v>
      </c>
    </row>
    <row r="160" spans="1:76" x14ac:dyDescent="0.25">
      <c r="A160" s="33"/>
      <c r="C160" s="35" t="s">
        <v>349</v>
      </c>
      <c r="D160" s="35" t="s">
        <v>50</v>
      </c>
      <c r="F160" s="40">
        <v>638.33000000000004</v>
      </c>
      <c r="K160" s="41"/>
    </row>
    <row r="161" spans="1:76" x14ac:dyDescent="0.25">
      <c r="A161" s="33"/>
      <c r="C161" s="35" t="s">
        <v>390</v>
      </c>
      <c r="D161" s="35" t="s">
        <v>50</v>
      </c>
      <c r="F161" s="40">
        <v>31.916499999999999</v>
      </c>
      <c r="K161" s="41"/>
    </row>
    <row r="162" spans="1:76" x14ac:dyDescent="0.25">
      <c r="A162" s="2" t="s">
        <v>391</v>
      </c>
      <c r="B162" s="3" t="s">
        <v>378</v>
      </c>
      <c r="C162" s="76" t="s">
        <v>392</v>
      </c>
      <c r="D162" s="77"/>
      <c r="E162" s="3" t="s">
        <v>112</v>
      </c>
      <c r="F162" s="30">
        <v>670.24649999999997</v>
      </c>
      <c r="G162" s="30">
        <v>0</v>
      </c>
      <c r="H162" s="30">
        <f>ROUND(F162*AO162,2)</f>
        <v>0</v>
      </c>
      <c r="I162" s="30">
        <f>ROUND(F162*AP162,2)</f>
        <v>0</v>
      </c>
      <c r="J162" s="30">
        <f>ROUND(F162*G162,2)</f>
        <v>0</v>
      </c>
      <c r="K162" s="42" t="s">
        <v>57</v>
      </c>
      <c r="Z162" s="30">
        <f>ROUND(IF(AQ162="5",BJ162,0),2)</f>
        <v>0</v>
      </c>
      <c r="AB162" s="30">
        <f>ROUND(IF(AQ162="1",BH162,0),2)</f>
        <v>0</v>
      </c>
      <c r="AC162" s="30">
        <f>ROUND(IF(AQ162="1",BI162,0),2)</f>
        <v>0</v>
      </c>
      <c r="AD162" s="30">
        <f>ROUND(IF(AQ162="7",BH162,0),2)</f>
        <v>0</v>
      </c>
      <c r="AE162" s="30">
        <f>ROUND(IF(AQ162="7",BI162,0),2)</f>
        <v>0</v>
      </c>
      <c r="AF162" s="30">
        <f>ROUND(IF(AQ162="2",BH162,0),2)</f>
        <v>0</v>
      </c>
      <c r="AG162" s="30">
        <f>ROUND(IF(AQ162="2",BI162,0),2)</f>
        <v>0</v>
      </c>
      <c r="AH162" s="30">
        <f>ROUND(IF(AQ162="0",BJ162,0),2)</f>
        <v>0</v>
      </c>
      <c r="AI162" s="11" t="s">
        <v>50</v>
      </c>
      <c r="AJ162" s="30">
        <f>IF(AN162=0,J162,0)</f>
        <v>0</v>
      </c>
      <c r="AK162" s="30">
        <f>IF(AN162=12,J162,0)</f>
        <v>0</v>
      </c>
      <c r="AL162" s="30">
        <f>IF(AN162=21,J162,0)</f>
        <v>0</v>
      </c>
      <c r="AN162" s="30">
        <v>21</v>
      </c>
      <c r="AO162" s="30">
        <f>G162*1</f>
        <v>0</v>
      </c>
      <c r="AP162" s="30">
        <f>G162*(1-1)</f>
        <v>0</v>
      </c>
      <c r="AQ162" s="32" t="s">
        <v>85</v>
      </c>
      <c r="AV162" s="30">
        <f>ROUND(AW162+AX162,2)</f>
        <v>0</v>
      </c>
      <c r="AW162" s="30">
        <f>ROUND(F162*AO162,2)</f>
        <v>0</v>
      </c>
      <c r="AX162" s="30">
        <f>ROUND(F162*AP162,2)</f>
        <v>0</v>
      </c>
      <c r="AY162" s="32" t="s">
        <v>359</v>
      </c>
      <c r="AZ162" s="32" t="s">
        <v>318</v>
      </c>
      <c r="BA162" s="11" t="s">
        <v>60</v>
      </c>
      <c r="BC162" s="30">
        <f>AW162+AX162</f>
        <v>0</v>
      </c>
      <c r="BD162" s="30">
        <f>G162/(100-BE162)*100</f>
        <v>0</v>
      </c>
      <c r="BE162" s="30">
        <v>0</v>
      </c>
      <c r="BF162" s="30">
        <f>162</f>
        <v>162</v>
      </c>
      <c r="BH162" s="30">
        <f>F162*AO162</f>
        <v>0</v>
      </c>
      <c r="BI162" s="30">
        <f>F162*AP162</f>
        <v>0</v>
      </c>
      <c r="BJ162" s="30">
        <f>F162*G162</f>
        <v>0</v>
      </c>
      <c r="BK162" s="30"/>
      <c r="BL162" s="30">
        <v>713</v>
      </c>
      <c r="BW162" s="30">
        <v>21</v>
      </c>
      <c r="BX162" s="5" t="s">
        <v>392</v>
      </c>
    </row>
    <row r="163" spans="1:76" x14ac:dyDescent="0.25">
      <c r="A163" s="33"/>
      <c r="C163" s="35" t="s">
        <v>349</v>
      </c>
      <c r="D163" s="35" t="s">
        <v>50</v>
      </c>
      <c r="F163" s="40">
        <v>638.33000000000004</v>
      </c>
      <c r="K163" s="41"/>
    </row>
    <row r="164" spans="1:76" x14ac:dyDescent="0.25">
      <c r="A164" s="33"/>
      <c r="C164" s="35" t="s">
        <v>390</v>
      </c>
      <c r="D164" s="35" t="s">
        <v>50</v>
      </c>
      <c r="F164" s="40">
        <v>31.916499999999999</v>
      </c>
      <c r="K164" s="41"/>
    </row>
    <row r="165" spans="1:76" x14ac:dyDescent="0.25">
      <c r="A165" s="25" t="s">
        <v>393</v>
      </c>
      <c r="B165" s="26" t="s">
        <v>394</v>
      </c>
      <c r="C165" s="83" t="s">
        <v>395</v>
      </c>
      <c r="D165" s="84"/>
      <c r="E165" s="26" t="s">
        <v>66</v>
      </c>
      <c r="F165" s="28">
        <v>104.4</v>
      </c>
      <c r="G165" s="28">
        <v>0</v>
      </c>
      <c r="H165" s="28">
        <f>ROUND(F165*AO165,2)</f>
        <v>0</v>
      </c>
      <c r="I165" s="28">
        <f>ROUND(F165*AP165,2)</f>
        <v>0</v>
      </c>
      <c r="J165" s="28">
        <f>ROUND(F165*G165,2)</f>
        <v>0</v>
      </c>
      <c r="K165" s="29" t="s">
        <v>57</v>
      </c>
      <c r="Z165" s="30">
        <f>ROUND(IF(AQ165="5",BJ165,0),2)</f>
        <v>0</v>
      </c>
      <c r="AB165" s="30">
        <f>ROUND(IF(AQ165="1",BH165,0),2)</f>
        <v>0</v>
      </c>
      <c r="AC165" s="30">
        <f>ROUND(IF(AQ165="1",BI165,0),2)</f>
        <v>0</v>
      </c>
      <c r="AD165" s="30">
        <f>ROUND(IF(AQ165="7",BH165,0),2)</f>
        <v>0</v>
      </c>
      <c r="AE165" s="30">
        <f>ROUND(IF(AQ165="7",BI165,0),2)</f>
        <v>0</v>
      </c>
      <c r="AF165" s="30">
        <f>ROUND(IF(AQ165="2",BH165,0),2)</f>
        <v>0</v>
      </c>
      <c r="AG165" s="30">
        <f>ROUND(IF(AQ165="2",BI165,0),2)</f>
        <v>0</v>
      </c>
      <c r="AH165" s="30">
        <f>ROUND(IF(AQ165="0",BJ165,0),2)</f>
        <v>0</v>
      </c>
      <c r="AI165" s="11" t="s">
        <v>50</v>
      </c>
      <c r="AJ165" s="28">
        <f>IF(AN165=0,J165,0)</f>
        <v>0</v>
      </c>
      <c r="AK165" s="28">
        <f>IF(AN165=12,J165,0)</f>
        <v>0</v>
      </c>
      <c r="AL165" s="28">
        <f>IF(AN165=21,J165,0)</f>
        <v>0</v>
      </c>
      <c r="AN165" s="30">
        <v>21</v>
      </c>
      <c r="AO165" s="30">
        <f>G165*0.646384446</f>
        <v>0</v>
      </c>
      <c r="AP165" s="30">
        <f>G165*(1-0.646384446)</f>
        <v>0</v>
      </c>
      <c r="AQ165" s="31" t="s">
        <v>85</v>
      </c>
      <c r="AV165" s="30">
        <f>ROUND(AW165+AX165,2)</f>
        <v>0</v>
      </c>
      <c r="AW165" s="30">
        <f>ROUND(F165*AO165,2)</f>
        <v>0</v>
      </c>
      <c r="AX165" s="30">
        <f>ROUND(F165*AP165,2)</f>
        <v>0</v>
      </c>
      <c r="AY165" s="32" t="s">
        <v>359</v>
      </c>
      <c r="AZ165" s="32" t="s">
        <v>318</v>
      </c>
      <c r="BA165" s="11" t="s">
        <v>60</v>
      </c>
      <c r="BC165" s="30">
        <f>AW165+AX165</f>
        <v>0</v>
      </c>
      <c r="BD165" s="30">
        <f>G165/(100-BE165)*100</f>
        <v>0</v>
      </c>
      <c r="BE165" s="30">
        <v>0</v>
      </c>
      <c r="BF165" s="30">
        <f>165</f>
        <v>165</v>
      </c>
      <c r="BH165" s="28">
        <f>F165*AO165</f>
        <v>0</v>
      </c>
      <c r="BI165" s="28">
        <f>F165*AP165</f>
        <v>0</v>
      </c>
      <c r="BJ165" s="28">
        <f>F165*G165</f>
        <v>0</v>
      </c>
      <c r="BK165" s="28"/>
      <c r="BL165" s="30">
        <v>713</v>
      </c>
      <c r="BW165" s="30">
        <v>21</v>
      </c>
      <c r="BX165" s="27" t="s">
        <v>395</v>
      </c>
    </row>
    <row r="166" spans="1:76" ht="13.5" customHeight="1" x14ac:dyDescent="0.25">
      <c r="A166" s="33"/>
      <c r="B166" s="34"/>
      <c r="C166" s="78" t="s">
        <v>552</v>
      </c>
      <c r="D166" s="79"/>
      <c r="E166" s="79"/>
      <c r="F166" s="79"/>
      <c r="G166" s="79"/>
      <c r="H166" s="79"/>
      <c r="I166" s="79"/>
      <c r="J166" s="79"/>
      <c r="K166" s="80"/>
    </row>
    <row r="167" spans="1:76" x14ac:dyDescent="0.25">
      <c r="A167" s="25" t="s">
        <v>396</v>
      </c>
      <c r="B167" s="26" t="s">
        <v>397</v>
      </c>
      <c r="C167" s="83" t="s">
        <v>398</v>
      </c>
      <c r="D167" s="84"/>
      <c r="E167" s="26" t="s">
        <v>291</v>
      </c>
      <c r="F167" s="28">
        <v>8.2681500000000003</v>
      </c>
      <c r="G167" s="28">
        <v>0</v>
      </c>
      <c r="H167" s="28">
        <f>ROUND(F167*AO167,2)</f>
        <v>0</v>
      </c>
      <c r="I167" s="28">
        <f>ROUND(F167*AP167,2)</f>
        <v>0</v>
      </c>
      <c r="J167" s="28">
        <f>ROUND(F167*G167,2)</f>
        <v>0</v>
      </c>
      <c r="K167" s="29" t="s">
        <v>57</v>
      </c>
      <c r="Z167" s="30">
        <f>ROUND(IF(AQ167="5",BJ167,0),2)</f>
        <v>0</v>
      </c>
      <c r="AB167" s="30">
        <f>ROUND(IF(AQ167="1",BH167,0),2)</f>
        <v>0</v>
      </c>
      <c r="AC167" s="30">
        <f>ROUND(IF(AQ167="1",BI167,0),2)</f>
        <v>0</v>
      </c>
      <c r="AD167" s="30">
        <f>ROUND(IF(AQ167="7",BH167,0),2)</f>
        <v>0</v>
      </c>
      <c r="AE167" s="30">
        <f>ROUND(IF(AQ167="7",BI167,0),2)</f>
        <v>0</v>
      </c>
      <c r="AF167" s="30">
        <f>ROUND(IF(AQ167="2",BH167,0),2)</f>
        <v>0</v>
      </c>
      <c r="AG167" s="30">
        <f>ROUND(IF(AQ167="2",BI167,0),2)</f>
        <v>0</v>
      </c>
      <c r="AH167" s="30">
        <f>ROUND(IF(AQ167="0",BJ167,0),2)</f>
        <v>0</v>
      </c>
      <c r="AI167" s="11" t="s">
        <v>50</v>
      </c>
      <c r="AJ167" s="28">
        <f>IF(AN167=0,J167,0)</f>
        <v>0</v>
      </c>
      <c r="AK167" s="28">
        <f>IF(AN167=12,J167,0)</f>
        <v>0</v>
      </c>
      <c r="AL167" s="28">
        <f>IF(AN167=21,J167,0)</f>
        <v>0</v>
      </c>
      <c r="AN167" s="30">
        <v>21</v>
      </c>
      <c r="AO167" s="30">
        <f>G167*0</f>
        <v>0</v>
      </c>
      <c r="AP167" s="30">
        <f>G167*(1-0)</f>
        <v>0</v>
      </c>
      <c r="AQ167" s="31" t="s">
        <v>79</v>
      </c>
      <c r="AV167" s="30">
        <f>ROUND(AW167+AX167,2)</f>
        <v>0</v>
      </c>
      <c r="AW167" s="30">
        <f>ROUND(F167*AO167,2)</f>
        <v>0</v>
      </c>
      <c r="AX167" s="30">
        <f>ROUND(F167*AP167,2)</f>
        <v>0</v>
      </c>
      <c r="AY167" s="32" t="s">
        <v>359</v>
      </c>
      <c r="AZ167" s="32" t="s">
        <v>318</v>
      </c>
      <c r="BA167" s="11" t="s">
        <v>60</v>
      </c>
      <c r="BC167" s="30">
        <f>AW167+AX167</f>
        <v>0</v>
      </c>
      <c r="BD167" s="30">
        <f>G167/(100-BE167)*100</f>
        <v>0</v>
      </c>
      <c r="BE167" s="30">
        <v>0</v>
      </c>
      <c r="BF167" s="30">
        <f>167</f>
        <v>167</v>
      </c>
      <c r="BH167" s="28">
        <f>F167*AO167</f>
        <v>0</v>
      </c>
      <c r="BI167" s="28">
        <f>F167*AP167</f>
        <v>0</v>
      </c>
      <c r="BJ167" s="28">
        <f>F167*G167</f>
        <v>0</v>
      </c>
      <c r="BK167" s="28"/>
      <c r="BL167" s="30">
        <v>713</v>
      </c>
      <c r="BW167" s="30">
        <v>21</v>
      </c>
      <c r="BX167" s="27" t="s">
        <v>398</v>
      </c>
    </row>
    <row r="168" spans="1:76" x14ac:dyDescent="0.25">
      <c r="A168" s="36" t="s">
        <v>50</v>
      </c>
      <c r="B168" s="37" t="s">
        <v>399</v>
      </c>
      <c r="C168" s="81" t="s">
        <v>400</v>
      </c>
      <c r="D168" s="82"/>
      <c r="E168" s="38" t="s">
        <v>4</v>
      </c>
      <c r="F168" s="38" t="s">
        <v>4</v>
      </c>
      <c r="G168" s="38" t="s">
        <v>4</v>
      </c>
      <c r="H168" s="1">
        <f>SUM(H169:H181)</f>
        <v>0</v>
      </c>
      <c r="I168" s="1">
        <f>SUM(I169:I181)</f>
        <v>0</v>
      </c>
      <c r="J168" s="1">
        <f>SUM(J169:J181)</f>
        <v>0</v>
      </c>
      <c r="K168" s="39" t="s">
        <v>50</v>
      </c>
      <c r="AI168" s="11" t="s">
        <v>50</v>
      </c>
      <c r="AS168" s="1">
        <f>SUM(AJ169:AJ181)</f>
        <v>0</v>
      </c>
      <c r="AT168" s="1">
        <f>SUM(AK169:AK181)</f>
        <v>0</v>
      </c>
      <c r="AU168" s="1">
        <f>SUM(AL169:AL181)</f>
        <v>0</v>
      </c>
    </row>
    <row r="169" spans="1:76" x14ac:dyDescent="0.25">
      <c r="A169" s="25" t="s">
        <v>401</v>
      </c>
      <c r="B169" s="26" t="s">
        <v>402</v>
      </c>
      <c r="C169" s="83" t="s">
        <v>403</v>
      </c>
      <c r="D169" s="84"/>
      <c r="E169" s="26" t="s">
        <v>112</v>
      </c>
      <c r="F169" s="28">
        <v>124.12</v>
      </c>
      <c r="G169" s="28">
        <v>0</v>
      </c>
      <c r="H169" s="28">
        <f>ROUND(F169*AO169,2)</f>
        <v>0</v>
      </c>
      <c r="I169" s="28">
        <f>ROUND(F169*AP169,2)</f>
        <v>0</v>
      </c>
      <c r="J169" s="28">
        <f>ROUND(F169*G169,2)</f>
        <v>0</v>
      </c>
      <c r="K169" s="29" t="s">
        <v>57</v>
      </c>
      <c r="Z169" s="30">
        <f>ROUND(IF(AQ169="5",BJ169,0),2)</f>
        <v>0</v>
      </c>
      <c r="AB169" s="30">
        <f>ROUND(IF(AQ169="1",BH169,0),2)</f>
        <v>0</v>
      </c>
      <c r="AC169" s="30">
        <f>ROUND(IF(AQ169="1",BI169,0),2)</f>
        <v>0</v>
      </c>
      <c r="AD169" s="30">
        <f>ROUND(IF(AQ169="7",BH169,0),2)</f>
        <v>0</v>
      </c>
      <c r="AE169" s="30">
        <f>ROUND(IF(AQ169="7",BI169,0),2)</f>
        <v>0</v>
      </c>
      <c r="AF169" s="30">
        <f>ROUND(IF(AQ169="2",BH169,0),2)</f>
        <v>0</v>
      </c>
      <c r="AG169" s="30">
        <f>ROUND(IF(AQ169="2",BI169,0),2)</f>
        <v>0</v>
      </c>
      <c r="AH169" s="30">
        <f>ROUND(IF(AQ169="0",BJ169,0),2)</f>
        <v>0</v>
      </c>
      <c r="AI169" s="11" t="s">
        <v>50</v>
      </c>
      <c r="AJ169" s="28">
        <f>IF(AN169=0,J169,0)</f>
        <v>0</v>
      </c>
      <c r="AK169" s="28">
        <f>IF(AN169=12,J169,0)</f>
        <v>0</v>
      </c>
      <c r="AL169" s="28">
        <f>IF(AN169=21,J169,0)</f>
        <v>0</v>
      </c>
      <c r="AN169" s="30">
        <v>21</v>
      </c>
      <c r="AO169" s="30">
        <f>G169*0</f>
        <v>0</v>
      </c>
      <c r="AP169" s="30">
        <f>G169*(1-0)</f>
        <v>0</v>
      </c>
      <c r="AQ169" s="31" t="s">
        <v>85</v>
      </c>
      <c r="AV169" s="30">
        <f>ROUND(AW169+AX169,2)</f>
        <v>0</v>
      </c>
      <c r="AW169" s="30">
        <f>ROUND(F169*AO169,2)</f>
        <v>0</v>
      </c>
      <c r="AX169" s="30">
        <f>ROUND(F169*AP169,2)</f>
        <v>0</v>
      </c>
      <c r="AY169" s="32" t="s">
        <v>404</v>
      </c>
      <c r="AZ169" s="32" t="s">
        <v>405</v>
      </c>
      <c r="BA169" s="11" t="s">
        <v>60</v>
      </c>
      <c r="BC169" s="30">
        <f>AW169+AX169</f>
        <v>0</v>
      </c>
      <c r="BD169" s="30">
        <f>G169/(100-BE169)*100</f>
        <v>0</v>
      </c>
      <c r="BE169" s="30">
        <v>0</v>
      </c>
      <c r="BF169" s="30">
        <f>169</f>
        <v>169</v>
      </c>
      <c r="BH169" s="28">
        <f>F169*AO169</f>
        <v>0</v>
      </c>
      <c r="BI169" s="28">
        <f>F169*AP169</f>
        <v>0</v>
      </c>
      <c r="BJ169" s="28">
        <f>F169*G169</f>
        <v>0</v>
      </c>
      <c r="BK169" s="28"/>
      <c r="BL169" s="30">
        <v>762</v>
      </c>
      <c r="BW169" s="30">
        <v>21</v>
      </c>
      <c r="BX169" s="27" t="s">
        <v>403</v>
      </c>
    </row>
    <row r="170" spans="1:76" ht="13.5" customHeight="1" x14ac:dyDescent="0.25">
      <c r="A170" s="33"/>
      <c r="B170" s="34" t="s">
        <v>61</v>
      </c>
      <c r="C170" s="78" t="s">
        <v>553</v>
      </c>
      <c r="D170" s="79"/>
      <c r="E170" s="79"/>
      <c r="F170" s="79"/>
      <c r="G170" s="79"/>
      <c r="H170" s="79"/>
      <c r="I170" s="79"/>
      <c r="J170" s="79"/>
      <c r="K170" s="80"/>
    </row>
    <row r="171" spans="1:76" x14ac:dyDescent="0.25">
      <c r="A171" s="25" t="s">
        <v>406</v>
      </c>
      <c r="B171" s="26" t="s">
        <v>407</v>
      </c>
      <c r="C171" s="83" t="s">
        <v>408</v>
      </c>
      <c r="D171" s="84"/>
      <c r="E171" s="26" t="s">
        <v>112</v>
      </c>
      <c r="F171" s="28">
        <v>119.21</v>
      </c>
      <c r="G171" s="28">
        <v>0</v>
      </c>
      <c r="H171" s="28">
        <f>ROUND(F171*AO171,2)</f>
        <v>0</v>
      </c>
      <c r="I171" s="28">
        <f>ROUND(F171*AP171,2)</f>
        <v>0</v>
      </c>
      <c r="J171" s="28">
        <f>ROUND(F171*G171,2)</f>
        <v>0</v>
      </c>
      <c r="K171" s="29" t="s">
        <v>50</v>
      </c>
      <c r="Z171" s="30">
        <f>ROUND(IF(AQ171="5",BJ171,0),2)</f>
        <v>0</v>
      </c>
      <c r="AB171" s="30">
        <f>ROUND(IF(AQ171="1",BH171,0),2)</f>
        <v>0</v>
      </c>
      <c r="AC171" s="30">
        <f>ROUND(IF(AQ171="1",BI171,0),2)</f>
        <v>0</v>
      </c>
      <c r="AD171" s="30">
        <f>ROUND(IF(AQ171="7",BH171,0),2)</f>
        <v>0</v>
      </c>
      <c r="AE171" s="30">
        <f>ROUND(IF(AQ171="7",BI171,0),2)</f>
        <v>0</v>
      </c>
      <c r="AF171" s="30">
        <f>ROUND(IF(AQ171="2",BH171,0),2)</f>
        <v>0</v>
      </c>
      <c r="AG171" s="30">
        <f>ROUND(IF(AQ171="2",BI171,0),2)</f>
        <v>0</v>
      </c>
      <c r="AH171" s="30">
        <f>ROUND(IF(AQ171="0",BJ171,0),2)</f>
        <v>0</v>
      </c>
      <c r="AI171" s="11" t="s">
        <v>50</v>
      </c>
      <c r="AJ171" s="28">
        <f>IF(AN171=0,J171,0)</f>
        <v>0</v>
      </c>
      <c r="AK171" s="28">
        <f>IF(AN171=12,J171,0)</f>
        <v>0</v>
      </c>
      <c r="AL171" s="28">
        <f>IF(AN171=21,J171,0)</f>
        <v>0</v>
      </c>
      <c r="AN171" s="30">
        <v>21</v>
      </c>
      <c r="AO171" s="30">
        <f>G171*0</f>
        <v>0</v>
      </c>
      <c r="AP171" s="30">
        <f>G171*(1-0)</f>
        <v>0</v>
      </c>
      <c r="AQ171" s="31" t="s">
        <v>85</v>
      </c>
      <c r="AV171" s="30">
        <f>ROUND(AW171+AX171,2)</f>
        <v>0</v>
      </c>
      <c r="AW171" s="30">
        <f>ROUND(F171*AO171,2)</f>
        <v>0</v>
      </c>
      <c r="AX171" s="30">
        <f>ROUND(F171*AP171,2)</f>
        <v>0</v>
      </c>
      <c r="AY171" s="32" t="s">
        <v>404</v>
      </c>
      <c r="AZ171" s="32" t="s">
        <v>405</v>
      </c>
      <c r="BA171" s="11" t="s">
        <v>60</v>
      </c>
      <c r="BC171" s="30">
        <f>AW171+AX171</f>
        <v>0</v>
      </c>
      <c r="BD171" s="30">
        <f>G171/(100-BE171)*100</f>
        <v>0</v>
      </c>
      <c r="BE171" s="30">
        <v>0</v>
      </c>
      <c r="BF171" s="30">
        <f>171</f>
        <v>171</v>
      </c>
      <c r="BH171" s="28">
        <f>F171*AO171</f>
        <v>0</v>
      </c>
      <c r="BI171" s="28">
        <f>F171*AP171</f>
        <v>0</v>
      </c>
      <c r="BJ171" s="28">
        <f>F171*G171</f>
        <v>0</v>
      </c>
      <c r="BK171" s="28"/>
      <c r="BL171" s="30">
        <v>762</v>
      </c>
      <c r="BW171" s="30">
        <v>21</v>
      </c>
      <c r="BX171" s="27" t="s">
        <v>408</v>
      </c>
    </row>
    <row r="172" spans="1:76" x14ac:dyDescent="0.25">
      <c r="A172" s="25" t="s">
        <v>409</v>
      </c>
      <c r="B172" s="26" t="s">
        <v>410</v>
      </c>
      <c r="C172" s="83" t="s">
        <v>411</v>
      </c>
      <c r="D172" s="84"/>
      <c r="E172" s="26" t="s">
        <v>112</v>
      </c>
      <c r="F172" s="28">
        <v>66.325999999999993</v>
      </c>
      <c r="G172" s="28">
        <v>0</v>
      </c>
      <c r="H172" s="28">
        <f>ROUND(F172*AO172,2)</f>
        <v>0</v>
      </c>
      <c r="I172" s="28">
        <f>ROUND(F172*AP172,2)</f>
        <v>0</v>
      </c>
      <c r="J172" s="28">
        <f>ROUND(F172*G172,2)</f>
        <v>0</v>
      </c>
      <c r="K172" s="29" t="s">
        <v>57</v>
      </c>
      <c r="Z172" s="30">
        <f>ROUND(IF(AQ172="5",BJ172,0),2)</f>
        <v>0</v>
      </c>
      <c r="AB172" s="30">
        <f>ROUND(IF(AQ172="1",BH172,0),2)</f>
        <v>0</v>
      </c>
      <c r="AC172" s="30">
        <f>ROUND(IF(AQ172="1",BI172,0),2)</f>
        <v>0</v>
      </c>
      <c r="AD172" s="30">
        <f>ROUND(IF(AQ172="7",BH172,0),2)</f>
        <v>0</v>
      </c>
      <c r="AE172" s="30">
        <f>ROUND(IF(AQ172="7",BI172,0),2)</f>
        <v>0</v>
      </c>
      <c r="AF172" s="30">
        <f>ROUND(IF(AQ172="2",BH172,0),2)</f>
        <v>0</v>
      </c>
      <c r="AG172" s="30">
        <f>ROUND(IF(AQ172="2",BI172,0),2)</f>
        <v>0</v>
      </c>
      <c r="AH172" s="30">
        <f>ROUND(IF(AQ172="0",BJ172,0),2)</f>
        <v>0</v>
      </c>
      <c r="AI172" s="11" t="s">
        <v>50</v>
      </c>
      <c r="AJ172" s="28">
        <f>IF(AN172=0,J172,0)</f>
        <v>0</v>
      </c>
      <c r="AK172" s="28">
        <f>IF(AN172=12,J172,0)</f>
        <v>0</v>
      </c>
      <c r="AL172" s="28">
        <f>IF(AN172=21,J172,0)</f>
        <v>0</v>
      </c>
      <c r="AN172" s="30">
        <v>21</v>
      </c>
      <c r="AO172" s="30">
        <f>G172*0.058398916</f>
        <v>0</v>
      </c>
      <c r="AP172" s="30">
        <f>G172*(1-0.058398916)</f>
        <v>0</v>
      </c>
      <c r="AQ172" s="31" t="s">
        <v>85</v>
      </c>
      <c r="AV172" s="30">
        <f>ROUND(AW172+AX172,2)</f>
        <v>0</v>
      </c>
      <c r="AW172" s="30">
        <f>ROUND(F172*AO172,2)</f>
        <v>0</v>
      </c>
      <c r="AX172" s="30">
        <f>ROUND(F172*AP172,2)</f>
        <v>0</v>
      </c>
      <c r="AY172" s="32" t="s">
        <v>404</v>
      </c>
      <c r="AZ172" s="32" t="s">
        <v>405</v>
      </c>
      <c r="BA172" s="11" t="s">
        <v>60</v>
      </c>
      <c r="BC172" s="30">
        <f>AW172+AX172</f>
        <v>0</v>
      </c>
      <c r="BD172" s="30">
        <f>G172/(100-BE172)*100</f>
        <v>0</v>
      </c>
      <c r="BE172" s="30">
        <v>0</v>
      </c>
      <c r="BF172" s="30">
        <f>172</f>
        <v>172</v>
      </c>
      <c r="BH172" s="28">
        <f>F172*AO172</f>
        <v>0</v>
      </c>
      <c r="BI172" s="28">
        <f>F172*AP172</f>
        <v>0</v>
      </c>
      <c r="BJ172" s="28">
        <f>F172*G172</f>
        <v>0</v>
      </c>
      <c r="BK172" s="28"/>
      <c r="BL172" s="30">
        <v>762</v>
      </c>
      <c r="BW172" s="30">
        <v>21</v>
      </c>
      <c r="BX172" s="27" t="s">
        <v>411</v>
      </c>
    </row>
    <row r="173" spans="1:76" ht="13.5" customHeight="1" x14ac:dyDescent="0.25">
      <c r="A173" s="33"/>
      <c r="B173" s="34" t="s">
        <v>61</v>
      </c>
      <c r="C173" s="78" t="s">
        <v>412</v>
      </c>
      <c r="D173" s="79"/>
      <c r="E173" s="79"/>
      <c r="F173" s="79"/>
      <c r="G173" s="79"/>
      <c r="H173" s="79"/>
      <c r="I173" s="79"/>
      <c r="J173" s="79"/>
      <c r="K173" s="80"/>
    </row>
    <row r="174" spans="1:76" x14ac:dyDescent="0.25">
      <c r="A174" s="25" t="s">
        <v>413</v>
      </c>
      <c r="B174" s="26" t="s">
        <v>414</v>
      </c>
      <c r="C174" s="83" t="s">
        <v>415</v>
      </c>
      <c r="D174" s="84"/>
      <c r="E174" s="26" t="s">
        <v>66</v>
      </c>
      <c r="F174" s="28">
        <v>199.52</v>
      </c>
      <c r="G174" s="28">
        <v>0</v>
      </c>
      <c r="H174" s="28">
        <f>ROUND(F174*AO174,2)</f>
        <v>0</v>
      </c>
      <c r="I174" s="28">
        <f>ROUND(F174*AP174,2)</f>
        <v>0</v>
      </c>
      <c r="J174" s="28">
        <f>ROUND(F174*G174,2)</f>
        <v>0</v>
      </c>
      <c r="K174" s="29" t="s">
        <v>57</v>
      </c>
      <c r="Z174" s="30">
        <f>ROUND(IF(AQ174="5",BJ174,0),2)</f>
        <v>0</v>
      </c>
      <c r="AB174" s="30">
        <f>ROUND(IF(AQ174="1",BH174,0),2)</f>
        <v>0</v>
      </c>
      <c r="AC174" s="30">
        <f>ROUND(IF(AQ174="1",BI174,0),2)</f>
        <v>0</v>
      </c>
      <c r="AD174" s="30">
        <f>ROUND(IF(AQ174="7",BH174,0),2)</f>
        <v>0</v>
      </c>
      <c r="AE174" s="30">
        <f>ROUND(IF(AQ174="7",BI174,0),2)</f>
        <v>0</v>
      </c>
      <c r="AF174" s="30">
        <f>ROUND(IF(AQ174="2",BH174,0),2)</f>
        <v>0</v>
      </c>
      <c r="AG174" s="30">
        <f>ROUND(IF(AQ174="2",BI174,0),2)</f>
        <v>0</v>
      </c>
      <c r="AH174" s="30">
        <f>ROUND(IF(AQ174="0",BJ174,0),2)</f>
        <v>0</v>
      </c>
      <c r="AI174" s="11" t="s">
        <v>50</v>
      </c>
      <c r="AJ174" s="28">
        <f>IF(AN174=0,J174,0)</f>
        <v>0</v>
      </c>
      <c r="AK174" s="28">
        <f>IF(AN174=12,J174,0)</f>
        <v>0</v>
      </c>
      <c r="AL174" s="28">
        <f>IF(AN174=21,J174,0)</f>
        <v>0</v>
      </c>
      <c r="AN174" s="30">
        <v>21</v>
      </c>
      <c r="AO174" s="30">
        <f>G174*0.644760445</f>
        <v>0</v>
      </c>
      <c r="AP174" s="30">
        <f>G174*(1-0.644760445)</f>
        <v>0</v>
      </c>
      <c r="AQ174" s="31" t="s">
        <v>85</v>
      </c>
      <c r="AV174" s="30">
        <f>ROUND(AW174+AX174,2)</f>
        <v>0</v>
      </c>
      <c r="AW174" s="30">
        <f>ROUND(F174*AO174,2)</f>
        <v>0</v>
      </c>
      <c r="AX174" s="30">
        <f>ROUND(F174*AP174,2)</f>
        <v>0</v>
      </c>
      <c r="AY174" s="32" t="s">
        <v>404</v>
      </c>
      <c r="AZ174" s="32" t="s">
        <v>405</v>
      </c>
      <c r="BA174" s="11" t="s">
        <v>60</v>
      </c>
      <c r="BC174" s="30">
        <f>AW174+AX174</f>
        <v>0</v>
      </c>
      <c r="BD174" s="30">
        <f>G174/(100-BE174)*100</f>
        <v>0</v>
      </c>
      <c r="BE174" s="30">
        <v>0</v>
      </c>
      <c r="BF174" s="30">
        <f>174</f>
        <v>174</v>
      </c>
      <c r="BH174" s="28">
        <f>F174*AO174</f>
        <v>0</v>
      </c>
      <c r="BI174" s="28">
        <f>F174*AP174</f>
        <v>0</v>
      </c>
      <c r="BJ174" s="28">
        <f>F174*G174</f>
        <v>0</v>
      </c>
      <c r="BK174" s="28"/>
      <c r="BL174" s="30">
        <v>762</v>
      </c>
      <c r="BW174" s="30">
        <v>21</v>
      </c>
      <c r="BX174" s="27" t="s">
        <v>415</v>
      </c>
    </row>
    <row r="175" spans="1:76" x14ac:dyDescent="0.25">
      <c r="A175" s="33"/>
      <c r="C175" s="35" t="s">
        <v>416</v>
      </c>
      <c r="D175" s="35" t="s">
        <v>50</v>
      </c>
      <c r="F175" s="40">
        <v>199.52</v>
      </c>
      <c r="K175" s="41"/>
    </row>
    <row r="176" spans="1:76" x14ac:dyDescent="0.25">
      <c r="A176" s="2" t="s">
        <v>417</v>
      </c>
      <c r="B176" s="3" t="s">
        <v>418</v>
      </c>
      <c r="C176" s="76" t="s">
        <v>419</v>
      </c>
      <c r="D176" s="77"/>
      <c r="E176" s="3" t="s">
        <v>56</v>
      </c>
      <c r="F176" s="30">
        <v>3.29</v>
      </c>
      <c r="G176" s="30">
        <v>0</v>
      </c>
      <c r="H176" s="30">
        <f>ROUND(F176*AO176,2)</f>
        <v>0</v>
      </c>
      <c r="I176" s="30">
        <f>ROUND(F176*AP176,2)</f>
        <v>0</v>
      </c>
      <c r="J176" s="30">
        <f>ROUND(F176*G176,2)</f>
        <v>0</v>
      </c>
      <c r="K176" s="42" t="s">
        <v>57</v>
      </c>
      <c r="Z176" s="30">
        <f>ROUND(IF(AQ176="5",BJ176,0),2)</f>
        <v>0</v>
      </c>
      <c r="AB176" s="30">
        <f>ROUND(IF(AQ176="1",BH176,0),2)</f>
        <v>0</v>
      </c>
      <c r="AC176" s="30">
        <f>ROUND(IF(AQ176="1",BI176,0),2)</f>
        <v>0</v>
      </c>
      <c r="AD176" s="30">
        <f>ROUND(IF(AQ176="7",BH176,0),2)</f>
        <v>0</v>
      </c>
      <c r="AE176" s="30">
        <f>ROUND(IF(AQ176="7",BI176,0),2)</f>
        <v>0</v>
      </c>
      <c r="AF176" s="30">
        <f>ROUND(IF(AQ176="2",BH176,0),2)</f>
        <v>0</v>
      </c>
      <c r="AG176" s="30">
        <f>ROUND(IF(AQ176="2",BI176,0),2)</f>
        <v>0</v>
      </c>
      <c r="AH176" s="30">
        <f>ROUND(IF(AQ176="0",BJ176,0),2)</f>
        <v>0</v>
      </c>
      <c r="AI176" s="11" t="s">
        <v>50</v>
      </c>
      <c r="AJ176" s="30">
        <f>IF(AN176=0,J176,0)</f>
        <v>0</v>
      </c>
      <c r="AK176" s="30">
        <f>IF(AN176=12,J176,0)</f>
        <v>0</v>
      </c>
      <c r="AL176" s="30">
        <f>IF(AN176=21,J176,0)</f>
        <v>0</v>
      </c>
      <c r="AN176" s="30">
        <v>21</v>
      </c>
      <c r="AO176" s="30">
        <f>G176*1</f>
        <v>0</v>
      </c>
      <c r="AP176" s="30">
        <f>G176*(1-1)</f>
        <v>0</v>
      </c>
      <c r="AQ176" s="32" t="s">
        <v>85</v>
      </c>
      <c r="AV176" s="30">
        <f>ROUND(AW176+AX176,2)</f>
        <v>0</v>
      </c>
      <c r="AW176" s="30">
        <f>ROUND(F176*AO176,2)</f>
        <v>0</v>
      </c>
      <c r="AX176" s="30">
        <f>ROUND(F176*AP176,2)</f>
        <v>0</v>
      </c>
      <c r="AY176" s="32" t="s">
        <v>404</v>
      </c>
      <c r="AZ176" s="32" t="s">
        <v>405</v>
      </c>
      <c r="BA176" s="11" t="s">
        <v>60</v>
      </c>
      <c r="BC176" s="30">
        <f>AW176+AX176</f>
        <v>0</v>
      </c>
      <c r="BD176" s="30">
        <f>G176/(100-BE176)*100</f>
        <v>0</v>
      </c>
      <c r="BE176" s="30">
        <v>0</v>
      </c>
      <c r="BF176" s="30">
        <f>176</f>
        <v>176</v>
      </c>
      <c r="BH176" s="30">
        <f>F176*AO176</f>
        <v>0</v>
      </c>
      <c r="BI176" s="30">
        <f>F176*AP176</f>
        <v>0</v>
      </c>
      <c r="BJ176" s="30">
        <f>F176*G176</f>
        <v>0</v>
      </c>
      <c r="BK176" s="30"/>
      <c r="BL176" s="30">
        <v>762</v>
      </c>
      <c r="BW176" s="30">
        <v>21</v>
      </c>
      <c r="BX176" s="5" t="s">
        <v>419</v>
      </c>
    </row>
    <row r="177" spans="1:76" x14ac:dyDescent="0.25">
      <c r="A177" s="25" t="s">
        <v>420</v>
      </c>
      <c r="B177" s="26" t="s">
        <v>421</v>
      </c>
      <c r="C177" s="83" t="s">
        <v>422</v>
      </c>
      <c r="D177" s="84"/>
      <c r="E177" s="26" t="s">
        <v>112</v>
      </c>
      <c r="F177" s="28">
        <v>257.56799999999998</v>
      </c>
      <c r="G177" s="28">
        <v>0</v>
      </c>
      <c r="H177" s="28">
        <f>ROUND(F177*AO177,2)</f>
        <v>0</v>
      </c>
      <c r="I177" s="28">
        <f>ROUND(F177*AP177,2)</f>
        <v>0</v>
      </c>
      <c r="J177" s="28">
        <f>ROUND(F177*G177,2)</f>
        <v>0</v>
      </c>
      <c r="K177" s="29" t="s">
        <v>57</v>
      </c>
      <c r="Z177" s="30">
        <f>ROUND(IF(AQ177="5",BJ177,0),2)</f>
        <v>0</v>
      </c>
      <c r="AB177" s="30">
        <f>ROUND(IF(AQ177="1",BH177,0),2)</f>
        <v>0</v>
      </c>
      <c r="AC177" s="30">
        <f>ROUND(IF(AQ177="1",BI177,0),2)</f>
        <v>0</v>
      </c>
      <c r="AD177" s="30">
        <f>ROUND(IF(AQ177="7",BH177,0),2)</f>
        <v>0</v>
      </c>
      <c r="AE177" s="30">
        <f>ROUND(IF(AQ177="7",BI177,0),2)</f>
        <v>0</v>
      </c>
      <c r="AF177" s="30">
        <f>ROUND(IF(AQ177="2",BH177,0),2)</f>
        <v>0</v>
      </c>
      <c r="AG177" s="30">
        <f>ROUND(IF(AQ177="2",BI177,0),2)</f>
        <v>0</v>
      </c>
      <c r="AH177" s="30">
        <f>ROUND(IF(AQ177="0",BJ177,0),2)</f>
        <v>0</v>
      </c>
      <c r="AI177" s="11" t="s">
        <v>50</v>
      </c>
      <c r="AJ177" s="28">
        <f>IF(AN177=0,J177,0)</f>
        <v>0</v>
      </c>
      <c r="AK177" s="28">
        <f>IF(AN177=12,J177,0)</f>
        <v>0</v>
      </c>
      <c r="AL177" s="28">
        <f>IF(AN177=21,J177,0)</f>
        <v>0</v>
      </c>
      <c r="AN177" s="30">
        <v>21</v>
      </c>
      <c r="AO177" s="30">
        <f>G177*0</f>
        <v>0</v>
      </c>
      <c r="AP177" s="30">
        <f>G177*(1-0)</f>
        <v>0</v>
      </c>
      <c r="AQ177" s="31" t="s">
        <v>85</v>
      </c>
      <c r="AV177" s="30">
        <f>ROUND(AW177+AX177,2)</f>
        <v>0</v>
      </c>
      <c r="AW177" s="30">
        <f>ROUND(F177*AO177,2)</f>
        <v>0</v>
      </c>
      <c r="AX177" s="30">
        <f>ROUND(F177*AP177,2)</f>
        <v>0</v>
      </c>
      <c r="AY177" s="32" t="s">
        <v>404</v>
      </c>
      <c r="AZ177" s="32" t="s">
        <v>405</v>
      </c>
      <c r="BA177" s="11" t="s">
        <v>60</v>
      </c>
      <c r="BC177" s="30">
        <f>AW177+AX177</f>
        <v>0</v>
      </c>
      <c r="BD177" s="30">
        <f>G177/(100-BE177)*100</f>
        <v>0</v>
      </c>
      <c r="BE177" s="30">
        <v>0</v>
      </c>
      <c r="BF177" s="30">
        <f>177</f>
        <v>177</v>
      </c>
      <c r="BH177" s="28">
        <f>F177*AO177</f>
        <v>0</v>
      </c>
      <c r="BI177" s="28">
        <f>F177*AP177</f>
        <v>0</v>
      </c>
      <c r="BJ177" s="28">
        <f>F177*G177</f>
        <v>0</v>
      </c>
      <c r="BK177" s="28"/>
      <c r="BL177" s="30">
        <v>762</v>
      </c>
      <c r="BW177" s="30">
        <v>21</v>
      </c>
      <c r="BX177" s="27" t="s">
        <v>422</v>
      </c>
    </row>
    <row r="178" spans="1:76" x14ac:dyDescent="0.25">
      <c r="A178" s="2" t="s">
        <v>423</v>
      </c>
      <c r="B178" s="3" t="s">
        <v>424</v>
      </c>
      <c r="C178" s="76" t="s">
        <v>425</v>
      </c>
      <c r="D178" s="77"/>
      <c r="E178" s="3" t="s">
        <v>112</v>
      </c>
      <c r="F178" s="30">
        <v>270.44639999999998</v>
      </c>
      <c r="G178" s="30">
        <v>0</v>
      </c>
      <c r="H178" s="30">
        <f>ROUND(F178*AO178,2)</f>
        <v>0</v>
      </c>
      <c r="I178" s="30">
        <f>ROUND(F178*AP178,2)</f>
        <v>0</v>
      </c>
      <c r="J178" s="30">
        <f>ROUND(F178*G178,2)</f>
        <v>0</v>
      </c>
      <c r="K178" s="42" t="s">
        <v>57</v>
      </c>
      <c r="Z178" s="30">
        <f>ROUND(IF(AQ178="5",BJ178,0),2)</f>
        <v>0</v>
      </c>
      <c r="AB178" s="30">
        <f>ROUND(IF(AQ178="1",BH178,0),2)</f>
        <v>0</v>
      </c>
      <c r="AC178" s="30">
        <f>ROUND(IF(AQ178="1",BI178,0),2)</f>
        <v>0</v>
      </c>
      <c r="AD178" s="30">
        <f>ROUND(IF(AQ178="7",BH178,0),2)</f>
        <v>0</v>
      </c>
      <c r="AE178" s="30">
        <f>ROUND(IF(AQ178="7",BI178,0),2)</f>
        <v>0</v>
      </c>
      <c r="AF178" s="30">
        <f>ROUND(IF(AQ178="2",BH178,0),2)</f>
        <v>0</v>
      </c>
      <c r="AG178" s="30">
        <f>ROUND(IF(AQ178="2",BI178,0),2)</f>
        <v>0</v>
      </c>
      <c r="AH178" s="30">
        <f>ROUND(IF(AQ178="0",BJ178,0),2)</f>
        <v>0</v>
      </c>
      <c r="AI178" s="11" t="s">
        <v>50</v>
      </c>
      <c r="AJ178" s="30">
        <f>IF(AN178=0,J178,0)</f>
        <v>0</v>
      </c>
      <c r="AK178" s="30">
        <f>IF(AN178=12,J178,0)</f>
        <v>0</v>
      </c>
      <c r="AL178" s="30">
        <f>IF(AN178=21,J178,0)</f>
        <v>0</v>
      </c>
      <c r="AN178" s="30">
        <v>21</v>
      </c>
      <c r="AO178" s="30">
        <f>G178*1</f>
        <v>0</v>
      </c>
      <c r="AP178" s="30">
        <f>G178*(1-1)</f>
        <v>0</v>
      </c>
      <c r="AQ178" s="32" t="s">
        <v>85</v>
      </c>
      <c r="AV178" s="30">
        <f>ROUND(AW178+AX178,2)</f>
        <v>0</v>
      </c>
      <c r="AW178" s="30">
        <f>ROUND(F178*AO178,2)</f>
        <v>0</v>
      </c>
      <c r="AX178" s="30">
        <f>ROUND(F178*AP178,2)</f>
        <v>0</v>
      </c>
      <c r="AY178" s="32" t="s">
        <v>404</v>
      </c>
      <c r="AZ178" s="32" t="s">
        <v>405</v>
      </c>
      <c r="BA178" s="11" t="s">
        <v>60</v>
      </c>
      <c r="BC178" s="30">
        <f>AW178+AX178</f>
        <v>0</v>
      </c>
      <c r="BD178" s="30">
        <f>G178/(100-BE178)*100</f>
        <v>0</v>
      </c>
      <c r="BE178" s="30">
        <v>0</v>
      </c>
      <c r="BF178" s="30">
        <f>178</f>
        <v>178</v>
      </c>
      <c r="BH178" s="30">
        <f>F178*AO178</f>
        <v>0</v>
      </c>
      <c r="BI178" s="30">
        <f>F178*AP178</f>
        <v>0</v>
      </c>
      <c r="BJ178" s="30">
        <f>F178*G178</f>
        <v>0</v>
      </c>
      <c r="BK178" s="30"/>
      <c r="BL178" s="30">
        <v>762</v>
      </c>
      <c r="BW178" s="30">
        <v>21</v>
      </c>
      <c r="BX178" s="5" t="s">
        <v>425</v>
      </c>
    </row>
    <row r="179" spans="1:76" x14ac:dyDescent="0.25">
      <c r="A179" s="33"/>
      <c r="C179" s="35" t="s">
        <v>426</v>
      </c>
      <c r="D179" s="35" t="s">
        <v>50</v>
      </c>
      <c r="F179" s="40">
        <v>257.56799999999998</v>
      </c>
      <c r="K179" s="41"/>
    </row>
    <row r="180" spans="1:76" x14ac:dyDescent="0.25">
      <c r="A180" s="33"/>
      <c r="C180" s="35" t="s">
        <v>427</v>
      </c>
      <c r="D180" s="35" t="s">
        <v>50</v>
      </c>
      <c r="F180" s="40">
        <v>12.878399999999999</v>
      </c>
      <c r="K180" s="41"/>
    </row>
    <row r="181" spans="1:76" x14ac:dyDescent="0.25">
      <c r="A181" s="25" t="s">
        <v>212</v>
      </c>
      <c r="B181" s="26" t="s">
        <v>428</v>
      </c>
      <c r="C181" s="83" t="s">
        <v>429</v>
      </c>
      <c r="D181" s="84"/>
      <c r="E181" s="26" t="s">
        <v>291</v>
      </c>
      <c r="F181" s="28">
        <v>6.5274200000000002</v>
      </c>
      <c r="G181" s="28">
        <v>0</v>
      </c>
      <c r="H181" s="28">
        <f>ROUND(F181*AO181,2)</f>
        <v>0</v>
      </c>
      <c r="I181" s="28">
        <f>ROUND(F181*AP181,2)</f>
        <v>0</v>
      </c>
      <c r="J181" s="28">
        <f>ROUND(F181*G181,2)</f>
        <v>0</v>
      </c>
      <c r="K181" s="29" t="s">
        <v>57</v>
      </c>
      <c r="Z181" s="30">
        <f>ROUND(IF(AQ181="5",BJ181,0),2)</f>
        <v>0</v>
      </c>
      <c r="AB181" s="30">
        <f>ROUND(IF(AQ181="1",BH181,0),2)</f>
        <v>0</v>
      </c>
      <c r="AC181" s="30">
        <f>ROUND(IF(AQ181="1",BI181,0),2)</f>
        <v>0</v>
      </c>
      <c r="AD181" s="30">
        <f>ROUND(IF(AQ181="7",BH181,0),2)</f>
        <v>0</v>
      </c>
      <c r="AE181" s="30">
        <f>ROUND(IF(AQ181="7",BI181,0),2)</f>
        <v>0</v>
      </c>
      <c r="AF181" s="30">
        <f>ROUND(IF(AQ181="2",BH181,0),2)</f>
        <v>0</v>
      </c>
      <c r="AG181" s="30">
        <f>ROUND(IF(AQ181="2",BI181,0),2)</f>
        <v>0</v>
      </c>
      <c r="AH181" s="30">
        <f>ROUND(IF(AQ181="0",BJ181,0),2)</f>
        <v>0</v>
      </c>
      <c r="AI181" s="11" t="s">
        <v>50</v>
      </c>
      <c r="AJ181" s="28">
        <f>IF(AN181=0,J181,0)</f>
        <v>0</v>
      </c>
      <c r="AK181" s="28">
        <f>IF(AN181=12,J181,0)</f>
        <v>0</v>
      </c>
      <c r="AL181" s="28">
        <f>IF(AN181=21,J181,0)</f>
        <v>0</v>
      </c>
      <c r="AN181" s="30">
        <v>21</v>
      </c>
      <c r="AO181" s="30">
        <f>G181*0</f>
        <v>0</v>
      </c>
      <c r="AP181" s="30">
        <f>G181*(1-0)</f>
        <v>0</v>
      </c>
      <c r="AQ181" s="31" t="s">
        <v>79</v>
      </c>
      <c r="AV181" s="30">
        <f>ROUND(AW181+AX181,2)</f>
        <v>0</v>
      </c>
      <c r="AW181" s="30">
        <f>ROUND(F181*AO181,2)</f>
        <v>0</v>
      </c>
      <c r="AX181" s="30">
        <f>ROUND(F181*AP181,2)</f>
        <v>0</v>
      </c>
      <c r="AY181" s="32" t="s">
        <v>404</v>
      </c>
      <c r="AZ181" s="32" t="s">
        <v>405</v>
      </c>
      <c r="BA181" s="11" t="s">
        <v>60</v>
      </c>
      <c r="BC181" s="30">
        <f>AW181+AX181</f>
        <v>0</v>
      </c>
      <c r="BD181" s="30">
        <f>G181/(100-BE181)*100</f>
        <v>0</v>
      </c>
      <c r="BE181" s="30">
        <v>0</v>
      </c>
      <c r="BF181" s="30">
        <f>181</f>
        <v>181</v>
      </c>
      <c r="BH181" s="28">
        <f>F181*AO181</f>
        <v>0</v>
      </c>
      <c r="BI181" s="28">
        <f>F181*AP181</f>
        <v>0</v>
      </c>
      <c r="BJ181" s="28">
        <f>F181*G181</f>
        <v>0</v>
      </c>
      <c r="BK181" s="28"/>
      <c r="BL181" s="30">
        <v>762</v>
      </c>
      <c r="BW181" s="30">
        <v>21</v>
      </c>
      <c r="BX181" s="27" t="s">
        <v>429</v>
      </c>
    </row>
    <row r="182" spans="1:76" x14ac:dyDescent="0.25">
      <c r="A182" s="36" t="s">
        <v>50</v>
      </c>
      <c r="B182" s="37" t="s">
        <v>430</v>
      </c>
      <c r="C182" s="81" t="s">
        <v>431</v>
      </c>
      <c r="D182" s="82"/>
      <c r="E182" s="38" t="s">
        <v>4</v>
      </c>
      <c r="F182" s="38" t="s">
        <v>4</v>
      </c>
      <c r="G182" s="38" t="s">
        <v>4</v>
      </c>
      <c r="H182" s="1">
        <f>SUM(H183:H194)</f>
        <v>0</v>
      </c>
      <c r="I182" s="1">
        <f>SUM(I183:I194)</f>
        <v>0</v>
      </c>
      <c r="J182" s="1">
        <f>SUM(J183:J194)</f>
        <v>0</v>
      </c>
      <c r="K182" s="39" t="s">
        <v>50</v>
      </c>
      <c r="AI182" s="11" t="s">
        <v>50</v>
      </c>
      <c r="AS182" s="1">
        <f>SUM(AJ183:AJ194)</f>
        <v>0</v>
      </c>
      <c r="AT182" s="1">
        <f>SUM(AK183:AK194)</f>
        <v>0</v>
      </c>
      <c r="AU182" s="1">
        <f>SUM(AL183:AL194)</f>
        <v>0</v>
      </c>
    </row>
    <row r="183" spans="1:76" x14ac:dyDescent="0.25">
      <c r="A183" s="25" t="s">
        <v>432</v>
      </c>
      <c r="B183" s="26" t="s">
        <v>433</v>
      </c>
      <c r="C183" s="83" t="s">
        <v>434</v>
      </c>
      <c r="D183" s="84"/>
      <c r="E183" s="26" t="s">
        <v>66</v>
      </c>
      <c r="F183" s="28">
        <v>70.069999999999993</v>
      </c>
      <c r="G183" s="28">
        <v>0</v>
      </c>
      <c r="H183" s="28">
        <f t="shared" ref="H183:H194" si="68">ROUND(F183*AO183,2)</f>
        <v>0</v>
      </c>
      <c r="I183" s="28">
        <f t="shared" ref="I183:I194" si="69">ROUND(F183*AP183,2)</f>
        <v>0</v>
      </c>
      <c r="J183" s="28">
        <f t="shared" ref="J183:J194" si="70">ROUND(F183*G183,2)</f>
        <v>0</v>
      </c>
      <c r="K183" s="29" t="s">
        <v>57</v>
      </c>
      <c r="Z183" s="30">
        <f t="shared" ref="Z183:Z194" si="71">ROUND(IF(AQ183="5",BJ183,0),2)</f>
        <v>0</v>
      </c>
      <c r="AB183" s="30">
        <f t="shared" ref="AB183:AB194" si="72">ROUND(IF(AQ183="1",BH183,0),2)</f>
        <v>0</v>
      </c>
      <c r="AC183" s="30">
        <f t="shared" ref="AC183:AC194" si="73">ROUND(IF(AQ183="1",BI183,0),2)</f>
        <v>0</v>
      </c>
      <c r="AD183" s="30">
        <f t="shared" ref="AD183:AD194" si="74">ROUND(IF(AQ183="7",BH183,0),2)</f>
        <v>0</v>
      </c>
      <c r="AE183" s="30">
        <f t="shared" ref="AE183:AE194" si="75">ROUND(IF(AQ183="7",BI183,0),2)</f>
        <v>0</v>
      </c>
      <c r="AF183" s="30">
        <f t="shared" ref="AF183:AF194" si="76">ROUND(IF(AQ183="2",BH183,0),2)</f>
        <v>0</v>
      </c>
      <c r="AG183" s="30">
        <f t="shared" ref="AG183:AG194" si="77">ROUND(IF(AQ183="2",BI183,0),2)</f>
        <v>0</v>
      </c>
      <c r="AH183" s="30">
        <f t="shared" ref="AH183:AH194" si="78">ROUND(IF(AQ183="0",BJ183,0),2)</f>
        <v>0</v>
      </c>
      <c r="AI183" s="11" t="s">
        <v>50</v>
      </c>
      <c r="AJ183" s="28">
        <f t="shared" ref="AJ183:AJ194" si="79">IF(AN183=0,J183,0)</f>
        <v>0</v>
      </c>
      <c r="AK183" s="28">
        <f t="shared" ref="AK183:AK194" si="80">IF(AN183=12,J183,0)</f>
        <v>0</v>
      </c>
      <c r="AL183" s="28">
        <f t="shared" ref="AL183:AL194" si="81">IF(AN183=21,J183,0)</f>
        <v>0</v>
      </c>
      <c r="AN183" s="30">
        <v>21</v>
      </c>
      <c r="AO183" s="30">
        <f>G183*0</f>
        <v>0</v>
      </c>
      <c r="AP183" s="30">
        <f>G183*(1-0)</f>
        <v>0</v>
      </c>
      <c r="AQ183" s="31" t="s">
        <v>85</v>
      </c>
      <c r="AV183" s="30">
        <f t="shared" ref="AV183:AV194" si="82">ROUND(AW183+AX183,2)</f>
        <v>0</v>
      </c>
      <c r="AW183" s="30">
        <f t="shared" ref="AW183:AW194" si="83">ROUND(F183*AO183,2)</f>
        <v>0</v>
      </c>
      <c r="AX183" s="30">
        <f t="shared" ref="AX183:AX194" si="84">ROUND(F183*AP183,2)</f>
        <v>0</v>
      </c>
      <c r="AY183" s="32" t="s">
        <v>435</v>
      </c>
      <c r="AZ183" s="32" t="s">
        <v>405</v>
      </c>
      <c r="BA183" s="11" t="s">
        <v>60</v>
      </c>
      <c r="BC183" s="30">
        <f t="shared" ref="BC183:BC194" si="85">AW183+AX183</f>
        <v>0</v>
      </c>
      <c r="BD183" s="30">
        <f t="shared" ref="BD183:BD194" si="86">G183/(100-BE183)*100</f>
        <v>0</v>
      </c>
      <c r="BE183" s="30">
        <v>0</v>
      </c>
      <c r="BF183" s="30">
        <f>183</f>
        <v>183</v>
      </c>
      <c r="BH183" s="28">
        <f t="shared" ref="BH183:BH194" si="87">F183*AO183</f>
        <v>0</v>
      </c>
      <c r="BI183" s="28">
        <f t="shared" ref="BI183:BI194" si="88">F183*AP183</f>
        <v>0</v>
      </c>
      <c r="BJ183" s="28">
        <f t="shared" ref="BJ183:BJ194" si="89">F183*G183</f>
        <v>0</v>
      </c>
      <c r="BK183" s="28"/>
      <c r="BL183" s="30">
        <v>764</v>
      </c>
      <c r="BW183" s="30">
        <v>21</v>
      </c>
      <c r="BX183" s="27" t="s">
        <v>434</v>
      </c>
    </row>
    <row r="184" spans="1:76" x14ac:dyDescent="0.25">
      <c r="A184" s="25" t="s">
        <v>436</v>
      </c>
      <c r="B184" s="26" t="s">
        <v>437</v>
      </c>
      <c r="C184" s="83" t="s">
        <v>438</v>
      </c>
      <c r="D184" s="84"/>
      <c r="E184" s="26" t="s">
        <v>66</v>
      </c>
      <c r="F184" s="28">
        <v>45.39</v>
      </c>
      <c r="G184" s="28">
        <v>0</v>
      </c>
      <c r="H184" s="28">
        <f t="shared" si="68"/>
        <v>0</v>
      </c>
      <c r="I184" s="28">
        <f t="shared" si="69"/>
        <v>0</v>
      </c>
      <c r="J184" s="28">
        <f t="shared" si="70"/>
        <v>0</v>
      </c>
      <c r="K184" s="29" t="s">
        <v>57</v>
      </c>
      <c r="Z184" s="30">
        <f t="shared" si="71"/>
        <v>0</v>
      </c>
      <c r="AB184" s="30">
        <f t="shared" si="72"/>
        <v>0</v>
      </c>
      <c r="AC184" s="30">
        <f t="shared" si="73"/>
        <v>0</v>
      </c>
      <c r="AD184" s="30">
        <f t="shared" si="74"/>
        <v>0</v>
      </c>
      <c r="AE184" s="30">
        <f t="shared" si="75"/>
        <v>0</v>
      </c>
      <c r="AF184" s="30">
        <f t="shared" si="76"/>
        <v>0</v>
      </c>
      <c r="AG184" s="30">
        <f t="shared" si="77"/>
        <v>0</v>
      </c>
      <c r="AH184" s="30">
        <f t="shared" si="78"/>
        <v>0</v>
      </c>
      <c r="AI184" s="11" t="s">
        <v>50</v>
      </c>
      <c r="AJ184" s="28">
        <f t="shared" si="79"/>
        <v>0</v>
      </c>
      <c r="AK184" s="28">
        <f t="shared" si="80"/>
        <v>0</v>
      </c>
      <c r="AL184" s="28">
        <f t="shared" si="81"/>
        <v>0</v>
      </c>
      <c r="AN184" s="30">
        <v>21</v>
      </c>
      <c r="AO184" s="30">
        <f>G184*0</f>
        <v>0</v>
      </c>
      <c r="AP184" s="30">
        <f>G184*(1-0)</f>
        <v>0</v>
      </c>
      <c r="AQ184" s="31" t="s">
        <v>85</v>
      </c>
      <c r="AV184" s="30">
        <f t="shared" si="82"/>
        <v>0</v>
      </c>
      <c r="AW184" s="30">
        <f t="shared" si="83"/>
        <v>0</v>
      </c>
      <c r="AX184" s="30">
        <f t="shared" si="84"/>
        <v>0</v>
      </c>
      <c r="AY184" s="32" t="s">
        <v>435</v>
      </c>
      <c r="AZ184" s="32" t="s">
        <v>405</v>
      </c>
      <c r="BA184" s="11" t="s">
        <v>60</v>
      </c>
      <c r="BC184" s="30">
        <f t="shared" si="85"/>
        <v>0</v>
      </c>
      <c r="BD184" s="30">
        <f t="shared" si="86"/>
        <v>0</v>
      </c>
      <c r="BE184" s="30">
        <v>0</v>
      </c>
      <c r="BF184" s="30">
        <f>184</f>
        <v>184</v>
      </c>
      <c r="BH184" s="28">
        <f t="shared" si="87"/>
        <v>0</v>
      </c>
      <c r="BI184" s="28">
        <f t="shared" si="88"/>
        <v>0</v>
      </c>
      <c r="BJ184" s="28">
        <f t="shared" si="89"/>
        <v>0</v>
      </c>
      <c r="BK184" s="28"/>
      <c r="BL184" s="30">
        <v>764</v>
      </c>
      <c r="BW184" s="30">
        <v>21</v>
      </c>
      <c r="BX184" s="27" t="s">
        <v>438</v>
      </c>
    </row>
    <row r="185" spans="1:76" x14ac:dyDescent="0.25">
      <c r="A185" s="25" t="s">
        <v>220</v>
      </c>
      <c r="B185" s="26" t="s">
        <v>439</v>
      </c>
      <c r="C185" s="83" t="s">
        <v>440</v>
      </c>
      <c r="D185" s="84"/>
      <c r="E185" s="26" t="s">
        <v>66</v>
      </c>
      <c r="F185" s="28">
        <v>10</v>
      </c>
      <c r="G185" s="28">
        <v>0</v>
      </c>
      <c r="H185" s="28">
        <f t="shared" si="68"/>
        <v>0</v>
      </c>
      <c r="I185" s="28">
        <f t="shared" si="69"/>
        <v>0</v>
      </c>
      <c r="J185" s="28">
        <f t="shared" si="70"/>
        <v>0</v>
      </c>
      <c r="K185" s="29" t="s">
        <v>57</v>
      </c>
      <c r="Z185" s="30">
        <f t="shared" si="71"/>
        <v>0</v>
      </c>
      <c r="AB185" s="30">
        <f t="shared" si="72"/>
        <v>0</v>
      </c>
      <c r="AC185" s="30">
        <f t="shared" si="73"/>
        <v>0</v>
      </c>
      <c r="AD185" s="30">
        <f t="shared" si="74"/>
        <v>0</v>
      </c>
      <c r="AE185" s="30">
        <f t="shared" si="75"/>
        <v>0</v>
      </c>
      <c r="AF185" s="30">
        <f t="shared" si="76"/>
        <v>0</v>
      </c>
      <c r="AG185" s="30">
        <f t="shared" si="77"/>
        <v>0</v>
      </c>
      <c r="AH185" s="30">
        <f t="shared" si="78"/>
        <v>0</v>
      </c>
      <c r="AI185" s="11" t="s">
        <v>50</v>
      </c>
      <c r="AJ185" s="28">
        <f t="shared" si="79"/>
        <v>0</v>
      </c>
      <c r="AK185" s="28">
        <f t="shared" si="80"/>
        <v>0</v>
      </c>
      <c r="AL185" s="28">
        <f t="shared" si="81"/>
        <v>0</v>
      </c>
      <c r="AN185" s="30">
        <v>21</v>
      </c>
      <c r="AO185" s="30">
        <f>G185*0</f>
        <v>0</v>
      </c>
      <c r="AP185" s="30">
        <f>G185*(1-0)</f>
        <v>0</v>
      </c>
      <c r="AQ185" s="31" t="s">
        <v>85</v>
      </c>
      <c r="AV185" s="30">
        <f t="shared" si="82"/>
        <v>0</v>
      </c>
      <c r="AW185" s="30">
        <f t="shared" si="83"/>
        <v>0</v>
      </c>
      <c r="AX185" s="30">
        <f t="shared" si="84"/>
        <v>0</v>
      </c>
      <c r="AY185" s="32" t="s">
        <v>435</v>
      </c>
      <c r="AZ185" s="32" t="s">
        <v>405</v>
      </c>
      <c r="BA185" s="11" t="s">
        <v>60</v>
      </c>
      <c r="BC185" s="30">
        <f t="shared" si="85"/>
        <v>0</v>
      </c>
      <c r="BD185" s="30">
        <f t="shared" si="86"/>
        <v>0</v>
      </c>
      <c r="BE185" s="30">
        <v>0</v>
      </c>
      <c r="BF185" s="30">
        <f>185</f>
        <v>185</v>
      </c>
      <c r="BH185" s="28">
        <f t="shared" si="87"/>
        <v>0</v>
      </c>
      <c r="BI185" s="28">
        <f t="shared" si="88"/>
        <v>0</v>
      </c>
      <c r="BJ185" s="28">
        <f t="shared" si="89"/>
        <v>0</v>
      </c>
      <c r="BK185" s="28"/>
      <c r="BL185" s="30">
        <v>764</v>
      </c>
      <c r="BW185" s="30">
        <v>21</v>
      </c>
      <c r="BX185" s="27" t="s">
        <v>440</v>
      </c>
    </row>
    <row r="186" spans="1:76" x14ac:dyDescent="0.25">
      <c r="A186" s="25" t="s">
        <v>441</v>
      </c>
      <c r="B186" s="26" t="s">
        <v>442</v>
      </c>
      <c r="C186" s="83" t="s">
        <v>443</v>
      </c>
      <c r="D186" s="84"/>
      <c r="E186" s="26" t="s">
        <v>66</v>
      </c>
      <c r="F186" s="28">
        <v>24</v>
      </c>
      <c r="G186" s="28">
        <v>0</v>
      </c>
      <c r="H186" s="28">
        <f t="shared" si="68"/>
        <v>0</v>
      </c>
      <c r="I186" s="28">
        <f t="shared" si="69"/>
        <v>0</v>
      </c>
      <c r="J186" s="28">
        <f t="shared" si="70"/>
        <v>0</v>
      </c>
      <c r="K186" s="29" t="s">
        <v>57</v>
      </c>
      <c r="Z186" s="30">
        <f t="shared" si="71"/>
        <v>0</v>
      </c>
      <c r="AB186" s="30">
        <f t="shared" si="72"/>
        <v>0</v>
      </c>
      <c r="AC186" s="30">
        <f t="shared" si="73"/>
        <v>0</v>
      </c>
      <c r="AD186" s="30">
        <f t="shared" si="74"/>
        <v>0</v>
      </c>
      <c r="AE186" s="30">
        <f t="shared" si="75"/>
        <v>0</v>
      </c>
      <c r="AF186" s="30">
        <f t="shared" si="76"/>
        <v>0</v>
      </c>
      <c r="AG186" s="30">
        <f t="shared" si="77"/>
        <v>0</v>
      </c>
      <c r="AH186" s="30">
        <f t="shared" si="78"/>
        <v>0</v>
      </c>
      <c r="AI186" s="11" t="s">
        <v>50</v>
      </c>
      <c r="AJ186" s="28">
        <f t="shared" si="79"/>
        <v>0</v>
      </c>
      <c r="AK186" s="28">
        <f t="shared" si="80"/>
        <v>0</v>
      </c>
      <c r="AL186" s="28">
        <f t="shared" si="81"/>
        <v>0</v>
      </c>
      <c r="AN186" s="30">
        <v>21</v>
      </c>
      <c r="AO186" s="30">
        <f>G186*0</f>
        <v>0</v>
      </c>
      <c r="AP186" s="30">
        <f>G186*(1-0)</f>
        <v>0</v>
      </c>
      <c r="AQ186" s="31" t="s">
        <v>85</v>
      </c>
      <c r="AV186" s="30">
        <f t="shared" si="82"/>
        <v>0</v>
      </c>
      <c r="AW186" s="30">
        <f t="shared" si="83"/>
        <v>0</v>
      </c>
      <c r="AX186" s="30">
        <f t="shared" si="84"/>
        <v>0</v>
      </c>
      <c r="AY186" s="32" t="s">
        <v>435</v>
      </c>
      <c r="AZ186" s="32" t="s">
        <v>405</v>
      </c>
      <c r="BA186" s="11" t="s">
        <v>60</v>
      </c>
      <c r="BC186" s="30">
        <f t="shared" si="85"/>
        <v>0</v>
      </c>
      <c r="BD186" s="30">
        <f t="shared" si="86"/>
        <v>0</v>
      </c>
      <c r="BE186" s="30">
        <v>0</v>
      </c>
      <c r="BF186" s="30">
        <f>186</f>
        <v>186</v>
      </c>
      <c r="BH186" s="28">
        <f t="shared" si="87"/>
        <v>0</v>
      </c>
      <c r="BI186" s="28">
        <f t="shared" si="88"/>
        <v>0</v>
      </c>
      <c r="BJ186" s="28">
        <f t="shared" si="89"/>
        <v>0</v>
      </c>
      <c r="BK186" s="28"/>
      <c r="BL186" s="30">
        <v>764</v>
      </c>
      <c r="BW186" s="30">
        <v>21</v>
      </c>
      <c r="BX186" s="27" t="s">
        <v>443</v>
      </c>
    </row>
    <row r="187" spans="1:76" x14ac:dyDescent="0.25">
      <c r="A187" s="25" t="s">
        <v>244</v>
      </c>
      <c r="B187" s="26" t="s">
        <v>444</v>
      </c>
      <c r="C187" s="83" t="s">
        <v>445</v>
      </c>
      <c r="D187" s="84"/>
      <c r="E187" s="26" t="s">
        <v>66</v>
      </c>
      <c r="F187" s="28">
        <v>24</v>
      </c>
      <c r="G187" s="28">
        <v>0</v>
      </c>
      <c r="H187" s="28">
        <f t="shared" si="68"/>
        <v>0</v>
      </c>
      <c r="I187" s="28">
        <f t="shared" si="69"/>
        <v>0</v>
      </c>
      <c r="J187" s="28">
        <f t="shared" si="70"/>
        <v>0</v>
      </c>
      <c r="K187" s="29" t="s">
        <v>57</v>
      </c>
      <c r="Z187" s="30">
        <f t="shared" si="71"/>
        <v>0</v>
      </c>
      <c r="AB187" s="30">
        <f t="shared" si="72"/>
        <v>0</v>
      </c>
      <c r="AC187" s="30">
        <f t="shared" si="73"/>
        <v>0</v>
      </c>
      <c r="AD187" s="30">
        <f t="shared" si="74"/>
        <v>0</v>
      </c>
      <c r="AE187" s="30">
        <f t="shared" si="75"/>
        <v>0</v>
      </c>
      <c r="AF187" s="30">
        <f t="shared" si="76"/>
        <v>0</v>
      </c>
      <c r="AG187" s="30">
        <f t="shared" si="77"/>
        <v>0</v>
      </c>
      <c r="AH187" s="30">
        <f t="shared" si="78"/>
        <v>0</v>
      </c>
      <c r="AI187" s="11" t="s">
        <v>50</v>
      </c>
      <c r="AJ187" s="28">
        <f t="shared" si="79"/>
        <v>0</v>
      </c>
      <c r="AK187" s="28">
        <f t="shared" si="80"/>
        <v>0</v>
      </c>
      <c r="AL187" s="28">
        <f t="shared" si="81"/>
        <v>0</v>
      </c>
      <c r="AN187" s="30">
        <v>21</v>
      </c>
      <c r="AO187" s="30">
        <f>G187*0.413548387</f>
        <v>0</v>
      </c>
      <c r="AP187" s="30">
        <f>G187*(1-0.413548387)</f>
        <v>0</v>
      </c>
      <c r="AQ187" s="31" t="s">
        <v>85</v>
      </c>
      <c r="AV187" s="30">
        <f t="shared" si="82"/>
        <v>0</v>
      </c>
      <c r="AW187" s="30">
        <f t="shared" si="83"/>
        <v>0</v>
      </c>
      <c r="AX187" s="30">
        <f t="shared" si="84"/>
        <v>0</v>
      </c>
      <c r="AY187" s="32" t="s">
        <v>435</v>
      </c>
      <c r="AZ187" s="32" t="s">
        <v>405</v>
      </c>
      <c r="BA187" s="11" t="s">
        <v>60</v>
      </c>
      <c r="BC187" s="30">
        <f t="shared" si="85"/>
        <v>0</v>
      </c>
      <c r="BD187" s="30">
        <f t="shared" si="86"/>
        <v>0</v>
      </c>
      <c r="BE187" s="30">
        <v>0</v>
      </c>
      <c r="BF187" s="30">
        <f>187</f>
        <v>187</v>
      </c>
      <c r="BH187" s="28">
        <f t="shared" si="87"/>
        <v>0</v>
      </c>
      <c r="BI187" s="28">
        <f t="shared" si="88"/>
        <v>0</v>
      </c>
      <c r="BJ187" s="28">
        <f t="shared" si="89"/>
        <v>0</v>
      </c>
      <c r="BK187" s="28"/>
      <c r="BL187" s="30">
        <v>764</v>
      </c>
      <c r="BW187" s="30">
        <v>21</v>
      </c>
      <c r="BX187" s="27" t="s">
        <v>445</v>
      </c>
    </row>
    <row r="188" spans="1:76" x14ac:dyDescent="0.25">
      <c r="A188" s="25" t="s">
        <v>276</v>
      </c>
      <c r="B188" s="26" t="s">
        <v>446</v>
      </c>
      <c r="C188" s="83" t="s">
        <v>447</v>
      </c>
      <c r="D188" s="84"/>
      <c r="E188" s="26" t="s">
        <v>127</v>
      </c>
      <c r="F188" s="28">
        <v>2</v>
      </c>
      <c r="G188" s="28">
        <v>0</v>
      </c>
      <c r="H188" s="28">
        <f t="shared" si="68"/>
        <v>0</v>
      </c>
      <c r="I188" s="28">
        <f t="shared" si="69"/>
        <v>0</v>
      </c>
      <c r="J188" s="28">
        <f t="shared" si="70"/>
        <v>0</v>
      </c>
      <c r="K188" s="29" t="s">
        <v>57</v>
      </c>
      <c r="Z188" s="30">
        <f t="shared" si="71"/>
        <v>0</v>
      </c>
      <c r="AB188" s="30">
        <f t="shared" si="72"/>
        <v>0</v>
      </c>
      <c r="AC188" s="30">
        <f t="shared" si="73"/>
        <v>0</v>
      </c>
      <c r="AD188" s="30">
        <f t="shared" si="74"/>
        <v>0</v>
      </c>
      <c r="AE188" s="30">
        <f t="shared" si="75"/>
        <v>0</v>
      </c>
      <c r="AF188" s="30">
        <f t="shared" si="76"/>
        <v>0</v>
      </c>
      <c r="AG188" s="30">
        <f t="shared" si="77"/>
        <v>0</v>
      </c>
      <c r="AH188" s="30">
        <f t="shared" si="78"/>
        <v>0</v>
      </c>
      <c r="AI188" s="11" t="s">
        <v>50</v>
      </c>
      <c r="AJ188" s="28">
        <f t="shared" si="79"/>
        <v>0</v>
      </c>
      <c r="AK188" s="28">
        <f t="shared" si="80"/>
        <v>0</v>
      </c>
      <c r="AL188" s="28">
        <f t="shared" si="81"/>
        <v>0</v>
      </c>
      <c r="AN188" s="30">
        <v>21</v>
      </c>
      <c r="AO188" s="30">
        <f>G188*0.108063806</f>
        <v>0</v>
      </c>
      <c r="AP188" s="30">
        <f>G188*(1-0.108063806)</f>
        <v>0</v>
      </c>
      <c r="AQ188" s="31" t="s">
        <v>85</v>
      </c>
      <c r="AV188" s="30">
        <f t="shared" si="82"/>
        <v>0</v>
      </c>
      <c r="AW188" s="30">
        <f t="shared" si="83"/>
        <v>0</v>
      </c>
      <c r="AX188" s="30">
        <f t="shared" si="84"/>
        <v>0</v>
      </c>
      <c r="AY188" s="32" t="s">
        <v>435</v>
      </c>
      <c r="AZ188" s="32" t="s">
        <v>405</v>
      </c>
      <c r="BA188" s="11" t="s">
        <v>60</v>
      </c>
      <c r="BC188" s="30">
        <f t="shared" si="85"/>
        <v>0</v>
      </c>
      <c r="BD188" s="30">
        <f t="shared" si="86"/>
        <v>0</v>
      </c>
      <c r="BE188" s="30">
        <v>0</v>
      </c>
      <c r="BF188" s="30">
        <f>188</f>
        <v>188</v>
      </c>
      <c r="BH188" s="28">
        <f t="shared" si="87"/>
        <v>0</v>
      </c>
      <c r="BI188" s="28">
        <f t="shared" si="88"/>
        <v>0</v>
      </c>
      <c r="BJ188" s="28">
        <f t="shared" si="89"/>
        <v>0</v>
      </c>
      <c r="BK188" s="28"/>
      <c r="BL188" s="30">
        <v>764</v>
      </c>
      <c r="BW188" s="30">
        <v>21</v>
      </c>
      <c r="BX188" s="27" t="s">
        <v>447</v>
      </c>
    </row>
    <row r="189" spans="1:76" x14ac:dyDescent="0.25">
      <c r="A189" s="25" t="s">
        <v>448</v>
      </c>
      <c r="B189" s="26" t="s">
        <v>449</v>
      </c>
      <c r="C189" s="83" t="s">
        <v>450</v>
      </c>
      <c r="D189" s="84"/>
      <c r="E189" s="26" t="s">
        <v>66</v>
      </c>
      <c r="F189" s="28">
        <v>10</v>
      </c>
      <c r="G189" s="28">
        <v>0</v>
      </c>
      <c r="H189" s="28">
        <f t="shared" si="68"/>
        <v>0</v>
      </c>
      <c r="I189" s="28">
        <f t="shared" si="69"/>
        <v>0</v>
      </c>
      <c r="J189" s="28">
        <f t="shared" si="70"/>
        <v>0</v>
      </c>
      <c r="K189" s="29" t="s">
        <v>57</v>
      </c>
      <c r="Z189" s="30">
        <f t="shared" si="71"/>
        <v>0</v>
      </c>
      <c r="AB189" s="30">
        <f t="shared" si="72"/>
        <v>0</v>
      </c>
      <c r="AC189" s="30">
        <f t="shared" si="73"/>
        <v>0</v>
      </c>
      <c r="AD189" s="30">
        <f t="shared" si="74"/>
        <v>0</v>
      </c>
      <c r="AE189" s="30">
        <f t="shared" si="75"/>
        <v>0</v>
      </c>
      <c r="AF189" s="30">
        <f t="shared" si="76"/>
        <v>0</v>
      </c>
      <c r="AG189" s="30">
        <f t="shared" si="77"/>
        <v>0</v>
      </c>
      <c r="AH189" s="30">
        <f t="shared" si="78"/>
        <v>0</v>
      </c>
      <c r="AI189" s="11" t="s">
        <v>50</v>
      </c>
      <c r="AJ189" s="28">
        <f t="shared" si="79"/>
        <v>0</v>
      </c>
      <c r="AK189" s="28">
        <f t="shared" si="80"/>
        <v>0</v>
      </c>
      <c r="AL189" s="28">
        <f t="shared" si="81"/>
        <v>0</v>
      </c>
      <c r="AN189" s="30">
        <v>21</v>
      </c>
      <c r="AO189" s="30">
        <f>G189*0.350309278</f>
        <v>0</v>
      </c>
      <c r="AP189" s="30">
        <f>G189*(1-0.350309278)</f>
        <v>0</v>
      </c>
      <c r="AQ189" s="31" t="s">
        <v>85</v>
      </c>
      <c r="AV189" s="30">
        <f t="shared" si="82"/>
        <v>0</v>
      </c>
      <c r="AW189" s="30">
        <f t="shared" si="83"/>
        <v>0</v>
      </c>
      <c r="AX189" s="30">
        <f t="shared" si="84"/>
        <v>0</v>
      </c>
      <c r="AY189" s="32" t="s">
        <v>435</v>
      </c>
      <c r="AZ189" s="32" t="s">
        <v>405</v>
      </c>
      <c r="BA189" s="11" t="s">
        <v>60</v>
      </c>
      <c r="BC189" s="30">
        <f t="shared" si="85"/>
        <v>0</v>
      </c>
      <c r="BD189" s="30">
        <f t="shared" si="86"/>
        <v>0</v>
      </c>
      <c r="BE189" s="30">
        <v>0</v>
      </c>
      <c r="BF189" s="30">
        <f>189</f>
        <v>189</v>
      </c>
      <c r="BH189" s="28">
        <f t="shared" si="87"/>
        <v>0</v>
      </c>
      <c r="BI189" s="28">
        <f t="shared" si="88"/>
        <v>0</v>
      </c>
      <c r="BJ189" s="28">
        <f t="shared" si="89"/>
        <v>0</v>
      </c>
      <c r="BK189" s="28"/>
      <c r="BL189" s="30">
        <v>764</v>
      </c>
      <c r="BW189" s="30">
        <v>21</v>
      </c>
      <c r="BX189" s="27" t="s">
        <v>450</v>
      </c>
    </row>
    <row r="190" spans="1:76" x14ac:dyDescent="0.25">
      <c r="A190" s="25" t="s">
        <v>451</v>
      </c>
      <c r="B190" s="26" t="s">
        <v>452</v>
      </c>
      <c r="C190" s="83" t="s">
        <v>453</v>
      </c>
      <c r="D190" s="84"/>
      <c r="E190" s="26" t="s">
        <v>66</v>
      </c>
      <c r="F190" s="28">
        <v>54.6</v>
      </c>
      <c r="G190" s="28">
        <v>0</v>
      </c>
      <c r="H190" s="28">
        <f t="shared" si="68"/>
        <v>0</v>
      </c>
      <c r="I190" s="28">
        <f t="shared" si="69"/>
        <v>0</v>
      </c>
      <c r="J190" s="28">
        <f t="shared" si="70"/>
        <v>0</v>
      </c>
      <c r="K190" s="29" t="s">
        <v>57</v>
      </c>
      <c r="Z190" s="30">
        <f t="shared" si="71"/>
        <v>0</v>
      </c>
      <c r="AB190" s="30">
        <f t="shared" si="72"/>
        <v>0</v>
      </c>
      <c r="AC190" s="30">
        <f t="shared" si="73"/>
        <v>0</v>
      </c>
      <c r="AD190" s="30">
        <f t="shared" si="74"/>
        <v>0</v>
      </c>
      <c r="AE190" s="30">
        <f t="shared" si="75"/>
        <v>0</v>
      </c>
      <c r="AF190" s="30">
        <f t="shared" si="76"/>
        <v>0</v>
      </c>
      <c r="AG190" s="30">
        <f t="shared" si="77"/>
        <v>0</v>
      </c>
      <c r="AH190" s="30">
        <f t="shared" si="78"/>
        <v>0</v>
      </c>
      <c r="AI190" s="11" t="s">
        <v>50</v>
      </c>
      <c r="AJ190" s="28">
        <f t="shared" si="79"/>
        <v>0</v>
      </c>
      <c r="AK190" s="28">
        <f t="shared" si="80"/>
        <v>0</v>
      </c>
      <c r="AL190" s="28">
        <f t="shared" si="81"/>
        <v>0</v>
      </c>
      <c r="AN190" s="30">
        <v>21</v>
      </c>
      <c r="AO190" s="30">
        <f>G190*0.288201957</f>
        <v>0</v>
      </c>
      <c r="AP190" s="30">
        <f>G190*(1-0.288201957)</f>
        <v>0</v>
      </c>
      <c r="AQ190" s="31" t="s">
        <v>85</v>
      </c>
      <c r="AV190" s="30">
        <f t="shared" si="82"/>
        <v>0</v>
      </c>
      <c r="AW190" s="30">
        <f t="shared" si="83"/>
        <v>0</v>
      </c>
      <c r="AX190" s="30">
        <f t="shared" si="84"/>
        <v>0</v>
      </c>
      <c r="AY190" s="32" t="s">
        <v>435</v>
      </c>
      <c r="AZ190" s="32" t="s">
        <v>405</v>
      </c>
      <c r="BA190" s="11" t="s">
        <v>60</v>
      </c>
      <c r="BC190" s="30">
        <f t="shared" si="85"/>
        <v>0</v>
      </c>
      <c r="BD190" s="30">
        <f t="shared" si="86"/>
        <v>0</v>
      </c>
      <c r="BE190" s="30">
        <v>0</v>
      </c>
      <c r="BF190" s="30">
        <f>190</f>
        <v>190</v>
      </c>
      <c r="BH190" s="28">
        <f t="shared" si="87"/>
        <v>0</v>
      </c>
      <c r="BI190" s="28">
        <f t="shared" si="88"/>
        <v>0</v>
      </c>
      <c r="BJ190" s="28">
        <f t="shared" si="89"/>
        <v>0</v>
      </c>
      <c r="BK190" s="28"/>
      <c r="BL190" s="30">
        <v>764</v>
      </c>
      <c r="BW190" s="30">
        <v>21</v>
      </c>
      <c r="BX190" s="27" t="s">
        <v>453</v>
      </c>
    </row>
    <row r="191" spans="1:76" x14ac:dyDescent="0.25">
      <c r="A191" s="25" t="s">
        <v>454</v>
      </c>
      <c r="B191" s="26" t="s">
        <v>455</v>
      </c>
      <c r="C191" s="83" t="s">
        <v>456</v>
      </c>
      <c r="D191" s="84"/>
      <c r="E191" s="26" t="s">
        <v>66</v>
      </c>
      <c r="F191" s="28">
        <v>182.5</v>
      </c>
      <c r="G191" s="28">
        <v>0</v>
      </c>
      <c r="H191" s="28">
        <f t="shared" si="68"/>
        <v>0</v>
      </c>
      <c r="I191" s="28">
        <f t="shared" si="69"/>
        <v>0</v>
      </c>
      <c r="J191" s="28">
        <f t="shared" si="70"/>
        <v>0</v>
      </c>
      <c r="K191" s="29" t="s">
        <v>50</v>
      </c>
      <c r="Z191" s="30">
        <f t="shared" si="71"/>
        <v>0</v>
      </c>
      <c r="AB191" s="30">
        <f t="shared" si="72"/>
        <v>0</v>
      </c>
      <c r="AC191" s="30">
        <f t="shared" si="73"/>
        <v>0</v>
      </c>
      <c r="AD191" s="30">
        <f t="shared" si="74"/>
        <v>0</v>
      </c>
      <c r="AE191" s="30">
        <f t="shared" si="75"/>
        <v>0</v>
      </c>
      <c r="AF191" s="30">
        <f t="shared" si="76"/>
        <v>0</v>
      </c>
      <c r="AG191" s="30">
        <f t="shared" si="77"/>
        <v>0</v>
      </c>
      <c r="AH191" s="30">
        <f t="shared" si="78"/>
        <v>0</v>
      </c>
      <c r="AI191" s="11" t="s">
        <v>50</v>
      </c>
      <c r="AJ191" s="28">
        <f t="shared" si="79"/>
        <v>0</v>
      </c>
      <c r="AK191" s="28">
        <f t="shared" si="80"/>
        <v>0</v>
      </c>
      <c r="AL191" s="28">
        <f t="shared" si="81"/>
        <v>0</v>
      </c>
      <c r="AN191" s="30">
        <v>21</v>
      </c>
      <c r="AO191" s="30">
        <f>G191*0</f>
        <v>0</v>
      </c>
      <c r="AP191" s="30">
        <f>G191*(1-0)</f>
        <v>0</v>
      </c>
      <c r="AQ191" s="31" t="s">
        <v>85</v>
      </c>
      <c r="AV191" s="30">
        <f t="shared" si="82"/>
        <v>0</v>
      </c>
      <c r="AW191" s="30">
        <f t="shared" si="83"/>
        <v>0</v>
      </c>
      <c r="AX191" s="30">
        <f t="shared" si="84"/>
        <v>0</v>
      </c>
      <c r="AY191" s="32" t="s">
        <v>435</v>
      </c>
      <c r="AZ191" s="32" t="s">
        <v>405</v>
      </c>
      <c r="BA191" s="11" t="s">
        <v>60</v>
      </c>
      <c r="BC191" s="30">
        <f t="shared" si="85"/>
        <v>0</v>
      </c>
      <c r="BD191" s="30">
        <f t="shared" si="86"/>
        <v>0</v>
      </c>
      <c r="BE191" s="30">
        <v>0</v>
      </c>
      <c r="BF191" s="30">
        <f>191</f>
        <v>191</v>
      </c>
      <c r="BH191" s="28">
        <f t="shared" si="87"/>
        <v>0</v>
      </c>
      <c r="BI191" s="28">
        <f t="shared" si="88"/>
        <v>0</v>
      </c>
      <c r="BJ191" s="28">
        <f t="shared" si="89"/>
        <v>0</v>
      </c>
      <c r="BK191" s="28"/>
      <c r="BL191" s="30">
        <v>764</v>
      </c>
      <c r="BW191" s="30">
        <v>21</v>
      </c>
      <c r="BX191" s="27" t="s">
        <v>456</v>
      </c>
    </row>
    <row r="192" spans="1:76" x14ac:dyDescent="0.25">
      <c r="A192" s="25" t="s">
        <v>457</v>
      </c>
      <c r="B192" s="26" t="s">
        <v>458</v>
      </c>
      <c r="C192" s="83" t="s">
        <v>459</v>
      </c>
      <c r="D192" s="84"/>
      <c r="E192" s="26" t="s">
        <v>66</v>
      </c>
      <c r="F192" s="28">
        <v>119.2</v>
      </c>
      <c r="G192" s="28">
        <v>0</v>
      </c>
      <c r="H192" s="28">
        <f t="shared" si="68"/>
        <v>0</v>
      </c>
      <c r="I192" s="28">
        <f t="shared" si="69"/>
        <v>0</v>
      </c>
      <c r="J192" s="28">
        <f t="shared" si="70"/>
        <v>0</v>
      </c>
      <c r="K192" s="29" t="s">
        <v>50</v>
      </c>
      <c r="Z192" s="30">
        <f t="shared" si="71"/>
        <v>0</v>
      </c>
      <c r="AB192" s="30">
        <f t="shared" si="72"/>
        <v>0</v>
      </c>
      <c r="AC192" s="30">
        <f t="shared" si="73"/>
        <v>0</v>
      </c>
      <c r="AD192" s="30">
        <f t="shared" si="74"/>
        <v>0</v>
      </c>
      <c r="AE192" s="30">
        <f t="shared" si="75"/>
        <v>0</v>
      </c>
      <c r="AF192" s="30">
        <f t="shared" si="76"/>
        <v>0</v>
      </c>
      <c r="AG192" s="30">
        <f t="shared" si="77"/>
        <v>0</v>
      </c>
      <c r="AH192" s="30">
        <f t="shared" si="78"/>
        <v>0</v>
      </c>
      <c r="AI192" s="11" t="s">
        <v>50</v>
      </c>
      <c r="AJ192" s="28">
        <f t="shared" si="79"/>
        <v>0</v>
      </c>
      <c r="AK192" s="28">
        <f t="shared" si="80"/>
        <v>0</v>
      </c>
      <c r="AL192" s="28">
        <f t="shared" si="81"/>
        <v>0</v>
      </c>
      <c r="AN192" s="30">
        <v>21</v>
      </c>
      <c r="AO192" s="30">
        <f>G192*0</f>
        <v>0</v>
      </c>
      <c r="AP192" s="30">
        <f>G192*(1-0)</f>
        <v>0</v>
      </c>
      <c r="AQ192" s="31" t="s">
        <v>85</v>
      </c>
      <c r="AV192" s="30">
        <f t="shared" si="82"/>
        <v>0</v>
      </c>
      <c r="AW192" s="30">
        <f t="shared" si="83"/>
        <v>0</v>
      </c>
      <c r="AX192" s="30">
        <f t="shared" si="84"/>
        <v>0</v>
      </c>
      <c r="AY192" s="32" t="s">
        <v>435</v>
      </c>
      <c r="AZ192" s="32" t="s">
        <v>405</v>
      </c>
      <c r="BA192" s="11" t="s">
        <v>60</v>
      </c>
      <c r="BC192" s="30">
        <f t="shared" si="85"/>
        <v>0</v>
      </c>
      <c r="BD192" s="30">
        <f t="shared" si="86"/>
        <v>0</v>
      </c>
      <c r="BE192" s="30">
        <v>0</v>
      </c>
      <c r="BF192" s="30">
        <f>192</f>
        <v>192</v>
      </c>
      <c r="BH192" s="28">
        <f t="shared" si="87"/>
        <v>0</v>
      </c>
      <c r="BI192" s="28">
        <f t="shared" si="88"/>
        <v>0</v>
      </c>
      <c r="BJ192" s="28">
        <f t="shared" si="89"/>
        <v>0</v>
      </c>
      <c r="BK192" s="28"/>
      <c r="BL192" s="30">
        <v>764</v>
      </c>
      <c r="BW192" s="30">
        <v>21</v>
      </c>
      <c r="BX192" s="27" t="s">
        <v>459</v>
      </c>
    </row>
    <row r="193" spans="1:76" x14ac:dyDescent="0.25">
      <c r="A193" s="25" t="s">
        <v>460</v>
      </c>
      <c r="B193" s="26" t="s">
        <v>461</v>
      </c>
      <c r="C193" s="83" t="s">
        <v>462</v>
      </c>
      <c r="D193" s="84"/>
      <c r="E193" s="26" t="s">
        <v>127</v>
      </c>
      <c r="F193" s="28">
        <v>2</v>
      </c>
      <c r="G193" s="28">
        <v>0</v>
      </c>
      <c r="H193" s="28">
        <f t="shared" si="68"/>
        <v>0</v>
      </c>
      <c r="I193" s="28">
        <f t="shared" si="69"/>
        <v>0</v>
      </c>
      <c r="J193" s="28">
        <f t="shared" si="70"/>
        <v>0</v>
      </c>
      <c r="K193" s="29" t="s">
        <v>50</v>
      </c>
      <c r="Z193" s="30">
        <f t="shared" si="71"/>
        <v>0</v>
      </c>
      <c r="AB193" s="30">
        <f t="shared" si="72"/>
        <v>0</v>
      </c>
      <c r="AC193" s="30">
        <f t="shared" si="73"/>
        <v>0</v>
      </c>
      <c r="AD193" s="30">
        <f t="shared" si="74"/>
        <v>0</v>
      </c>
      <c r="AE193" s="30">
        <f t="shared" si="75"/>
        <v>0</v>
      </c>
      <c r="AF193" s="30">
        <f t="shared" si="76"/>
        <v>0</v>
      </c>
      <c r="AG193" s="30">
        <f t="shared" si="77"/>
        <v>0</v>
      </c>
      <c r="AH193" s="30">
        <f t="shared" si="78"/>
        <v>0</v>
      </c>
      <c r="AI193" s="11" t="s">
        <v>50</v>
      </c>
      <c r="AJ193" s="28">
        <f t="shared" si="79"/>
        <v>0</v>
      </c>
      <c r="AK193" s="28">
        <f t="shared" si="80"/>
        <v>0</v>
      </c>
      <c r="AL193" s="28">
        <f t="shared" si="81"/>
        <v>0</v>
      </c>
      <c r="AN193" s="30">
        <v>21</v>
      </c>
      <c r="AO193" s="30">
        <f>G193*0</f>
        <v>0</v>
      </c>
      <c r="AP193" s="30">
        <f>G193*(1-0)</f>
        <v>0</v>
      </c>
      <c r="AQ193" s="31" t="s">
        <v>85</v>
      </c>
      <c r="AV193" s="30">
        <f t="shared" si="82"/>
        <v>0</v>
      </c>
      <c r="AW193" s="30">
        <f t="shared" si="83"/>
        <v>0</v>
      </c>
      <c r="AX193" s="30">
        <f t="shared" si="84"/>
        <v>0</v>
      </c>
      <c r="AY193" s="32" t="s">
        <v>435</v>
      </c>
      <c r="AZ193" s="32" t="s">
        <v>405</v>
      </c>
      <c r="BA193" s="11" t="s">
        <v>60</v>
      </c>
      <c r="BC193" s="30">
        <f t="shared" si="85"/>
        <v>0</v>
      </c>
      <c r="BD193" s="30">
        <f t="shared" si="86"/>
        <v>0</v>
      </c>
      <c r="BE193" s="30">
        <v>0</v>
      </c>
      <c r="BF193" s="30">
        <f>193</f>
        <v>193</v>
      </c>
      <c r="BH193" s="28">
        <f t="shared" si="87"/>
        <v>0</v>
      </c>
      <c r="BI193" s="28">
        <f t="shared" si="88"/>
        <v>0</v>
      </c>
      <c r="BJ193" s="28">
        <f t="shared" si="89"/>
        <v>0</v>
      </c>
      <c r="BK193" s="28"/>
      <c r="BL193" s="30">
        <v>764</v>
      </c>
      <c r="BW193" s="30">
        <v>21</v>
      </c>
      <c r="BX193" s="27" t="s">
        <v>462</v>
      </c>
    </row>
    <row r="194" spans="1:76" x14ac:dyDescent="0.25">
      <c r="A194" s="25" t="s">
        <v>463</v>
      </c>
      <c r="B194" s="26" t="s">
        <v>464</v>
      </c>
      <c r="C194" s="83" t="s">
        <v>465</v>
      </c>
      <c r="D194" s="84"/>
      <c r="E194" s="26" t="s">
        <v>291</v>
      </c>
      <c r="F194" s="28">
        <v>1.19807</v>
      </c>
      <c r="G194" s="28">
        <v>0</v>
      </c>
      <c r="H194" s="28">
        <f t="shared" si="68"/>
        <v>0</v>
      </c>
      <c r="I194" s="28">
        <f t="shared" si="69"/>
        <v>0</v>
      </c>
      <c r="J194" s="28">
        <f t="shared" si="70"/>
        <v>0</v>
      </c>
      <c r="K194" s="29" t="s">
        <v>57</v>
      </c>
      <c r="Z194" s="30">
        <f t="shared" si="71"/>
        <v>0</v>
      </c>
      <c r="AB194" s="30">
        <f t="shared" si="72"/>
        <v>0</v>
      </c>
      <c r="AC194" s="30">
        <f t="shared" si="73"/>
        <v>0</v>
      </c>
      <c r="AD194" s="30">
        <f t="shared" si="74"/>
        <v>0</v>
      </c>
      <c r="AE194" s="30">
        <f t="shared" si="75"/>
        <v>0</v>
      </c>
      <c r="AF194" s="30">
        <f t="shared" si="76"/>
        <v>0</v>
      </c>
      <c r="AG194" s="30">
        <f t="shared" si="77"/>
        <v>0</v>
      </c>
      <c r="AH194" s="30">
        <f t="shared" si="78"/>
        <v>0</v>
      </c>
      <c r="AI194" s="11" t="s">
        <v>50</v>
      </c>
      <c r="AJ194" s="28">
        <f t="shared" si="79"/>
        <v>0</v>
      </c>
      <c r="AK194" s="28">
        <f t="shared" si="80"/>
        <v>0</v>
      </c>
      <c r="AL194" s="28">
        <f t="shared" si="81"/>
        <v>0</v>
      </c>
      <c r="AN194" s="30">
        <v>21</v>
      </c>
      <c r="AO194" s="30">
        <f>G194*0</f>
        <v>0</v>
      </c>
      <c r="AP194" s="30">
        <f>G194*(1-0)</f>
        <v>0</v>
      </c>
      <c r="AQ194" s="31" t="s">
        <v>79</v>
      </c>
      <c r="AV194" s="30">
        <f t="shared" si="82"/>
        <v>0</v>
      </c>
      <c r="AW194" s="30">
        <f t="shared" si="83"/>
        <v>0</v>
      </c>
      <c r="AX194" s="30">
        <f t="shared" si="84"/>
        <v>0</v>
      </c>
      <c r="AY194" s="32" t="s">
        <v>435</v>
      </c>
      <c r="AZ194" s="32" t="s">
        <v>405</v>
      </c>
      <c r="BA194" s="11" t="s">
        <v>60</v>
      </c>
      <c r="BC194" s="30">
        <f t="shared" si="85"/>
        <v>0</v>
      </c>
      <c r="BD194" s="30">
        <f t="shared" si="86"/>
        <v>0</v>
      </c>
      <c r="BE194" s="30">
        <v>0</v>
      </c>
      <c r="BF194" s="30">
        <f>194</f>
        <v>194</v>
      </c>
      <c r="BH194" s="28">
        <f t="shared" si="87"/>
        <v>0</v>
      </c>
      <c r="BI194" s="28">
        <f t="shared" si="88"/>
        <v>0</v>
      </c>
      <c r="BJ194" s="28">
        <f t="shared" si="89"/>
        <v>0</v>
      </c>
      <c r="BK194" s="28"/>
      <c r="BL194" s="30">
        <v>764</v>
      </c>
      <c r="BW194" s="30">
        <v>21</v>
      </c>
      <c r="BX194" s="27" t="s">
        <v>465</v>
      </c>
    </row>
    <row r="195" spans="1:76" x14ac:dyDescent="0.25">
      <c r="A195" s="36" t="s">
        <v>50</v>
      </c>
      <c r="B195" s="37" t="s">
        <v>466</v>
      </c>
      <c r="C195" s="81" t="s">
        <v>467</v>
      </c>
      <c r="D195" s="82"/>
      <c r="E195" s="38" t="s">
        <v>4</v>
      </c>
      <c r="F195" s="38" t="s">
        <v>4</v>
      </c>
      <c r="G195" s="38" t="s">
        <v>4</v>
      </c>
      <c r="H195" s="1">
        <f>SUM(H196:H196)</f>
        <v>0</v>
      </c>
      <c r="I195" s="1">
        <f>SUM(I196:I196)</f>
        <v>0</v>
      </c>
      <c r="J195" s="1">
        <f>SUM(J196:J196)</f>
        <v>0</v>
      </c>
      <c r="K195" s="39" t="s">
        <v>50</v>
      </c>
      <c r="AI195" s="11" t="s">
        <v>50</v>
      </c>
      <c r="AS195" s="1">
        <f>SUM(AJ196:AJ196)</f>
        <v>0</v>
      </c>
      <c r="AT195" s="1">
        <f>SUM(AK196:AK196)</f>
        <v>0</v>
      </c>
      <c r="AU195" s="1">
        <f>SUM(AL196:AL196)</f>
        <v>0</v>
      </c>
    </row>
    <row r="196" spans="1:76" ht="13.5" customHeight="1" x14ac:dyDescent="0.25">
      <c r="A196" s="25" t="s">
        <v>468</v>
      </c>
      <c r="B196" s="26" t="s">
        <v>469</v>
      </c>
      <c r="C196" s="83" t="s">
        <v>547</v>
      </c>
      <c r="D196" s="84"/>
      <c r="E196" s="26" t="s">
        <v>471</v>
      </c>
      <c r="F196" s="28">
        <v>1</v>
      </c>
      <c r="G196" s="28">
        <v>0</v>
      </c>
      <c r="H196" s="28">
        <f>ROUND(F196*AO196,2)</f>
        <v>0</v>
      </c>
      <c r="I196" s="28">
        <f>ROUND(F196*AP196,2)</f>
        <v>0</v>
      </c>
      <c r="J196" s="28">
        <f>ROUND(F196*G196,2)</f>
        <v>0</v>
      </c>
      <c r="K196" s="29" t="s">
        <v>50</v>
      </c>
      <c r="Z196" s="30">
        <f>ROUND(IF(AQ196="5",BJ196,0),2)</f>
        <v>0</v>
      </c>
      <c r="AB196" s="30">
        <f>ROUND(IF(AQ196="1",BH196,0),2)</f>
        <v>0</v>
      </c>
      <c r="AC196" s="30">
        <f>ROUND(IF(AQ196="1",BI196,0),2)</f>
        <v>0</v>
      </c>
      <c r="AD196" s="30">
        <f>ROUND(IF(AQ196="7",BH196,0),2)</f>
        <v>0</v>
      </c>
      <c r="AE196" s="30">
        <f>ROUND(IF(AQ196="7",BI196,0),2)</f>
        <v>0</v>
      </c>
      <c r="AF196" s="30">
        <f>ROUND(IF(AQ196="2",BH196,0),2)</f>
        <v>0</v>
      </c>
      <c r="AG196" s="30">
        <f>ROUND(IF(AQ196="2",BI196,0),2)</f>
        <v>0</v>
      </c>
      <c r="AH196" s="30">
        <f>ROUND(IF(AQ196="0",BJ196,0),2)</f>
        <v>0</v>
      </c>
      <c r="AI196" s="11" t="s">
        <v>50</v>
      </c>
      <c r="AJ196" s="28">
        <f>IF(AN196=0,J196,0)</f>
        <v>0</v>
      </c>
      <c r="AK196" s="28">
        <f>IF(AN196=12,J196,0)</f>
        <v>0</v>
      </c>
      <c r="AL196" s="28">
        <f>IF(AN196=21,J196,0)</f>
        <v>0</v>
      </c>
      <c r="AN196" s="30">
        <v>21</v>
      </c>
      <c r="AO196" s="30">
        <f>G196*0</f>
        <v>0</v>
      </c>
      <c r="AP196" s="30">
        <f>G196*(1-0)</f>
        <v>0</v>
      </c>
      <c r="AQ196" s="31" t="s">
        <v>85</v>
      </c>
      <c r="AV196" s="30">
        <f>ROUND(AW196+AX196,2)</f>
        <v>0</v>
      </c>
      <c r="AW196" s="30">
        <f>ROUND(F196*AO196,2)</f>
        <v>0</v>
      </c>
      <c r="AX196" s="30">
        <f>ROUND(F196*AP196,2)</f>
        <v>0</v>
      </c>
      <c r="AY196" s="32" t="s">
        <v>472</v>
      </c>
      <c r="AZ196" s="32" t="s">
        <v>405</v>
      </c>
      <c r="BA196" s="11" t="s">
        <v>60</v>
      </c>
      <c r="BC196" s="30">
        <f>AW196+AX196</f>
        <v>0</v>
      </c>
      <c r="BD196" s="30">
        <f>G196/(100-BE196)*100</f>
        <v>0</v>
      </c>
      <c r="BE196" s="30">
        <v>0</v>
      </c>
      <c r="BF196" s="30">
        <f>196</f>
        <v>196</v>
      </c>
      <c r="BH196" s="28">
        <f>F196*AO196</f>
        <v>0</v>
      </c>
      <c r="BI196" s="28">
        <f>F196*AP196</f>
        <v>0</v>
      </c>
      <c r="BJ196" s="28">
        <f>F196*G196</f>
        <v>0</v>
      </c>
      <c r="BK196" s="28"/>
      <c r="BL196" s="30">
        <v>766</v>
      </c>
      <c r="BW196" s="30">
        <v>21</v>
      </c>
      <c r="BX196" s="27" t="s">
        <v>470</v>
      </c>
    </row>
    <row r="197" spans="1:76" ht="13.5" customHeight="1" x14ac:dyDescent="0.25">
      <c r="A197" s="33"/>
      <c r="B197" s="34"/>
      <c r="C197" s="78" t="s">
        <v>473</v>
      </c>
      <c r="D197" s="79"/>
      <c r="E197" s="79"/>
      <c r="F197" s="79"/>
      <c r="G197" s="79"/>
      <c r="H197" s="79"/>
      <c r="I197" s="79"/>
      <c r="J197" s="79"/>
      <c r="K197" s="80"/>
    </row>
    <row r="198" spans="1:76" x14ac:dyDescent="0.25">
      <c r="A198" s="36" t="s">
        <v>50</v>
      </c>
      <c r="B198" s="37" t="s">
        <v>474</v>
      </c>
      <c r="C198" s="81" t="s">
        <v>475</v>
      </c>
      <c r="D198" s="82"/>
      <c r="E198" s="38" t="s">
        <v>4</v>
      </c>
      <c r="F198" s="38" t="s">
        <v>4</v>
      </c>
      <c r="G198" s="38" t="s">
        <v>4</v>
      </c>
      <c r="H198" s="1">
        <f>SUM(H199:H200)</f>
        <v>0</v>
      </c>
      <c r="I198" s="1">
        <f>SUM(I199:I200)</f>
        <v>0</v>
      </c>
      <c r="J198" s="1">
        <f>SUM(J199:J200)</f>
        <v>0</v>
      </c>
      <c r="K198" s="39" t="s">
        <v>50</v>
      </c>
      <c r="AI198" s="11" t="s">
        <v>50</v>
      </c>
      <c r="AS198" s="1">
        <f>SUM(AJ199:AJ200)</f>
        <v>0</v>
      </c>
      <c r="AT198" s="1">
        <f>SUM(AK199:AK200)</f>
        <v>0</v>
      </c>
      <c r="AU198" s="1">
        <f>SUM(AL199:AL200)</f>
        <v>0</v>
      </c>
    </row>
    <row r="199" spans="1:76" x14ac:dyDescent="0.25">
      <c r="A199" s="25" t="s">
        <v>476</v>
      </c>
      <c r="B199" s="26" t="s">
        <v>477</v>
      </c>
      <c r="C199" s="83" t="s">
        <v>478</v>
      </c>
      <c r="D199" s="84"/>
      <c r="E199" s="26" t="s">
        <v>479</v>
      </c>
      <c r="F199" s="28">
        <v>758.5</v>
      </c>
      <c r="G199" s="28">
        <v>0</v>
      </c>
      <c r="H199" s="28">
        <f>ROUND(F199*AO199,2)</f>
        <v>0</v>
      </c>
      <c r="I199" s="28">
        <f>ROUND(F199*AP199,2)</f>
        <v>0</v>
      </c>
      <c r="J199" s="28">
        <f>ROUND(F199*G199,2)</f>
        <v>0</v>
      </c>
      <c r="K199" s="29" t="s">
        <v>50</v>
      </c>
      <c r="Z199" s="30">
        <f>ROUND(IF(AQ199="5",BJ199,0),2)</f>
        <v>0</v>
      </c>
      <c r="AB199" s="30">
        <f>ROUND(IF(AQ199="1",BH199,0),2)</f>
        <v>0</v>
      </c>
      <c r="AC199" s="30">
        <f>ROUND(IF(AQ199="1",BI199,0),2)</f>
        <v>0</v>
      </c>
      <c r="AD199" s="30">
        <f>ROUND(IF(AQ199="7",BH199,0),2)</f>
        <v>0</v>
      </c>
      <c r="AE199" s="30">
        <f>ROUND(IF(AQ199="7",BI199,0),2)</f>
        <v>0</v>
      </c>
      <c r="AF199" s="30">
        <f>ROUND(IF(AQ199="2",BH199,0),2)</f>
        <v>0</v>
      </c>
      <c r="AG199" s="30">
        <f>ROUND(IF(AQ199="2",BI199,0),2)</f>
        <v>0</v>
      </c>
      <c r="AH199" s="30">
        <f>ROUND(IF(AQ199="0",BJ199,0),2)</f>
        <v>0</v>
      </c>
      <c r="AI199" s="11" t="s">
        <v>50</v>
      </c>
      <c r="AJ199" s="28">
        <f>IF(AN199=0,J199,0)</f>
        <v>0</v>
      </c>
      <c r="AK199" s="28">
        <f>IF(AN199=12,J199,0)</f>
        <v>0</v>
      </c>
      <c r="AL199" s="28">
        <f>IF(AN199=21,J199,0)</f>
        <v>0</v>
      </c>
      <c r="AN199" s="30">
        <v>21</v>
      </c>
      <c r="AO199" s="30">
        <f>G199*0</f>
        <v>0</v>
      </c>
      <c r="AP199" s="30">
        <f>G199*(1-0)</f>
        <v>0</v>
      </c>
      <c r="AQ199" s="31" t="s">
        <v>85</v>
      </c>
      <c r="AV199" s="30">
        <f>ROUND(AW199+AX199,2)</f>
        <v>0</v>
      </c>
      <c r="AW199" s="30">
        <f>ROUND(F199*AO199,2)</f>
        <v>0</v>
      </c>
      <c r="AX199" s="30">
        <f>ROUND(F199*AP199,2)</f>
        <v>0</v>
      </c>
      <c r="AY199" s="32" t="s">
        <v>480</v>
      </c>
      <c r="AZ199" s="32" t="s">
        <v>405</v>
      </c>
      <c r="BA199" s="11" t="s">
        <v>60</v>
      </c>
      <c r="BC199" s="30">
        <f>AW199+AX199</f>
        <v>0</v>
      </c>
      <c r="BD199" s="30">
        <f>G199/(100-BE199)*100</f>
        <v>0</v>
      </c>
      <c r="BE199" s="30">
        <v>0</v>
      </c>
      <c r="BF199" s="30">
        <f>199</f>
        <v>199</v>
      </c>
      <c r="BH199" s="28">
        <f>F199*AO199</f>
        <v>0</v>
      </c>
      <c r="BI199" s="28">
        <f>F199*AP199</f>
        <v>0</v>
      </c>
      <c r="BJ199" s="28">
        <f>F199*G199</f>
        <v>0</v>
      </c>
      <c r="BK199" s="28"/>
      <c r="BL199" s="30">
        <v>767</v>
      </c>
      <c r="BW199" s="30">
        <v>21</v>
      </c>
      <c r="BX199" s="27" t="s">
        <v>478</v>
      </c>
    </row>
    <row r="200" spans="1:76" x14ac:dyDescent="0.25">
      <c r="A200" s="43" t="s">
        <v>481</v>
      </c>
      <c r="B200" s="44" t="s">
        <v>482</v>
      </c>
      <c r="C200" s="85" t="s">
        <v>483</v>
      </c>
      <c r="D200" s="86"/>
      <c r="E200" s="44" t="s">
        <v>479</v>
      </c>
      <c r="F200" s="45">
        <v>3147.3</v>
      </c>
      <c r="G200" s="45">
        <v>0</v>
      </c>
      <c r="H200" s="45">
        <f>ROUND(F200*AO200,2)</f>
        <v>0</v>
      </c>
      <c r="I200" s="45">
        <f>ROUND(F200*AP200,2)</f>
        <v>0</v>
      </c>
      <c r="J200" s="45">
        <f>ROUND(F200*G200,2)</f>
        <v>0</v>
      </c>
      <c r="K200" s="46" t="s">
        <v>50</v>
      </c>
      <c r="Z200" s="30">
        <f>ROUND(IF(AQ200="5",BJ200,0),2)</f>
        <v>0</v>
      </c>
      <c r="AB200" s="30">
        <f>ROUND(IF(AQ200="1",BH200,0),2)</f>
        <v>0</v>
      </c>
      <c r="AC200" s="30">
        <f>ROUND(IF(AQ200="1",BI200,0),2)</f>
        <v>0</v>
      </c>
      <c r="AD200" s="30">
        <f>ROUND(IF(AQ200="7",BH200,0),2)</f>
        <v>0</v>
      </c>
      <c r="AE200" s="30">
        <f>ROUND(IF(AQ200="7",BI200,0),2)</f>
        <v>0</v>
      </c>
      <c r="AF200" s="30">
        <f>ROUND(IF(AQ200="2",BH200,0),2)</f>
        <v>0</v>
      </c>
      <c r="AG200" s="30">
        <f>ROUND(IF(AQ200="2",BI200,0),2)</f>
        <v>0</v>
      </c>
      <c r="AH200" s="30">
        <f>ROUND(IF(AQ200="0",BJ200,0),2)</f>
        <v>0</v>
      </c>
      <c r="AI200" s="11" t="s">
        <v>50</v>
      </c>
      <c r="AJ200" s="28">
        <f>IF(AN200=0,J200,0)</f>
        <v>0</v>
      </c>
      <c r="AK200" s="28">
        <f>IF(AN200=12,J200,0)</f>
        <v>0</v>
      </c>
      <c r="AL200" s="28">
        <f>IF(AN200=21,J200,0)</f>
        <v>0</v>
      </c>
      <c r="AN200" s="30">
        <v>21</v>
      </c>
      <c r="AO200" s="30">
        <f>G200*0</f>
        <v>0</v>
      </c>
      <c r="AP200" s="30">
        <f>G200*(1-0)</f>
        <v>0</v>
      </c>
      <c r="AQ200" s="31" t="s">
        <v>85</v>
      </c>
      <c r="AV200" s="30">
        <f>ROUND(AW200+AX200,2)</f>
        <v>0</v>
      </c>
      <c r="AW200" s="30">
        <f>ROUND(F200*AO200,2)</f>
        <v>0</v>
      </c>
      <c r="AX200" s="30">
        <f>ROUND(F200*AP200,2)</f>
        <v>0</v>
      </c>
      <c r="AY200" s="32" t="s">
        <v>480</v>
      </c>
      <c r="AZ200" s="32" t="s">
        <v>405</v>
      </c>
      <c r="BA200" s="11" t="s">
        <v>60</v>
      </c>
      <c r="BC200" s="30">
        <f>AW200+AX200</f>
        <v>0</v>
      </c>
      <c r="BD200" s="30">
        <f>G200/(100-BE200)*100</f>
        <v>0</v>
      </c>
      <c r="BE200" s="30">
        <v>0</v>
      </c>
      <c r="BF200" s="30">
        <f>200</f>
        <v>200</v>
      </c>
      <c r="BH200" s="28">
        <f>F200*AO200</f>
        <v>0</v>
      </c>
      <c r="BI200" s="28">
        <f>F200*AP200</f>
        <v>0</v>
      </c>
      <c r="BJ200" s="28">
        <f>F200*G200</f>
        <v>0</v>
      </c>
      <c r="BK200" s="28"/>
      <c r="BL200" s="30">
        <v>767</v>
      </c>
      <c r="BW200" s="30">
        <v>21</v>
      </c>
      <c r="BX200" s="27" t="s">
        <v>483</v>
      </c>
    </row>
    <row r="201" spans="1:76" x14ac:dyDescent="0.25">
      <c r="H201" s="87" t="s">
        <v>484</v>
      </c>
      <c r="I201" s="87"/>
      <c r="J201" s="47">
        <f>ROUND(J12+J16+J18+J23+J25+J27+J30+J39+J43+J74+J78+J81+J84+J92+J104+J109+J118+J128+J140+J168+J182+J195+J198,2)</f>
        <v>0</v>
      </c>
    </row>
    <row r="202" spans="1:76" x14ac:dyDescent="0.25">
      <c r="A202" s="48" t="s">
        <v>61</v>
      </c>
    </row>
    <row r="203" spans="1:76" ht="12.75" customHeight="1" x14ac:dyDescent="0.25">
      <c r="A203" s="76" t="s">
        <v>50</v>
      </c>
      <c r="B203" s="77"/>
      <c r="C203" s="77"/>
      <c r="D203" s="77"/>
      <c r="E203" s="77"/>
      <c r="F203" s="77"/>
      <c r="G203" s="77"/>
      <c r="H203" s="77"/>
      <c r="I203" s="77"/>
      <c r="J203" s="77"/>
      <c r="K203" s="77"/>
    </row>
  </sheetData>
  <mergeCells count="192"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C11:D11"/>
    <mergeCell ref="H10:J10"/>
    <mergeCell ref="C12:D12"/>
    <mergeCell ref="C13:D13"/>
    <mergeCell ref="C14:K14"/>
    <mergeCell ref="I2:K3"/>
    <mergeCell ref="I4:K5"/>
    <mergeCell ref="I6:K7"/>
    <mergeCell ref="I8:K9"/>
    <mergeCell ref="C10:D10"/>
    <mergeCell ref="C8:D9"/>
    <mergeCell ref="G2:G3"/>
    <mergeCell ref="G4:G5"/>
    <mergeCell ref="G6:G7"/>
    <mergeCell ref="G8:G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31:D31"/>
    <mergeCell ref="C32:K32"/>
    <mergeCell ref="C33:D33"/>
    <mergeCell ref="C34:K34"/>
    <mergeCell ref="C35:K35"/>
    <mergeCell ref="C25:D25"/>
    <mergeCell ref="C26:D26"/>
    <mergeCell ref="C27:D27"/>
    <mergeCell ref="C28:D28"/>
    <mergeCell ref="C30:D30"/>
    <mergeCell ref="C41:D41"/>
    <mergeCell ref="C42:D42"/>
    <mergeCell ref="C43:D43"/>
    <mergeCell ref="C44:D44"/>
    <mergeCell ref="C45:D45"/>
    <mergeCell ref="C36:D36"/>
    <mergeCell ref="C37:K37"/>
    <mergeCell ref="C38:D38"/>
    <mergeCell ref="C39:D39"/>
    <mergeCell ref="C40:D40"/>
    <mergeCell ref="C56:K56"/>
    <mergeCell ref="C57:D57"/>
    <mergeCell ref="C58:K58"/>
    <mergeCell ref="C60:D60"/>
    <mergeCell ref="C61:D61"/>
    <mergeCell ref="C46:K46"/>
    <mergeCell ref="C51:D51"/>
    <mergeCell ref="C52:K52"/>
    <mergeCell ref="C54:D54"/>
    <mergeCell ref="C55:K55"/>
    <mergeCell ref="C67:D67"/>
    <mergeCell ref="C68:K68"/>
    <mergeCell ref="C69:K69"/>
    <mergeCell ref="C70:D70"/>
    <mergeCell ref="C71:K71"/>
    <mergeCell ref="C62:D62"/>
    <mergeCell ref="C63:D63"/>
    <mergeCell ref="C64:D64"/>
    <mergeCell ref="C65:K65"/>
    <mergeCell ref="C66:D66"/>
    <mergeCell ref="C77:K77"/>
    <mergeCell ref="C78:D78"/>
    <mergeCell ref="C79:D79"/>
    <mergeCell ref="C80:K80"/>
    <mergeCell ref="C81:D81"/>
    <mergeCell ref="C72:K72"/>
    <mergeCell ref="C73:D73"/>
    <mergeCell ref="C74:D74"/>
    <mergeCell ref="C75:D75"/>
    <mergeCell ref="C76:D76"/>
    <mergeCell ref="C87:D87"/>
    <mergeCell ref="C88:D88"/>
    <mergeCell ref="C89:D89"/>
    <mergeCell ref="C90:D90"/>
    <mergeCell ref="C91:D91"/>
    <mergeCell ref="C82:D82"/>
    <mergeCell ref="C83:K83"/>
    <mergeCell ref="C84:D84"/>
    <mergeCell ref="C85:D85"/>
    <mergeCell ref="C86:D86"/>
    <mergeCell ref="C97:K97"/>
    <mergeCell ref="C98:D98"/>
    <mergeCell ref="C99:D99"/>
    <mergeCell ref="C100:D100"/>
    <mergeCell ref="C101:D101"/>
    <mergeCell ref="C92:D92"/>
    <mergeCell ref="C93:D93"/>
    <mergeCell ref="C94:K94"/>
    <mergeCell ref="C95:D95"/>
    <mergeCell ref="C96:D96"/>
    <mergeCell ref="C107:D107"/>
    <mergeCell ref="C108:K108"/>
    <mergeCell ref="C109:D109"/>
    <mergeCell ref="C110:D110"/>
    <mergeCell ref="C111:D111"/>
    <mergeCell ref="C102:D102"/>
    <mergeCell ref="C103:D103"/>
    <mergeCell ref="C104:D104"/>
    <mergeCell ref="C105:D105"/>
    <mergeCell ref="C106:K106"/>
    <mergeCell ref="C117:D117"/>
    <mergeCell ref="C118:D118"/>
    <mergeCell ref="C119:D119"/>
    <mergeCell ref="C120:D120"/>
    <mergeCell ref="C123:D123"/>
    <mergeCell ref="C112:D112"/>
    <mergeCell ref="C113:D113"/>
    <mergeCell ref="C114:D114"/>
    <mergeCell ref="C115:D115"/>
    <mergeCell ref="C116:D116"/>
    <mergeCell ref="C129:D129"/>
    <mergeCell ref="C130:K130"/>
    <mergeCell ref="C131:D131"/>
    <mergeCell ref="C134:D134"/>
    <mergeCell ref="C135:K135"/>
    <mergeCell ref="C124:K124"/>
    <mergeCell ref="C125:D125"/>
    <mergeCell ref="C126:K126"/>
    <mergeCell ref="C127:D127"/>
    <mergeCell ref="C128:D128"/>
    <mergeCell ref="C144:D144"/>
    <mergeCell ref="C145:K145"/>
    <mergeCell ref="C146:D146"/>
    <mergeCell ref="C149:D149"/>
    <mergeCell ref="C150:K150"/>
    <mergeCell ref="C136:D136"/>
    <mergeCell ref="C139:D139"/>
    <mergeCell ref="C140:D140"/>
    <mergeCell ref="C141:D141"/>
    <mergeCell ref="C142:K142"/>
    <mergeCell ref="C162:D162"/>
    <mergeCell ref="C165:D165"/>
    <mergeCell ref="C166:K166"/>
    <mergeCell ref="C167:D167"/>
    <mergeCell ref="C168:D168"/>
    <mergeCell ref="C151:D151"/>
    <mergeCell ref="C152:D152"/>
    <mergeCell ref="C155:D155"/>
    <mergeCell ref="C158:D158"/>
    <mergeCell ref="C159:D159"/>
    <mergeCell ref="C174:D174"/>
    <mergeCell ref="C176:D176"/>
    <mergeCell ref="C177:D177"/>
    <mergeCell ref="C178:D178"/>
    <mergeCell ref="C181:D181"/>
    <mergeCell ref="C169:D169"/>
    <mergeCell ref="C170:K170"/>
    <mergeCell ref="C171:D171"/>
    <mergeCell ref="C172:D172"/>
    <mergeCell ref="C173:K173"/>
    <mergeCell ref="C187:D187"/>
    <mergeCell ref="C188:D188"/>
    <mergeCell ref="C189:D189"/>
    <mergeCell ref="C190:D190"/>
    <mergeCell ref="C191:D191"/>
    <mergeCell ref="C182:D182"/>
    <mergeCell ref="C183:D183"/>
    <mergeCell ref="C184:D184"/>
    <mergeCell ref="C185:D185"/>
    <mergeCell ref="C186:D186"/>
    <mergeCell ref="A203:K203"/>
    <mergeCell ref="C197:K197"/>
    <mergeCell ref="C198:D198"/>
    <mergeCell ref="C199:D199"/>
    <mergeCell ref="C200:D200"/>
    <mergeCell ref="H201:I201"/>
    <mergeCell ref="C192:D192"/>
    <mergeCell ref="C193:D193"/>
    <mergeCell ref="C194:D194"/>
    <mergeCell ref="C195:D195"/>
    <mergeCell ref="C196:D196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11" topLeftCell="A12" activePane="bottomLeft" state="frozen"/>
      <selection pane="bottomLeft" activeCell="C33" sqref="C33:D33"/>
    </sheetView>
  </sheetViews>
  <sheetFormatPr defaultColWidth="12.140625" defaultRowHeight="15" customHeight="1" x14ac:dyDescent="0.25"/>
  <cols>
    <col min="1" max="2" width="4.28515625" customWidth="1"/>
    <col min="3" max="3" width="71.42578125" customWidth="1"/>
    <col min="4" max="4" width="12.140625" customWidth="1"/>
    <col min="5" max="7" width="27.85546875" customWidth="1"/>
    <col min="8" max="9" width="0" hidden="1" customWidth="1"/>
  </cols>
  <sheetData>
    <row r="1" spans="1:9" ht="54.75" customHeight="1" x14ac:dyDescent="0.25">
      <c r="A1" s="103" t="s">
        <v>485</v>
      </c>
      <c r="B1" s="103"/>
      <c r="C1" s="103"/>
      <c r="D1" s="103"/>
      <c r="E1" s="103"/>
      <c r="F1" s="103"/>
      <c r="G1" s="103"/>
    </row>
    <row r="2" spans="1:9" x14ac:dyDescent="0.25">
      <c r="A2" s="104" t="s">
        <v>1</v>
      </c>
      <c r="B2" s="96"/>
      <c r="C2" s="108" t="str">
        <f>'Stavební rozpočet'!C2</f>
        <v>Hotel Jezerka snížení energetické náročnosti bazénu</v>
      </c>
      <c r="D2" s="96" t="s">
        <v>3</v>
      </c>
      <c r="E2" s="96" t="s">
        <v>4</v>
      </c>
      <c r="F2" s="95" t="s">
        <v>5</v>
      </c>
      <c r="G2" s="113" t="str">
        <f>'Stavební rozpočet'!I2</f>
        <v>Hotel Jezerka s.r.o.</v>
      </c>
    </row>
    <row r="3" spans="1:9" ht="15" customHeight="1" x14ac:dyDescent="0.25">
      <c r="A3" s="105"/>
      <c r="B3" s="77"/>
      <c r="C3" s="110"/>
      <c r="D3" s="77"/>
      <c r="E3" s="77"/>
      <c r="F3" s="77"/>
      <c r="G3" s="98"/>
    </row>
    <row r="4" spans="1:9" x14ac:dyDescent="0.25">
      <c r="A4" s="106" t="s">
        <v>7</v>
      </c>
      <c r="B4" s="77"/>
      <c r="C4" s="76" t="str">
        <f>'Stavební rozpočet'!C4</f>
        <v>Zatepelní objektu bazénu</v>
      </c>
      <c r="D4" s="77" t="s">
        <v>9</v>
      </c>
      <c r="E4" s="77" t="s">
        <v>10</v>
      </c>
      <c r="F4" s="76" t="s">
        <v>11</v>
      </c>
      <c r="G4" s="114" t="str">
        <f>'Stavební rozpočet'!I4</f>
        <v> </v>
      </c>
    </row>
    <row r="5" spans="1:9" ht="15" customHeight="1" x14ac:dyDescent="0.25">
      <c r="A5" s="105"/>
      <c r="B5" s="77"/>
      <c r="C5" s="77"/>
      <c r="D5" s="77"/>
      <c r="E5" s="77"/>
      <c r="F5" s="77"/>
      <c r="G5" s="98"/>
    </row>
    <row r="6" spans="1:9" x14ac:dyDescent="0.25">
      <c r="A6" s="106" t="s">
        <v>13</v>
      </c>
      <c r="B6" s="77"/>
      <c r="C6" s="76" t="str">
        <f>'Stavební rozpočet'!C6</f>
        <v>Seč, Ústupky 278</v>
      </c>
      <c r="D6" s="77" t="s">
        <v>15</v>
      </c>
      <c r="E6" s="77" t="s">
        <v>4</v>
      </c>
      <c r="F6" s="76" t="s">
        <v>16</v>
      </c>
      <c r="G6" s="114" t="str">
        <f>'Stavební rozpočet'!I6</f>
        <v>Projektový servis Chrudim s.r.o.</v>
      </c>
    </row>
    <row r="7" spans="1:9" ht="15" customHeight="1" x14ac:dyDescent="0.25">
      <c r="A7" s="105"/>
      <c r="B7" s="77"/>
      <c r="C7" s="77"/>
      <c r="D7" s="77"/>
      <c r="E7" s="77"/>
      <c r="F7" s="77"/>
      <c r="G7" s="98"/>
    </row>
    <row r="8" spans="1:9" x14ac:dyDescent="0.25">
      <c r="A8" s="106" t="s">
        <v>20</v>
      </c>
      <c r="B8" s="77"/>
      <c r="C8" s="76" t="str">
        <f>'Stavební rozpočet'!I8</f>
        <v> </v>
      </c>
      <c r="D8" s="77" t="s">
        <v>19</v>
      </c>
      <c r="E8" s="77" t="s">
        <v>10</v>
      </c>
      <c r="F8" s="77" t="s">
        <v>19</v>
      </c>
      <c r="G8" s="114" t="str">
        <f>'Stavební rozpočet'!G8</f>
        <v>07.02.2025</v>
      </c>
    </row>
    <row r="9" spans="1:9" x14ac:dyDescent="0.25">
      <c r="A9" s="107"/>
      <c r="B9" s="99"/>
      <c r="C9" s="99"/>
      <c r="D9" s="117"/>
      <c r="E9" s="99"/>
      <c r="F9" s="99"/>
      <c r="G9" s="100"/>
    </row>
    <row r="10" spans="1:9" x14ac:dyDescent="0.25">
      <c r="A10" s="115" t="s">
        <v>22</v>
      </c>
      <c r="B10" s="116"/>
      <c r="C10" s="49" t="s">
        <v>486</v>
      </c>
      <c r="E10" s="50" t="s">
        <v>487</v>
      </c>
      <c r="F10" s="51" t="s">
        <v>488</v>
      </c>
      <c r="G10" s="51" t="s">
        <v>489</v>
      </c>
    </row>
    <row r="11" spans="1:9" x14ac:dyDescent="0.25">
      <c r="A11" s="111" t="s">
        <v>51</v>
      </c>
      <c r="B11" s="112"/>
      <c r="C11" s="77" t="s">
        <v>52</v>
      </c>
      <c r="D11" s="77"/>
      <c r="E11" s="52">
        <f>ROUND('Stavební rozpočet'!H12,2)</f>
        <v>0</v>
      </c>
      <c r="F11" s="52">
        <f>ROUND('Stavební rozpočet'!I12,2)</f>
        <v>0</v>
      </c>
      <c r="G11" s="52">
        <f>ROUND('Stavební rozpočet'!J12,2)</f>
        <v>0</v>
      </c>
      <c r="H11" s="32" t="s">
        <v>490</v>
      </c>
      <c r="I11" s="30">
        <f t="shared" ref="I11:I33" si="0">IF(H11="F",0,G11)</f>
        <v>0</v>
      </c>
    </row>
    <row r="12" spans="1:9" x14ac:dyDescent="0.25">
      <c r="A12" s="105" t="s">
        <v>67</v>
      </c>
      <c r="B12" s="77"/>
      <c r="C12" s="77" t="s">
        <v>68</v>
      </c>
      <c r="D12" s="77"/>
      <c r="E12" s="30">
        <f>ROUND('Stavební rozpočet'!H16,2)</f>
        <v>0</v>
      </c>
      <c r="F12" s="30">
        <f>ROUND('Stavební rozpočet'!I16,2)</f>
        <v>0</v>
      </c>
      <c r="G12" s="30">
        <f>ROUND('Stavební rozpočet'!J16,2)</f>
        <v>0</v>
      </c>
      <c r="H12" s="32" t="s">
        <v>490</v>
      </c>
      <c r="I12" s="30">
        <f t="shared" si="0"/>
        <v>0</v>
      </c>
    </row>
    <row r="13" spans="1:9" x14ac:dyDescent="0.25">
      <c r="A13" s="105" t="s">
        <v>73</v>
      </c>
      <c r="B13" s="77"/>
      <c r="C13" s="77" t="s">
        <v>74</v>
      </c>
      <c r="D13" s="77"/>
      <c r="E13" s="30">
        <f>ROUND('Stavební rozpočet'!H18,2)</f>
        <v>0</v>
      </c>
      <c r="F13" s="30">
        <f>ROUND('Stavební rozpočet'!I18,2)</f>
        <v>0</v>
      </c>
      <c r="G13" s="30">
        <f>ROUND('Stavební rozpočet'!J18,2)</f>
        <v>0</v>
      </c>
      <c r="H13" s="32" t="s">
        <v>490</v>
      </c>
      <c r="I13" s="30">
        <f t="shared" si="0"/>
        <v>0</v>
      </c>
    </row>
    <row r="14" spans="1:9" x14ac:dyDescent="0.25">
      <c r="A14" s="105" t="s">
        <v>88</v>
      </c>
      <c r="B14" s="77"/>
      <c r="C14" s="77" t="s">
        <v>89</v>
      </c>
      <c r="D14" s="77"/>
      <c r="E14" s="30">
        <f>ROUND('Stavební rozpočet'!H23,2)</f>
        <v>0</v>
      </c>
      <c r="F14" s="30">
        <f>ROUND('Stavební rozpočet'!I23,2)</f>
        <v>0</v>
      </c>
      <c r="G14" s="30">
        <f>ROUND('Stavební rozpočet'!J23,2)</f>
        <v>0</v>
      </c>
      <c r="H14" s="32" t="s">
        <v>490</v>
      </c>
      <c r="I14" s="30">
        <f t="shared" si="0"/>
        <v>0</v>
      </c>
    </row>
    <row r="15" spans="1:9" x14ac:dyDescent="0.25">
      <c r="A15" s="105" t="s">
        <v>94</v>
      </c>
      <c r="B15" s="77"/>
      <c r="C15" s="77" t="s">
        <v>95</v>
      </c>
      <c r="D15" s="77"/>
      <c r="E15" s="30">
        <f>ROUND('Stavební rozpočet'!H25,2)</f>
        <v>0</v>
      </c>
      <c r="F15" s="30">
        <f>ROUND('Stavební rozpočet'!I25,2)</f>
        <v>0</v>
      </c>
      <c r="G15" s="30">
        <f>ROUND('Stavební rozpočet'!J25,2)</f>
        <v>0</v>
      </c>
      <c r="H15" s="32" t="s">
        <v>490</v>
      </c>
      <c r="I15" s="30">
        <f t="shared" si="0"/>
        <v>0</v>
      </c>
    </row>
    <row r="16" spans="1:9" x14ac:dyDescent="0.25">
      <c r="A16" s="105" t="s">
        <v>100</v>
      </c>
      <c r="B16" s="77"/>
      <c r="C16" s="77" t="s">
        <v>101</v>
      </c>
      <c r="D16" s="77"/>
      <c r="E16" s="30">
        <f>ROUND('Stavební rozpočet'!H27,2)</f>
        <v>0</v>
      </c>
      <c r="F16" s="30">
        <f>ROUND('Stavební rozpočet'!I27,2)</f>
        <v>0</v>
      </c>
      <c r="G16" s="30">
        <f>ROUND('Stavební rozpočet'!J27,2)</f>
        <v>0</v>
      </c>
      <c r="H16" s="32" t="s">
        <v>490</v>
      </c>
      <c r="I16" s="30">
        <f t="shared" si="0"/>
        <v>0</v>
      </c>
    </row>
    <row r="17" spans="1:9" x14ac:dyDescent="0.25">
      <c r="A17" s="105" t="s">
        <v>108</v>
      </c>
      <c r="B17" s="77"/>
      <c r="C17" s="77" t="s">
        <v>109</v>
      </c>
      <c r="D17" s="77"/>
      <c r="E17" s="30">
        <f>ROUND('Stavební rozpočet'!H30,2)</f>
        <v>0</v>
      </c>
      <c r="F17" s="30">
        <f>ROUND('Stavební rozpočet'!I30,2)</f>
        <v>0</v>
      </c>
      <c r="G17" s="30">
        <f>ROUND('Stavební rozpočet'!J30,2)</f>
        <v>0</v>
      </c>
      <c r="H17" s="32" t="s">
        <v>490</v>
      </c>
      <c r="I17" s="30">
        <f t="shared" si="0"/>
        <v>0</v>
      </c>
    </row>
    <row r="18" spans="1:9" x14ac:dyDescent="0.25">
      <c r="A18" s="105" t="s">
        <v>128</v>
      </c>
      <c r="B18" s="77"/>
      <c r="C18" s="77" t="s">
        <v>129</v>
      </c>
      <c r="D18" s="77"/>
      <c r="E18" s="30">
        <f>ROUND('Stavební rozpočet'!H39,2)</f>
        <v>0</v>
      </c>
      <c r="F18" s="30">
        <f>ROUND('Stavební rozpočet'!I39,2)</f>
        <v>0</v>
      </c>
      <c r="G18" s="30">
        <f>ROUND('Stavební rozpočet'!J39,2)</f>
        <v>0</v>
      </c>
      <c r="H18" s="32" t="s">
        <v>490</v>
      </c>
      <c r="I18" s="30">
        <f t="shared" si="0"/>
        <v>0</v>
      </c>
    </row>
    <row r="19" spans="1:9" x14ac:dyDescent="0.25">
      <c r="A19" s="105" t="s">
        <v>139</v>
      </c>
      <c r="B19" s="77"/>
      <c r="C19" s="77" t="s">
        <v>140</v>
      </c>
      <c r="D19" s="77"/>
      <c r="E19" s="30">
        <f>ROUND('Stavební rozpočet'!H43,2)</f>
        <v>0</v>
      </c>
      <c r="F19" s="30">
        <f>ROUND('Stavební rozpočet'!I43,2)</f>
        <v>0</v>
      </c>
      <c r="G19" s="30">
        <f>ROUND('Stavební rozpočet'!J43,2)</f>
        <v>0</v>
      </c>
      <c r="H19" s="32" t="s">
        <v>490</v>
      </c>
      <c r="I19" s="30">
        <f t="shared" si="0"/>
        <v>0</v>
      </c>
    </row>
    <row r="20" spans="1:9" x14ac:dyDescent="0.25">
      <c r="A20" s="105" t="s">
        <v>196</v>
      </c>
      <c r="B20" s="77"/>
      <c r="C20" s="77" t="s">
        <v>197</v>
      </c>
      <c r="D20" s="77"/>
      <c r="E20" s="30">
        <f>ROUND('Stavební rozpočet'!H74,2)</f>
        <v>0</v>
      </c>
      <c r="F20" s="30">
        <f>ROUND('Stavební rozpočet'!I74,2)</f>
        <v>0</v>
      </c>
      <c r="G20" s="30">
        <f>ROUND('Stavební rozpočet'!J74,2)</f>
        <v>0</v>
      </c>
      <c r="H20" s="32" t="s">
        <v>490</v>
      </c>
      <c r="I20" s="30">
        <f t="shared" si="0"/>
        <v>0</v>
      </c>
    </row>
    <row r="21" spans="1:9" x14ac:dyDescent="0.25">
      <c r="A21" s="105" t="s">
        <v>206</v>
      </c>
      <c r="B21" s="77"/>
      <c r="C21" s="77" t="s">
        <v>207</v>
      </c>
      <c r="D21" s="77"/>
      <c r="E21" s="30">
        <f>ROUND('Stavební rozpočet'!H78,2)</f>
        <v>0</v>
      </c>
      <c r="F21" s="30">
        <f>ROUND('Stavební rozpočet'!I78,2)</f>
        <v>0</v>
      </c>
      <c r="G21" s="30">
        <f>ROUND('Stavební rozpočet'!J78,2)</f>
        <v>0</v>
      </c>
      <c r="H21" s="32" t="s">
        <v>490</v>
      </c>
      <c r="I21" s="30">
        <f t="shared" si="0"/>
        <v>0</v>
      </c>
    </row>
    <row r="22" spans="1:9" x14ac:dyDescent="0.25">
      <c r="A22" s="105" t="s">
        <v>212</v>
      </c>
      <c r="B22" s="77"/>
      <c r="C22" s="77" t="s">
        <v>213</v>
      </c>
      <c r="D22" s="77"/>
      <c r="E22" s="30">
        <f>ROUND('Stavební rozpočet'!H81,2)</f>
        <v>0</v>
      </c>
      <c r="F22" s="30">
        <f>ROUND('Stavební rozpočet'!I81,2)</f>
        <v>0</v>
      </c>
      <c r="G22" s="30">
        <f>ROUND('Stavební rozpočet'!J81,2)</f>
        <v>0</v>
      </c>
      <c r="H22" s="32" t="s">
        <v>490</v>
      </c>
      <c r="I22" s="30">
        <f t="shared" si="0"/>
        <v>0</v>
      </c>
    </row>
    <row r="23" spans="1:9" x14ac:dyDescent="0.25">
      <c r="A23" s="105" t="s">
        <v>220</v>
      </c>
      <c r="B23" s="77"/>
      <c r="C23" s="77" t="s">
        <v>221</v>
      </c>
      <c r="D23" s="77"/>
      <c r="E23" s="30">
        <f>ROUND('Stavební rozpočet'!H84,2)</f>
        <v>0</v>
      </c>
      <c r="F23" s="30">
        <f>ROUND('Stavební rozpočet'!I84,2)</f>
        <v>0</v>
      </c>
      <c r="G23" s="30">
        <f>ROUND('Stavební rozpočet'!J84,2)</f>
        <v>0</v>
      </c>
      <c r="H23" s="32" t="s">
        <v>490</v>
      </c>
      <c r="I23" s="30">
        <f t="shared" si="0"/>
        <v>0</v>
      </c>
    </row>
    <row r="24" spans="1:9" x14ac:dyDescent="0.25">
      <c r="A24" s="105" t="s">
        <v>244</v>
      </c>
      <c r="B24" s="77"/>
      <c r="C24" s="77" t="s">
        <v>245</v>
      </c>
      <c r="D24" s="77"/>
      <c r="E24" s="30">
        <f>ROUND('Stavební rozpočet'!H92,2)</f>
        <v>0</v>
      </c>
      <c r="F24" s="30">
        <f>ROUND('Stavební rozpočet'!I92,2)</f>
        <v>0</v>
      </c>
      <c r="G24" s="30">
        <f>ROUND('Stavební rozpočet'!J92,2)</f>
        <v>0</v>
      </c>
      <c r="H24" s="32" t="s">
        <v>490</v>
      </c>
      <c r="I24" s="30">
        <f t="shared" si="0"/>
        <v>0</v>
      </c>
    </row>
    <row r="25" spans="1:9" x14ac:dyDescent="0.25">
      <c r="A25" s="105" t="s">
        <v>276</v>
      </c>
      <c r="B25" s="77"/>
      <c r="C25" s="77" t="s">
        <v>277</v>
      </c>
      <c r="D25" s="77"/>
      <c r="E25" s="30">
        <f>ROUND('Stavební rozpočet'!H104,2)</f>
        <v>0</v>
      </c>
      <c r="F25" s="30">
        <f>ROUND('Stavební rozpočet'!I104,2)</f>
        <v>0</v>
      </c>
      <c r="G25" s="30">
        <f>ROUND('Stavební rozpočet'!J104,2)</f>
        <v>0</v>
      </c>
      <c r="H25" s="32" t="s">
        <v>490</v>
      </c>
      <c r="I25" s="30">
        <f t="shared" si="0"/>
        <v>0</v>
      </c>
    </row>
    <row r="26" spans="1:9" x14ac:dyDescent="0.25">
      <c r="A26" s="105" t="s">
        <v>286</v>
      </c>
      <c r="B26" s="77"/>
      <c r="C26" s="77" t="s">
        <v>287</v>
      </c>
      <c r="D26" s="77"/>
      <c r="E26" s="30">
        <f>ROUND('Stavební rozpočet'!H109,2)</f>
        <v>0</v>
      </c>
      <c r="F26" s="30">
        <f>ROUND('Stavební rozpočet'!I109,2)</f>
        <v>0</v>
      </c>
      <c r="G26" s="30">
        <f>ROUND('Stavební rozpočet'!J109,2)</f>
        <v>0</v>
      </c>
      <c r="H26" s="32" t="s">
        <v>490</v>
      </c>
      <c r="I26" s="30">
        <f t="shared" si="0"/>
        <v>0</v>
      </c>
    </row>
    <row r="27" spans="1:9" x14ac:dyDescent="0.25">
      <c r="A27" s="105" t="s">
        <v>313</v>
      </c>
      <c r="B27" s="77"/>
      <c r="C27" s="77" t="s">
        <v>314</v>
      </c>
      <c r="D27" s="77"/>
      <c r="E27" s="30">
        <f>ROUND('Stavební rozpočet'!H118,2)</f>
        <v>0</v>
      </c>
      <c r="F27" s="30">
        <f>ROUND('Stavební rozpočet'!I118,2)</f>
        <v>0</v>
      </c>
      <c r="G27" s="30">
        <f>ROUND('Stavební rozpočet'!J118,2)</f>
        <v>0</v>
      </c>
      <c r="H27" s="32" t="s">
        <v>490</v>
      </c>
      <c r="I27" s="30">
        <f t="shared" si="0"/>
        <v>0</v>
      </c>
    </row>
    <row r="28" spans="1:9" x14ac:dyDescent="0.25">
      <c r="A28" s="105" t="s">
        <v>332</v>
      </c>
      <c r="B28" s="77"/>
      <c r="C28" s="77" t="s">
        <v>333</v>
      </c>
      <c r="D28" s="77"/>
      <c r="E28" s="30">
        <f>ROUND('Stavební rozpočet'!H128,2)</f>
        <v>0</v>
      </c>
      <c r="F28" s="30">
        <f>ROUND('Stavební rozpočet'!I128,2)</f>
        <v>0</v>
      </c>
      <c r="G28" s="30">
        <f>ROUND('Stavební rozpočet'!J128,2)</f>
        <v>0</v>
      </c>
      <c r="H28" s="32" t="s">
        <v>490</v>
      </c>
      <c r="I28" s="30">
        <f t="shared" si="0"/>
        <v>0</v>
      </c>
    </row>
    <row r="29" spans="1:9" x14ac:dyDescent="0.25">
      <c r="A29" s="105" t="s">
        <v>354</v>
      </c>
      <c r="B29" s="77"/>
      <c r="C29" s="77" t="s">
        <v>355</v>
      </c>
      <c r="D29" s="77"/>
      <c r="E29" s="30">
        <f>ROUND('Stavební rozpočet'!H140,2)</f>
        <v>0</v>
      </c>
      <c r="F29" s="30">
        <f>ROUND('Stavební rozpočet'!I140,2)</f>
        <v>0</v>
      </c>
      <c r="G29" s="30">
        <f>ROUND('Stavební rozpočet'!J140,2)</f>
        <v>0</v>
      </c>
      <c r="H29" s="32" t="s">
        <v>490</v>
      </c>
      <c r="I29" s="30">
        <f t="shared" si="0"/>
        <v>0</v>
      </c>
    </row>
    <row r="30" spans="1:9" x14ac:dyDescent="0.25">
      <c r="A30" s="105" t="s">
        <v>399</v>
      </c>
      <c r="B30" s="77"/>
      <c r="C30" s="77" t="s">
        <v>400</v>
      </c>
      <c r="D30" s="77"/>
      <c r="E30" s="30">
        <f>ROUND('Stavební rozpočet'!H168,2)</f>
        <v>0</v>
      </c>
      <c r="F30" s="30">
        <f>ROUND('Stavební rozpočet'!I168,2)</f>
        <v>0</v>
      </c>
      <c r="G30" s="30">
        <f>ROUND('Stavební rozpočet'!J168,2)</f>
        <v>0</v>
      </c>
      <c r="H30" s="32" t="s">
        <v>490</v>
      </c>
      <c r="I30" s="30">
        <f t="shared" si="0"/>
        <v>0</v>
      </c>
    </row>
    <row r="31" spans="1:9" x14ac:dyDescent="0.25">
      <c r="A31" s="105" t="s">
        <v>430</v>
      </c>
      <c r="B31" s="77"/>
      <c r="C31" s="77" t="s">
        <v>431</v>
      </c>
      <c r="D31" s="77"/>
      <c r="E31" s="30">
        <f>ROUND('Stavební rozpočet'!H182,2)</f>
        <v>0</v>
      </c>
      <c r="F31" s="30">
        <f>ROUND('Stavební rozpočet'!I182,2)</f>
        <v>0</v>
      </c>
      <c r="G31" s="30">
        <f>ROUND('Stavební rozpočet'!J182,2)</f>
        <v>0</v>
      </c>
      <c r="H31" s="32" t="s">
        <v>490</v>
      </c>
      <c r="I31" s="30">
        <f t="shared" si="0"/>
        <v>0</v>
      </c>
    </row>
    <row r="32" spans="1:9" x14ac:dyDescent="0.25">
      <c r="A32" s="105" t="s">
        <v>466</v>
      </c>
      <c r="B32" s="77"/>
      <c r="C32" s="77" t="s">
        <v>467</v>
      </c>
      <c r="D32" s="77"/>
      <c r="E32" s="30">
        <f>ROUND('Stavební rozpočet'!H195,2)</f>
        <v>0</v>
      </c>
      <c r="F32" s="30">
        <f>ROUND('Stavební rozpočet'!I195,2)</f>
        <v>0</v>
      </c>
      <c r="G32" s="30">
        <f>ROUND('Stavební rozpočet'!J195,2)</f>
        <v>0</v>
      </c>
      <c r="H32" s="32" t="s">
        <v>490</v>
      </c>
      <c r="I32" s="30">
        <f t="shared" si="0"/>
        <v>0</v>
      </c>
    </row>
    <row r="33" spans="1:9" x14ac:dyDescent="0.25">
      <c r="A33" s="105" t="s">
        <v>474</v>
      </c>
      <c r="B33" s="77"/>
      <c r="C33" s="77" t="s">
        <v>475</v>
      </c>
      <c r="D33" s="77"/>
      <c r="E33" s="30">
        <f>ROUND('Stavební rozpočet'!H198,2)</f>
        <v>0</v>
      </c>
      <c r="F33" s="30">
        <f>ROUND('Stavební rozpočet'!I198,2)</f>
        <v>0</v>
      </c>
      <c r="G33" s="30">
        <f>ROUND('Stavební rozpočet'!J198,2)</f>
        <v>0</v>
      </c>
      <c r="H33" s="32" t="s">
        <v>490</v>
      </c>
      <c r="I33" s="30">
        <f t="shared" si="0"/>
        <v>0</v>
      </c>
    </row>
    <row r="34" spans="1:9" x14ac:dyDescent="0.25">
      <c r="F34" s="4" t="s">
        <v>484</v>
      </c>
      <c r="G34" s="53">
        <f>ROUND(SUM(I11:I33),2)</f>
        <v>0</v>
      </c>
    </row>
  </sheetData>
  <mergeCells count="72">
    <mergeCell ref="A1:G1"/>
    <mergeCell ref="A2:B3"/>
    <mergeCell ref="A4:B5"/>
    <mergeCell ref="A6:B7"/>
    <mergeCell ref="A8:B9"/>
    <mergeCell ref="D2:D3"/>
    <mergeCell ref="D4:D5"/>
    <mergeCell ref="D6:D7"/>
    <mergeCell ref="D8:D9"/>
    <mergeCell ref="F2:F3"/>
    <mergeCell ref="F4:F5"/>
    <mergeCell ref="F6:F7"/>
    <mergeCell ref="F8:F9"/>
    <mergeCell ref="C2:C3"/>
    <mergeCell ref="C4:C5"/>
    <mergeCell ref="C6:C7"/>
    <mergeCell ref="G2:G3"/>
    <mergeCell ref="G4:G5"/>
    <mergeCell ref="G6:G7"/>
    <mergeCell ref="G8:G9"/>
    <mergeCell ref="A10:B10"/>
    <mergeCell ref="C8:C9"/>
    <mergeCell ref="E2:E3"/>
    <mergeCell ref="E4:E5"/>
    <mergeCell ref="E6:E7"/>
    <mergeCell ref="E8:E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32:B32"/>
    <mergeCell ref="C32:D32"/>
    <mergeCell ref="A33:B33"/>
    <mergeCell ref="C33:D33"/>
    <mergeCell ref="A29:B29"/>
    <mergeCell ref="C29:D29"/>
    <mergeCell ref="A30:B30"/>
    <mergeCell ref="C30:D30"/>
    <mergeCell ref="A31:B31"/>
    <mergeCell ref="C31:D31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53" t="s">
        <v>491</v>
      </c>
      <c r="B1" s="103"/>
      <c r="C1" s="103"/>
      <c r="D1" s="103"/>
      <c r="E1" s="103"/>
      <c r="F1" s="103"/>
      <c r="G1" s="103"/>
      <c r="H1" s="103"/>
      <c r="I1" s="103"/>
    </row>
    <row r="2" spans="1:9" x14ac:dyDescent="0.25">
      <c r="A2" s="104" t="s">
        <v>1</v>
      </c>
      <c r="B2" s="96"/>
      <c r="C2" s="108" t="str">
        <f>'Stavební rozpočet'!C2</f>
        <v>Hotel Jezerka snížení energetické náročnosti bazénu</v>
      </c>
      <c r="D2" s="109"/>
      <c r="E2" s="95" t="s">
        <v>5</v>
      </c>
      <c r="F2" s="95" t="str">
        <f>'Stavební rozpočet'!I2</f>
        <v>Hotel Jezerka s.r.o.</v>
      </c>
      <c r="G2" s="96"/>
      <c r="H2" s="95" t="s">
        <v>492</v>
      </c>
      <c r="I2" s="97" t="s">
        <v>50</v>
      </c>
    </row>
    <row r="3" spans="1:9" ht="15" customHeight="1" x14ac:dyDescent="0.25">
      <c r="A3" s="105"/>
      <c r="B3" s="77"/>
      <c r="C3" s="110"/>
      <c r="D3" s="110"/>
      <c r="E3" s="77"/>
      <c r="F3" s="77"/>
      <c r="G3" s="77"/>
      <c r="H3" s="77"/>
      <c r="I3" s="98"/>
    </row>
    <row r="4" spans="1:9" x14ac:dyDescent="0.25">
      <c r="A4" s="106" t="s">
        <v>7</v>
      </c>
      <c r="B4" s="77"/>
      <c r="C4" s="76" t="str">
        <f>'Stavební rozpočet'!C4</f>
        <v>Zatepelní objektu bazénu</v>
      </c>
      <c r="D4" s="77"/>
      <c r="E4" s="76" t="s">
        <v>11</v>
      </c>
      <c r="F4" s="76" t="str">
        <f>'Stavební rozpočet'!I4</f>
        <v> </v>
      </c>
      <c r="G4" s="77"/>
      <c r="H4" s="76" t="s">
        <v>492</v>
      </c>
      <c r="I4" s="98" t="s">
        <v>50</v>
      </c>
    </row>
    <row r="5" spans="1:9" ht="15" customHeight="1" x14ac:dyDescent="0.25">
      <c r="A5" s="105"/>
      <c r="B5" s="77"/>
      <c r="C5" s="77"/>
      <c r="D5" s="77"/>
      <c r="E5" s="77"/>
      <c r="F5" s="77"/>
      <c r="G5" s="77"/>
      <c r="H5" s="77"/>
      <c r="I5" s="98"/>
    </row>
    <row r="6" spans="1:9" x14ac:dyDescent="0.25">
      <c r="A6" s="106" t="s">
        <v>13</v>
      </c>
      <c r="B6" s="77"/>
      <c r="C6" s="76" t="str">
        <f>'Stavební rozpočet'!C6</f>
        <v>Seč, Ústupky 278</v>
      </c>
      <c r="D6" s="77"/>
      <c r="E6" s="76" t="s">
        <v>16</v>
      </c>
      <c r="F6" s="76" t="str">
        <f>'Stavební rozpočet'!I6</f>
        <v>Projektový servis Chrudim s.r.o.</v>
      </c>
      <c r="G6" s="77"/>
      <c r="H6" s="76" t="s">
        <v>492</v>
      </c>
      <c r="I6" s="98" t="s">
        <v>50</v>
      </c>
    </row>
    <row r="7" spans="1:9" ht="15" customHeight="1" x14ac:dyDescent="0.25">
      <c r="A7" s="105"/>
      <c r="B7" s="77"/>
      <c r="C7" s="77"/>
      <c r="D7" s="77"/>
      <c r="E7" s="77"/>
      <c r="F7" s="77"/>
      <c r="G7" s="77"/>
      <c r="H7" s="77"/>
      <c r="I7" s="98"/>
    </row>
    <row r="8" spans="1:9" x14ac:dyDescent="0.25">
      <c r="A8" s="106" t="s">
        <v>9</v>
      </c>
      <c r="B8" s="77"/>
      <c r="C8" s="76" t="str">
        <f>'Stavební rozpočet'!G4</f>
        <v>07.02.2025</v>
      </c>
      <c r="D8" s="77"/>
      <c r="E8" s="76" t="s">
        <v>15</v>
      </c>
      <c r="F8" s="76" t="str">
        <f>'Stavební rozpočet'!G6</f>
        <v xml:space="preserve"> </v>
      </c>
      <c r="G8" s="77"/>
      <c r="H8" s="77" t="s">
        <v>493</v>
      </c>
      <c r="I8" s="154">
        <v>106</v>
      </c>
    </row>
    <row r="9" spans="1:9" x14ac:dyDescent="0.25">
      <c r="A9" s="105"/>
      <c r="B9" s="77"/>
      <c r="C9" s="77"/>
      <c r="D9" s="77"/>
      <c r="E9" s="77"/>
      <c r="F9" s="77"/>
      <c r="G9" s="77"/>
      <c r="H9" s="77"/>
      <c r="I9" s="98"/>
    </row>
    <row r="10" spans="1:9" x14ac:dyDescent="0.25">
      <c r="A10" s="106" t="s">
        <v>18</v>
      </c>
      <c r="B10" s="77"/>
      <c r="C10" s="76" t="str">
        <f>'Stavební rozpočet'!C8</f>
        <v xml:space="preserve"> </v>
      </c>
      <c r="D10" s="77"/>
      <c r="E10" s="76" t="s">
        <v>20</v>
      </c>
      <c r="F10" s="76" t="str">
        <f>'Stavební rozpočet'!I8</f>
        <v> </v>
      </c>
      <c r="G10" s="77"/>
      <c r="H10" s="77" t="s">
        <v>494</v>
      </c>
      <c r="I10" s="114" t="str">
        <f>'Stavební rozpočet'!G8</f>
        <v>07.02.2025</v>
      </c>
    </row>
    <row r="11" spans="1:9" x14ac:dyDescent="0.25">
      <c r="A11" s="152"/>
      <c r="B11" s="117"/>
      <c r="C11" s="117"/>
      <c r="D11" s="117"/>
      <c r="E11" s="117"/>
      <c r="F11" s="117"/>
      <c r="G11" s="117"/>
      <c r="H11" s="117"/>
      <c r="I11" s="148"/>
    </row>
    <row r="12" spans="1:9" ht="23.25" x14ac:dyDescent="0.25">
      <c r="A12" s="149" t="s">
        <v>495</v>
      </c>
      <c r="B12" s="149"/>
      <c r="C12" s="149"/>
      <c r="D12" s="149"/>
      <c r="E12" s="149"/>
      <c r="F12" s="149"/>
      <c r="G12" s="149"/>
      <c r="H12" s="149"/>
      <c r="I12" s="149"/>
    </row>
    <row r="13" spans="1:9" ht="26.25" customHeight="1" x14ac:dyDescent="0.25">
      <c r="A13" s="54" t="s">
        <v>496</v>
      </c>
      <c r="B13" s="150" t="s">
        <v>497</v>
      </c>
      <c r="C13" s="151"/>
      <c r="D13" s="55" t="s">
        <v>498</v>
      </c>
      <c r="E13" s="150" t="s">
        <v>499</v>
      </c>
      <c r="F13" s="151"/>
      <c r="G13" s="55" t="s">
        <v>500</v>
      </c>
      <c r="H13" s="150" t="s">
        <v>501</v>
      </c>
      <c r="I13" s="151"/>
    </row>
    <row r="14" spans="1:9" ht="15.75" x14ac:dyDescent="0.25">
      <c r="A14" s="56" t="s">
        <v>502</v>
      </c>
      <c r="B14" s="57" t="s">
        <v>503</v>
      </c>
      <c r="C14" s="58">
        <f>SUM('Stavební rozpočet'!AB12:AB200)</f>
        <v>0</v>
      </c>
      <c r="D14" s="138" t="s">
        <v>504</v>
      </c>
      <c r="E14" s="139"/>
      <c r="F14" s="58">
        <f>VORN!I15</f>
        <v>0</v>
      </c>
      <c r="G14" s="138" t="s">
        <v>505</v>
      </c>
      <c r="H14" s="139"/>
      <c r="I14" s="59">
        <f>VORN!I21</f>
        <v>0</v>
      </c>
    </row>
    <row r="15" spans="1:9" ht="15.75" x14ac:dyDescent="0.25">
      <c r="A15" s="60" t="s">
        <v>50</v>
      </c>
      <c r="B15" s="57" t="s">
        <v>35</v>
      </c>
      <c r="C15" s="58">
        <f>SUM('Stavební rozpočet'!AC12:AC200)</f>
        <v>0</v>
      </c>
      <c r="D15" s="138" t="s">
        <v>506</v>
      </c>
      <c r="E15" s="139"/>
      <c r="F15" s="58">
        <f>VORN!I16</f>
        <v>0</v>
      </c>
      <c r="G15" s="138" t="s">
        <v>507</v>
      </c>
      <c r="H15" s="139"/>
      <c r="I15" s="59">
        <f>VORN!I22</f>
        <v>0</v>
      </c>
    </row>
    <row r="16" spans="1:9" ht="15.75" x14ac:dyDescent="0.25">
      <c r="A16" s="56" t="s">
        <v>508</v>
      </c>
      <c r="B16" s="57" t="s">
        <v>503</v>
      </c>
      <c r="C16" s="58">
        <f>SUM('Stavební rozpočet'!AD12:AD200)</f>
        <v>0</v>
      </c>
      <c r="D16" s="138" t="s">
        <v>509</v>
      </c>
      <c r="E16" s="139"/>
      <c r="F16" s="58">
        <f>VORN!I17</f>
        <v>0</v>
      </c>
      <c r="G16" s="138" t="s">
        <v>510</v>
      </c>
      <c r="H16" s="139"/>
      <c r="I16" s="59">
        <f>VORN!I23</f>
        <v>0</v>
      </c>
    </row>
    <row r="17" spans="1:9" ht="15.75" x14ac:dyDescent="0.25">
      <c r="A17" s="60" t="s">
        <v>50</v>
      </c>
      <c r="B17" s="57" t="s">
        <v>35</v>
      </c>
      <c r="C17" s="58">
        <f>SUM('Stavební rozpočet'!AE12:AE200)</f>
        <v>0</v>
      </c>
      <c r="D17" s="138" t="s">
        <v>50</v>
      </c>
      <c r="E17" s="139"/>
      <c r="F17" s="59" t="s">
        <v>50</v>
      </c>
      <c r="G17" s="138" t="s">
        <v>511</v>
      </c>
      <c r="H17" s="139"/>
      <c r="I17" s="59">
        <f>VORN!I24</f>
        <v>0</v>
      </c>
    </row>
    <row r="18" spans="1:9" ht="15.75" x14ac:dyDescent="0.25">
      <c r="A18" s="56" t="s">
        <v>512</v>
      </c>
      <c r="B18" s="57" t="s">
        <v>503</v>
      </c>
      <c r="C18" s="58">
        <f>SUM('Stavební rozpočet'!AF12:AF200)</f>
        <v>0</v>
      </c>
      <c r="D18" s="138" t="s">
        <v>50</v>
      </c>
      <c r="E18" s="139"/>
      <c r="F18" s="59" t="s">
        <v>50</v>
      </c>
      <c r="G18" s="138" t="s">
        <v>513</v>
      </c>
      <c r="H18" s="139"/>
      <c r="I18" s="59">
        <f>VORN!I25</f>
        <v>0</v>
      </c>
    </row>
    <row r="19" spans="1:9" ht="15.75" x14ac:dyDescent="0.25">
      <c r="A19" s="60" t="s">
        <v>50</v>
      </c>
      <c r="B19" s="57" t="s">
        <v>35</v>
      </c>
      <c r="C19" s="58">
        <f>SUM('Stavební rozpočet'!AG12:AG200)</f>
        <v>0</v>
      </c>
      <c r="D19" s="138" t="s">
        <v>50</v>
      </c>
      <c r="E19" s="139"/>
      <c r="F19" s="59" t="s">
        <v>50</v>
      </c>
      <c r="G19" s="138" t="s">
        <v>514</v>
      </c>
      <c r="H19" s="139"/>
      <c r="I19" s="59">
        <f>VORN!I26</f>
        <v>0</v>
      </c>
    </row>
    <row r="20" spans="1:9" ht="15.75" x14ac:dyDescent="0.25">
      <c r="A20" s="130" t="s">
        <v>515</v>
      </c>
      <c r="B20" s="131"/>
      <c r="C20" s="58">
        <f>SUM('Stavební rozpočet'!AH12:AH200)</f>
        <v>0</v>
      </c>
      <c r="D20" s="138" t="s">
        <v>50</v>
      </c>
      <c r="E20" s="139"/>
      <c r="F20" s="59" t="s">
        <v>50</v>
      </c>
      <c r="G20" s="138" t="s">
        <v>50</v>
      </c>
      <c r="H20" s="139"/>
      <c r="I20" s="59" t="s">
        <v>50</v>
      </c>
    </row>
    <row r="21" spans="1:9" ht="15.75" x14ac:dyDescent="0.25">
      <c r="A21" s="145" t="s">
        <v>516</v>
      </c>
      <c r="B21" s="146"/>
      <c r="C21" s="61">
        <f>SUM('Stavební rozpočet'!Z12:Z200)</f>
        <v>0</v>
      </c>
      <c r="D21" s="140" t="s">
        <v>50</v>
      </c>
      <c r="E21" s="141"/>
      <c r="F21" s="62" t="s">
        <v>50</v>
      </c>
      <c r="G21" s="140" t="s">
        <v>50</v>
      </c>
      <c r="H21" s="141"/>
      <c r="I21" s="62" t="s">
        <v>50</v>
      </c>
    </row>
    <row r="22" spans="1:9" ht="16.5" customHeight="1" x14ac:dyDescent="0.25">
      <c r="A22" s="147" t="s">
        <v>517</v>
      </c>
      <c r="B22" s="143"/>
      <c r="C22" s="63">
        <f>ROUND(SUM(C14:C21),2)</f>
        <v>0</v>
      </c>
      <c r="D22" s="142" t="s">
        <v>518</v>
      </c>
      <c r="E22" s="143"/>
      <c r="F22" s="63">
        <f>SUM(F14:F21)</f>
        <v>0</v>
      </c>
      <c r="G22" s="142" t="s">
        <v>519</v>
      </c>
      <c r="H22" s="143"/>
      <c r="I22" s="63">
        <f>SUM(I14:I21)</f>
        <v>0</v>
      </c>
    </row>
    <row r="23" spans="1:9" ht="15.75" x14ac:dyDescent="0.25">
      <c r="D23" s="130" t="s">
        <v>520</v>
      </c>
      <c r="E23" s="131"/>
      <c r="F23" s="64">
        <v>0</v>
      </c>
      <c r="G23" s="144" t="s">
        <v>521</v>
      </c>
      <c r="H23" s="131"/>
      <c r="I23" s="58">
        <v>0</v>
      </c>
    </row>
    <row r="24" spans="1:9" ht="15.75" x14ac:dyDescent="0.25">
      <c r="G24" s="130" t="s">
        <v>522</v>
      </c>
      <c r="H24" s="131"/>
      <c r="I24" s="61">
        <f>vorn_sum</f>
        <v>0</v>
      </c>
    </row>
    <row r="25" spans="1:9" ht="15.75" x14ac:dyDescent="0.25">
      <c r="G25" s="130" t="s">
        <v>523</v>
      </c>
      <c r="H25" s="131"/>
      <c r="I25" s="63">
        <v>0</v>
      </c>
    </row>
    <row r="27" spans="1:9" ht="15.75" x14ac:dyDescent="0.25">
      <c r="A27" s="132" t="s">
        <v>524</v>
      </c>
      <c r="B27" s="133"/>
      <c r="C27" s="65">
        <f>ROUND(SUM('Stavební rozpočet'!AJ12:AJ200),2)</f>
        <v>0</v>
      </c>
    </row>
    <row r="28" spans="1:9" ht="15.75" x14ac:dyDescent="0.25">
      <c r="A28" s="134" t="s">
        <v>525</v>
      </c>
      <c r="B28" s="135"/>
      <c r="C28" s="66">
        <f>ROUND(SUM('Stavební rozpočet'!AK12:AK200),2)</f>
        <v>0</v>
      </c>
      <c r="D28" s="136" t="s">
        <v>526</v>
      </c>
      <c r="E28" s="133"/>
      <c r="F28" s="65">
        <f>ROUND(C28*(12/100),2)</f>
        <v>0</v>
      </c>
      <c r="G28" s="136" t="s">
        <v>527</v>
      </c>
      <c r="H28" s="133"/>
      <c r="I28" s="65">
        <f>ROUND(SUM(C27:C29),2)</f>
        <v>0</v>
      </c>
    </row>
    <row r="29" spans="1:9" ht="15.75" x14ac:dyDescent="0.25">
      <c r="A29" s="134" t="s">
        <v>528</v>
      </c>
      <c r="B29" s="135"/>
      <c r="C29" s="66">
        <f>ROUND(SUM('Stavební rozpočet'!AL12:AL200)+(F22+I22+F23+I23+I24+I25),2)</f>
        <v>0</v>
      </c>
      <c r="D29" s="137" t="s">
        <v>529</v>
      </c>
      <c r="E29" s="135"/>
      <c r="F29" s="66">
        <f>ROUND(C29*(21/100),2)</f>
        <v>0</v>
      </c>
      <c r="G29" s="137" t="s">
        <v>530</v>
      </c>
      <c r="H29" s="135"/>
      <c r="I29" s="66">
        <f>ROUND(SUM(F28:F29)+I28,2)</f>
        <v>0</v>
      </c>
    </row>
    <row r="31" spans="1:9" x14ac:dyDescent="0.25">
      <c r="A31" s="127" t="s">
        <v>531</v>
      </c>
      <c r="B31" s="119"/>
      <c r="C31" s="120"/>
      <c r="D31" s="118" t="s">
        <v>532</v>
      </c>
      <c r="E31" s="119"/>
      <c r="F31" s="120"/>
      <c r="G31" s="118" t="s">
        <v>533</v>
      </c>
      <c r="H31" s="119"/>
      <c r="I31" s="120"/>
    </row>
    <row r="32" spans="1:9" x14ac:dyDescent="0.25">
      <c r="A32" s="128" t="s">
        <v>50</v>
      </c>
      <c r="B32" s="122"/>
      <c r="C32" s="123"/>
      <c r="D32" s="121" t="s">
        <v>50</v>
      </c>
      <c r="E32" s="122"/>
      <c r="F32" s="123"/>
      <c r="G32" s="121" t="s">
        <v>50</v>
      </c>
      <c r="H32" s="122"/>
      <c r="I32" s="123"/>
    </row>
    <row r="33" spans="1:9" x14ac:dyDescent="0.25">
      <c r="A33" s="128" t="s">
        <v>50</v>
      </c>
      <c r="B33" s="122"/>
      <c r="C33" s="123"/>
      <c r="D33" s="121" t="s">
        <v>50</v>
      </c>
      <c r="E33" s="122"/>
      <c r="F33" s="123"/>
      <c r="G33" s="121" t="s">
        <v>50</v>
      </c>
      <c r="H33" s="122"/>
      <c r="I33" s="123"/>
    </row>
    <row r="34" spans="1:9" x14ac:dyDescent="0.25">
      <c r="A34" s="128" t="s">
        <v>50</v>
      </c>
      <c r="B34" s="122"/>
      <c r="C34" s="123"/>
      <c r="D34" s="121" t="s">
        <v>50</v>
      </c>
      <c r="E34" s="122"/>
      <c r="F34" s="123"/>
      <c r="G34" s="121" t="s">
        <v>50</v>
      </c>
      <c r="H34" s="122"/>
      <c r="I34" s="123"/>
    </row>
    <row r="35" spans="1:9" x14ac:dyDescent="0.25">
      <c r="A35" s="129" t="s">
        <v>534</v>
      </c>
      <c r="B35" s="125"/>
      <c r="C35" s="126"/>
      <c r="D35" s="124" t="s">
        <v>534</v>
      </c>
      <c r="E35" s="125"/>
      <c r="F35" s="126"/>
      <c r="G35" s="124" t="s">
        <v>534</v>
      </c>
      <c r="H35" s="125"/>
      <c r="I35" s="126"/>
    </row>
    <row r="36" spans="1:9" x14ac:dyDescent="0.25">
      <c r="A36" s="67" t="s">
        <v>61</v>
      </c>
    </row>
    <row r="37" spans="1:9" ht="12.75" customHeight="1" x14ac:dyDescent="0.25">
      <c r="A37" s="76" t="s">
        <v>50</v>
      </c>
      <c r="B37" s="77"/>
      <c r="C37" s="77"/>
      <c r="D37" s="77"/>
      <c r="E37" s="77"/>
      <c r="F37" s="77"/>
      <c r="G37" s="77"/>
      <c r="H37" s="77"/>
      <c r="I37" s="77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A36" sqref="A36:E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53" t="s">
        <v>535</v>
      </c>
      <c r="B1" s="103"/>
      <c r="C1" s="103"/>
      <c r="D1" s="103"/>
      <c r="E1" s="103"/>
      <c r="F1" s="103"/>
      <c r="G1" s="103"/>
      <c r="H1" s="103"/>
      <c r="I1" s="103"/>
    </row>
    <row r="2" spans="1:9" x14ac:dyDescent="0.25">
      <c r="A2" s="104" t="s">
        <v>1</v>
      </c>
      <c r="B2" s="96"/>
      <c r="C2" s="108" t="str">
        <f>'Stavební rozpočet'!C2</f>
        <v>Hotel Jezerka snížení energetické náročnosti bazénu</v>
      </c>
      <c r="D2" s="109"/>
      <c r="E2" s="95" t="s">
        <v>5</v>
      </c>
      <c r="F2" s="95" t="str">
        <f>'Stavební rozpočet'!I2</f>
        <v>Hotel Jezerka s.r.o.</v>
      </c>
      <c r="G2" s="96"/>
      <c r="H2" s="95" t="s">
        <v>492</v>
      </c>
      <c r="I2" s="97" t="s">
        <v>50</v>
      </c>
    </row>
    <row r="3" spans="1:9" ht="15" customHeight="1" x14ac:dyDescent="0.25">
      <c r="A3" s="105"/>
      <c r="B3" s="77"/>
      <c r="C3" s="110"/>
      <c r="D3" s="110"/>
      <c r="E3" s="77"/>
      <c r="F3" s="77"/>
      <c r="G3" s="77"/>
      <c r="H3" s="77"/>
      <c r="I3" s="98"/>
    </row>
    <row r="4" spans="1:9" x14ac:dyDescent="0.25">
      <c r="A4" s="106" t="s">
        <v>7</v>
      </c>
      <c r="B4" s="77"/>
      <c r="C4" s="76" t="str">
        <f>'Stavební rozpočet'!C4</f>
        <v>Zatepelní objektu bazénu</v>
      </c>
      <c r="D4" s="77"/>
      <c r="E4" s="76" t="s">
        <v>11</v>
      </c>
      <c r="F4" s="76" t="str">
        <f>'Stavební rozpočet'!I4</f>
        <v> </v>
      </c>
      <c r="G4" s="77"/>
      <c r="H4" s="76" t="s">
        <v>492</v>
      </c>
      <c r="I4" s="98" t="s">
        <v>50</v>
      </c>
    </row>
    <row r="5" spans="1:9" ht="15" customHeight="1" x14ac:dyDescent="0.25">
      <c r="A5" s="105"/>
      <c r="B5" s="77"/>
      <c r="C5" s="77"/>
      <c r="D5" s="77"/>
      <c r="E5" s="77"/>
      <c r="F5" s="77"/>
      <c r="G5" s="77"/>
      <c r="H5" s="77"/>
      <c r="I5" s="98"/>
    </row>
    <row r="6" spans="1:9" x14ac:dyDescent="0.25">
      <c r="A6" s="106" t="s">
        <v>13</v>
      </c>
      <c r="B6" s="77"/>
      <c r="C6" s="76" t="str">
        <f>'Stavební rozpočet'!C6</f>
        <v>Seč, Ústupky 278</v>
      </c>
      <c r="D6" s="77"/>
      <c r="E6" s="76" t="s">
        <v>16</v>
      </c>
      <c r="F6" s="76" t="str">
        <f>'Stavební rozpočet'!I6</f>
        <v>Projektový servis Chrudim s.r.o.</v>
      </c>
      <c r="G6" s="77"/>
      <c r="H6" s="76" t="s">
        <v>492</v>
      </c>
      <c r="I6" s="98" t="s">
        <v>50</v>
      </c>
    </row>
    <row r="7" spans="1:9" ht="15" customHeight="1" x14ac:dyDescent="0.25">
      <c r="A7" s="105"/>
      <c r="B7" s="77"/>
      <c r="C7" s="77"/>
      <c r="D7" s="77"/>
      <c r="E7" s="77"/>
      <c r="F7" s="77"/>
      <c r="G7" s="77"/>
      <c r="H7" s="77"/>
      <c r="I7" s="98"/>
    </row>
    <row r="8" spans="1:9" x14ac:dyDescent="0.25">
      <c r="A8" s="106" t="s">
        <v>9</v>
      </c>
      <c r="B8" s="77"/>
      <c r="C8" s="76" t="str">
        <f>'Stavební rozpočet'!G4</f>
        <v>07.02.2025</v>
      </c>
      <c r="D8" s="77"/>
      <c r="E8" s="76" t="s">
        <v>15</v>
      </c>
      <c r="F8" s="76" t="str">
        <f>'Stavební rozpočet'!G6</f>
        <v xml:space="preserve"> </v>
      </c>
      <c r="G8" s="77"/>
      <c r="H8" s="77" t="s">
        <v>493</v>
      </c>
      <c r="I8" s="154">
        <v>106</v>
      </c>
    </row>
    <row r="9" spans="1:9" x14ac:dyDescent="0.25">
      <c r="A9" s="105"/>
      <c r="B9" s="77"/>
      <c r="C9" s="77"/>
      <c r="D9" s="77"/>
      <c r="E9" s="77"/>
      <c r="F9" s="77"/>
      <c r="G9" s="77"/>
      <c r="H9" s="77"/>
      <c r="I9" s="98"/>
    </row>
    <row r="10" spans="1:9" x14ac:dyDescent="0.25">
      <c r="A10" s="106" t="s">
        <v>18</v>
      </c>
      <c r="B10" s="77"/>
      <c r="C10" s="76" t="str">
        <f>'Stavební rozpočet'!C8</f>
        <v xml:space="preserve"> </v>
      </c>
      <c r="D10" s="77"/>
      <c r="E10" s="76" t="s">
        <v>20</v>
      </c>
      <c r="F10" s="76" t="str">
        <f>'Stavební rozpočet'!I8</f>
        <v> </v>
      </c>
      <c r="G10" s="77"/>
      <c r="H10" s="77" t="s">
        <v>494</v>
      </c>
      <c r="I10" s="114" t="str">
        <f>'Stavební rozpočet'!G8</f>
        <v>07.02.2025</v>
      </c>
    </row>
    <row r="11" spans="1:9" x14ac:dyDescent="0.25">
      <c r="A11" s="152"/>
      <c r="B11" s="117"/>
      <c r="C11" s="117"/>
      <c r="D11" s="117"/>
      <c r="E11" s="117"/>
      <c r="F11" s="117"/>
      <c r="G11" s="117"/>
      <c r="H11" s="117"/>
      <c r="I11" s="148"/>
    </row>
    <row r="13" spans="1:9" ht="15.75" x14ac:dyDescent="0.25">
      <c r="A13" s="163" t="s">
        <v>536</v>
      </c>
      <c r="B13" s="163"/>
      <c r="C13" s="163"/>
      <c r="D13" s="163"/>
      <c r="E13" s="163"/>
    </row>
    <row r="14" spans="1:9" x14ac:dyDescent="0.25">
      <c r="A14" s="164" t="s">
        <v>537</v>
      </c>
      <c r="B14" s="165"/>
      <c r="C14" s="165"/>
      <c r="D14" s="165"/>
      <c r="E14" s="166"/>
      <c r="F14" s="68" t="s">
        <v>538</v>
      </c>
      <c r="G14" s="68" t="s">
        <v>539</v>
      </c>
      <c r="H14" s="68" t="s">
        <v>540</v>
      </c>
      <c r="I14" s="68" t="s">
        <v>538</v>
      </c>
    </row>
    <row r="15" spans="1:9" x14ac:dyDescent="0.25">
      <c r="A15" s="170" t="s">
        <v>504</v>
      </c>
      <c r="B15" s="171"/>
      <c r="C15" s="171"/>
      <c r="D15" s="171"/>
      <c r="E15" s="172"/>
      <c r="F15" s="69">
        <v>0</v>
      </c>
      <c r="G15" s="70" t="s">
        <v>50</v>
      </c>
      <c r="H15" s="70" t="s">
        <v>50</v>
      </c>
      <c r="I15" s="69">
        <f>F15</f>
        <v>0</v>
      </c>
    </row>
    <row r="16" spans="1:9" x14ac:dyDescent="0.25">
      <c r="A16" s="170" t="s">
        <v>506</v>
      </c>
      <c r="B16" s="171"/>
      <c r="C16" s="171"/>
      <c r="D16" s="171"/>
      <c r="E16" s="172"/>
      <c r="F16" s="69">
        <v>0</v>
      </c>
      <c r="G16" s="70" t="s">
        <v>50</v>
      </c>
      <c r="H16" s="70" t="s">
        <v>50</v>
      </c>
      <c r="I16" s="69">
        <f>F16</f>
        <v>0</v>
      </c>
    </row>
    <row r="17" spans="1:9" x14ac:dyDescent="0.25">
      <c r="A17" s="167" t="s">
        <v>509</v>
      </c>
      <c r="B17" s="168"/>
      <c r="C17" s="168"/>
      <c r="D17" s="168"/>
      <c r="E17" s="169"/>
      <c r="F17" s="71">
        <v>0</v>
      </c>
      <c r="G17" s="72" t="s">
        <v>50</v>
      </c>
      <c r="H17" s="72" t="s">
        <v>50</v>
      </c>
      <c r="I17" s="71">
        <f>F17</f>
        <v>0</v>
      </c>
    </row>
    <row r="18" spans="1:9" x14ac:dyDescent="0.25">
      <c r="A18" s="115" t="s">
        <v>541</v>
      </c>
      <c r="B18" s="155"/>
      <c r="C18" s="155"/>
      <c r="D18" s="155"/>
      <c r="E18" s="156"/>
      <c r="F18" s="73" t="s">
        <v>50</v>
      </c>
      <c r="G18" s="74" t="s">
        <v>50</v>
      </c>
      <c r="H18" s="74" t="s">
        <v>50</v>
      </c>
      <c r="I18" s="75">
        <f>SUM(I15:I17)</f>
        <v>0</v>
      </c>
    </row>
    <row r="20" spans="1:9" x14ac:dyDescent="0.25">
      <c r="A20" s="164" t="s">
        <v>501</v>
      </c>
      <c r="B20" s="165"/>
      <c r="C20" s="165"/>
      <c r="D20" s="165"/>
      <c r="E20" s="166"/>
      <c r="F20" s="68" t="s">
        <v>538</v>
      </c>
      <c r="G20" s="68" t="s">
        <v>539</v>
      </c>
      <c r="H20" s="68" t="s">
        <v>540</v>
      </c>
      <c r="I20" s="68" t="s">
        <v>538</v>
      </c>
    </row>
    <row r="21" spans="1:9" x14ac:dyDescent="0.25">
      <c r="A21" s="170" t="s">
        <v>505</v>
      </c>
      <c r="B21" s="171"/>
      <c r="C21" s="171"/>
      <c r="D21" s="171"/>
      <c r="E21" s="172"/>
      <c r="F21" s="70" t="s">
        <v>50</v>
      </c>
      <c r="G21" s="69">
        <v>2.5</v>
      </c>
      <c r="H21" s="69">
        <f>'Krycí list rozpočtu'!C22</f>
        <v>0</v>
      </c>
      <c r="I21" s="69">
        <f>ROUND((G21/100)*H21,2)</f>
        <v>0</v>
      </c>
    </row>
    <row r="22" spans="1:9" x14ac:dyDescent="0.25">
      <c r="A22" s="170" t="s">
        <v>507</v>
      </c>
      <c r="B22" s="171"/>
      <c r="C22" s="171"/>
      <c r="D22" s="171"/>
      <c r="E22" s="172"/>
      <c r="F22" s="69">
        <v>0</v>
      </c>
      <c r="G22" s="70" t="s">
        <v>50</v>
      </c>
      <c r="H22" s="70" t="s">
        <v>50</v>
      </c>
      <c r="I22" s="69">
        <f>F22</f>
        <v>0</v>
      </c>
    </row>
    <row r="23" spans="1:9" x14ac:dyDescent="0.25">
      <c r="A23" s="170" t="s">
        <v>510</v>
      </c>
      <c r="B23" s="171"/>
      <c r="C23" s="171"/>
      <c r="D23" s="171"/>
      <c r="E23" s="172"/>
      <c r="F23" s="69">
        <v>0</v>
      </c>
      <c r="G23" s="70" t="s">
        <v>50</v>
      </c>
      <c r="H23" s="70" t="s">
        <v>50</v>
      </c>
      <c r="I23" s="69">
        <f>F23</f>
        <v>0</v>
      </c>
    </row>
    <row r="24" spans="1:9" x14ac:dyDescent="0.25">
      <c r="A24" s="170" t="s">
        <v>511</v>
      </c>
      <c r="B24" s="171"/>
      <c r="C24" s="171"/>
      <c r="D24" s="171"/>
      <c r="E24" s="172"/>
      <c r="F24" s="69">
        <v>0</v>
      </c>
      <c r="G24" s="70" t="s">
        <v>50</v>
      </c>
      <c r="H24" s="70" t="s">
        <v>50</v>
      </c>
      <c r="I24" s="69">
        <f>F24</f>
        <v>0</v>
      </c>
    </row>
    <row r="25" spans="1:9" x14ac:dyDescent="0.25">
      <c r="A25" s="170" t="s">
        <v>513</v>
      </c>
      <c r="B25" s="171"/>
      <c r="C25" s="171"/>
      <c r="D25" s="171"/>
      <c r="E25" s="172"/>
      <c r="F25" s="69">
        <v>0</v>
      </c>
      <c r="G25" s="70" t="s">
        <v>50</v>
      </c>
      <c r="H25" s="70" t="s">
        <v>50</v>
      </c>
      <c r="I25" s="69">
        <f>F25</f>
        <v>0</v>
      </c>
    </row>
    <row r="26" spans="1:9" x14ac:dyDescent="0.25">
      <c r="A26" s="167" t="s">
        <v>514</v>
      </c>
      <c r="B26" s="168"/>
      <c r="C26" s="168"/>
      <c r="D26" s="168"/>
      <c r="E26" s="169"/>
      <c r="F26" s="71">
        <v>0</v>
      </c>
      <c r="G26" s="72" t="s">
        <v>50</v>
      </c>
      <c r="H26" s="72" t="s">
        <v>50</v>
      </c>
      <c r="I26" s="71">
        <f>F26</f>
        <v>0</v>
      </c>
    </row>
    <row r="27" spans="1:9" x14ac:dyDescent="0.25">
      <c r="A27" s="115" t="s">
        <v>542</v>
      </c>
      <c r="B27" s="155"/>
      <c r="C27" s="155"/>
      <c r="D27" s="155"/>
      <c r="E27" s="156"/>
      <c r="F27" s="73" t="s">
        <v>50</v>
      </c>
      <c r="G27" s="74" t="s">
        <v>50</v>
      </c>
      <c r="H27" s="74" t="s">
        <v>50</v>
      </c>
      <c r="I27" s="75">
        <f>SUM(I21:I26)</f>
        <v>0</v>
      </c>
    </row>
    <row r="29" spans="1:9" ht="15.75" x14ac:dyDescent="0.25">
      <c r="A29" s="157" t="s">
        <v>543</v>
      </c>
      <c r="B29" s="158"/>
      <c r="C29" s="158"/>
      <c r="D29" s="158"/>
      <c r="E29" s="159"/>
      <c r="F29" s="160">
        <f>I18+I27</f>
        <v>0</v>
      </c>
      <c r="G29" s="161"/>
      <c r="H29" s="161"/>
      <c r="I29" s="162"/>
    </row>
    <row r="33" spans="1:9" ht="15.75" x14ac:dyDescent="0.25">
      <c r="A33" s="163" t="s">
        <v>544</v>
      </c>
      <c r="B33" s="163"/>
      <c r="C33" s="163"/>
      <c r="D33" s="163"/>
      <c r="E33" s="163"/>
    </row>
    <row r="34" spans="1:9" x14ac:dyDescent="0.25">
      <c r="A34" s="164" t="s">
        <v>545</v>
      </c>
      <c r="B34" s="165"/>
      <c r="C34" s="165"/>
      <c r="D34" s="165"/>
      <c r="E34" s="166"/>
      <c r="F34" s="68" t="s">
        <v>538</v>
      </c>
      <c r="G34" s="68" t="s">
        <v>539</v>
      </c>
      <c r="H34" s="68" t="s">
        <v>540</v>
      </c>
      <c r="I34" s="68" t="s">
        <v>538</v>
      </c>
    </row>
    <row r="35" spans="1:9" x14ac:dyDescent="0.25">
      <c r="A35" s="167" t="s">
        <v>50</v>
      </c>
      <c r="B35" s="168"/>
      <c r="C35" s="168"/>
      <c r="D35" s="168"/>
      <c r="E35" s="169"/>
      <c r="F35" s="71">
        <v>0</v>
      </c>
      <c r="G35" s="72" t="s">
        <v>50</v>
      </c>
      <c r="H35" s="72" t="s">
        <v>50</v>
      </c>
      <c r="I35" s="71">
        <f>F35</f>
        <v>0</v>
      </c>
    </row>
    <row r="36" spans="1:9" x14ac:dyDescent="0.25">
      <c r="A36" s="115" t="s">
        <v>546</v>
      </c>
      <c r="B36" s="155"/>
      <c r="C36" s="155"/>
      <c r="D36" s="155"/>
      <c r="E36" s="156"/>
      <c r="F36" s="73" t="s">
        <v>50</v>
      </c>
      <c r="G36" s="74" t="s">
        <v>50</v>
      </c>
      <c r="H36" s="74" t="s">
        <v>50</v>
      </c>
      <c r="I36" s="75">
        <f>SUM(I35:I35)</f>
        <v>0</v>
      </c>
    </row>
  </sheetData>
  <mergeCells count="51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36:E36"/>
    <mergeCell ref="A29:E29"/>
    <mergeCell ref="F29:I29"/>
    <mergeCell ref="A33:E33"/>
    <mergeCell ref="A34:E34"/>
    <mergeCell ref="A35:E35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Stavební rozpočet</vt:lpstr>
      <vt:lpstr>Stavební rozpočet - součet</vt:lpstr>
      <vt:lpstr>Krycí list rozpočtu</vt:lpstr>
      <vt:lpstr>VORN</vt:lpstr>
      <vt:lpstr>vorn_sum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Lukáš Friedl</cp:lastModifiedBy>
  <dcterms:created xsi:type="dcterms:W3CDTF">2021-06-10T20:06:38Z</dcterms:created>
  <dcterms:modified xsi:type="dcterms:W3CDTF">2025-07-01T06:11:52Z</dcterms:modified>
</cp:coreProperties>
</file>