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sf3\dokumenty$\martin.zenozicka\Dokumenty\Dokumenty\ZŠ + G\Kotelna + FVE\VŘ\DPS - Výkaz výměr\"/>
    </mc:Choice>
  </mc:AlternateContent>
  <xr:revisionPtr revIDLastSave="0" documentId="13_ncr:1_{09D62302-E52D-407E-B35F-3213349BEBF1}" xr6:coauthVersionLast="36" xr6:coauthVersionMax="47" xr10:uidLastSave="{00000000-0000-0000-0000-000000000000}"/>
  <bookViews>
    <workbookView xWindow="-38520" yWindow="-120" windowWidth="38640" windowHeight="21120" activeTab="3" xr2:uid="{00000000-000D-0000-FFFF-FFFF00000000}"/>
  </bookViews>
  <sheets>
    <sheet name="Krycí list rozpočtu" sheetId="2" r:id="rId1"/>
    <sheet name="Stavební rozpočet" sheetId="1" r:id="rId2"/>
    <sheet name="stavební práce pol 16" sheetId="4" r:id="rId3"/>
    <sheet name="příloha rozpočtu" sheetId="5" r:id="rId4"/>
    <sheet name="VORN" sheetId="3" state="hidden" r:id="rId5"/>
  </sheets>
  <definedNames>
    <definedName name="vorn_sum">VORN!$I$45</definedName>
  </definedNames>
  <calcPr calcId="191029"/>
</workbook>
</file>

<file path=xl/calcChain.xml><?xml version="1.0" encoding="utf-8"?>
<calcChain xmlns="http://schemas.openxmlformats.org/spreadsheetml/2006/main">
  <c r="BJ73" i="4" l="1"/>
  <c r="BF73" i="4"/>
  <c r="BD73" i="4"/>
  <c r="AX73" i="4"/>
  <c r="AP73" i="4"/>
  <c r="BI73" i="4" s="1"/>
  <c r="AO73" i="4"/>
  <c r="AW73" i="4" s="1"/>
  <c r="AK73" i="4"/>
  <c r="AJ73" i="4"/>
  <c r="AH73" i="4"/>
  <c r="AG73" i="4"/>
  <c r="AF73" i="4"/>
  <c r="AE73" i="4"/>
  <c r="AD73" i="4"/>
  <c r="AC73" i="4"/>
  <c r="AB73" i="4"/>
  <c r="Z73" i="4"/>
  <c r="J73" i="4"/>
  <c r="AL73" i="4" s="1"/>
  <c r="I73" i="4"/>
  <c r="BJ72" i="4"/>
  <c r="BF72" i="4"/>
  <c r="BD72" i="4"/>
  <c r="AX72" i="4"/>
  <c r="AP72" i="4"/>
  <c r="I72" i="4" s="1"/>
  <c r="AO72" i="4"/>
  <c r="AW72" i="4" s="1"/>
  <c r="AK72" i="4"/>
  <c r="AJ72" i="4"/>
  <c r="AH72" i="4"/>
  <c r="AG72" i="4"/>
  <c r="AF72" i="4"/>
  <c r="AE72" i="4"/>
  <c r="AD72" i="4"/>
  <c r="AC72" i="4"/>
  <c r="AB72" i="4"/>
  <c r="Z72" i="4"/>
  <c r="J72" i="4"/>
  <c r="AL72" i="4" s="1"/>
  <c r="H72" i="4"/>
  <c r="BJ71" i="4"/>
  <c r="AH71" i="4" s="1"/>
  <c r="BF71" i="4"/>
  <c r="BD71" i="4"/>
  <c r="AP71" i="4"/>
  <c r="AX71" i="4" s="1"/>
  <c r="AO71" i="4"/>
  <c r="AW71" i="4" s="1"/>
  <c r="AL71" i="4"/>
  <c r="AK71" i="4"/>
  <c r="AJ71" i="4"/>
  <c r="AG71" i="4"/>
  <c r="AF71" i="4"/>
  <c r="AE71" i="4"/>
  <c r="AD71" i="4"/>
  <c r="AC71" i="4"/>
  <c r="AB71" i="4"/>
  <c r="Z71" i="4"/>
  <c r="J71" i="4"/>
  <c r="I71" i="4"/>
  <c r="H71" i="4"/>
  <c r="BJ70" i="4"/>
  <c r="BH70" i="4"/>
  <c r="BF70" i="4"/>
  <c r="BD70" i="4"/>
  <c r="AP70" i="4"/>
  <c r="AX70" i="4" s="1"/>
  <c r="AO70" i="4"/>
  <c r="AW70" i="4" s="1"/>
  <c r="AL70" i="4"/>
  <c r="AK70" i="4"/>
  <c r="AJ70" i="4"/>
  <c r="AH70" i="4"/>
  <c r="AG70" i="4"/>
  <c r="AF70" i="4"/>
  <c r="AE70" i="4"/>
  <c r="AD70" i="4"/>
  <c r="AC70" i="4"/>
  <c r="AB70" i="4"/>
  <c r="Z70" i="4"/>
  <c r="J70" i="4"/>
  <c r="I70" i="4"/>
  <c r="BJ69" i="4"/>
  <c r="BF69" i="4"/>
  <c r="BD69" i="4"/>
  <c r="AP69" i="4"/>
  <c r="BI69" i="4" s="1"/>
  <c r="AO69" i="4"/>
  <c r="BH69" i="4" s="1"/>
  <c r="AK69" i="4"/>
  <c r="AJ69" i="4"/>
  <c r="AH69" i="4"/>
  <c r="AG69" i="4"/>
  <c r="AF69" i="4"/>
  <c r="AE69" i="4"/>
  <c r="AD69" i="4"/>
  <c r="AC69" i="4"/>
  <c r="AB69" i="4"/>
  <c r="Z69" i="4"/>
  <c r="J69" i="4"/>
  <c r="AL69" i="4" s="1"/>
  <c r="BJ68" i="4"/>
  <c r="AH68" i="4" s="1"/>
  <c r="BF68" i="4"/>
  <c r="BD68" i="4"/>
  <c r="AP68" i="4"/>
  <c r="BI68" i="4" s="1"/>
  <c r="AO68" i="4"/>
  <c r="BH68" i="4" s="1"/>
  <c r="AK68" i="4"/>
  <c r="AJ68" i="4"/>
  <c r="AG68" i="4"/>
  <c r="AF68" i="4"/>
  <c r="AE68" i="4"/>
  <c r="AD68" i="4"/>
  <c r="AC68" i="4"/>
  <c r="AB68" i="4"/>
  <c r="Z68" i="4"/>
  <c r="J68" i="4"/>
  <c r="AL68" i="4" s="1"/>
  <c r="H68" i="4"/>
  <c r="BJ67" i="4"/>
  <c r="AH67" i="4" s="1"/>
  <c r="BF67" i="4"/>
  <c r="BD67" i="4"/>
  <c r="AW67" i="4"/>
  <c r="AP67" i="4"/>
  <c r="BI67" i="4" s="1"/>
  <c r="AO67" i="4"/>
  <c r="BH67" i="4" s="1"/>
  <c r="AK67" i="4"/>
  <c r="AJ67" i="4"/>
  <c r="AG67" i="4"/>
  <c r="AF67" i="4"/>
  <c r="AE67" i="4"/>
  <c r="AD67" i="4"/>
  <c r="AC67" i="4"/>
  <c r="AB67" i="4"/>
  <c r="Z67" i="4"/>
  <c r="J67" i="4"/>
  <c r="AL67" i="4" s="1"/>
  <c r="I67" i="4"/>
  <c r="H67" i="4"/>
  <c r="BJ66" i="4"/>
  <c r="BF66" i="4"/>
  <c r="BD66" i="4"/>
  <c r="AW66" i="4"/>
  <c r="AP66" i="4"/>
  <c r="BI66" i="4" s="1"/>
  <c r="AO66" i="4"/>
  <c r="BH66" i="4" s="1"/>
  <c r="AK66" i="4"/>
  <c r="AJ66" i="4"/>
  <c r="AH66" i="4"/>
  <c r="AG66" i="4"/>
  <c r="AF66" i="4"/>
  <c r="AE66" i="4"/>
  <c r="AD66" i="4"/>
  <c r="AC66" i="4"/>
  <c r="AB66" i="4"/>
  <c r="Z66" i="4"/>
  <c r="J66" i="4"/>
  <c r="AL66" i="4" s="1"/>
  <c r="H66" i="4"/>
  <c r="BJ65" i="4"/>
  <c r="BF65" i="4"/>
  <c r="BD65" i="4"/>
  <c r="AX65" i="4"/>
  <c r="AP65" i="4"/>
  <c r="BI65" i="4" s="1"/>
  <c r="AO65" i="4"/>
  <c r="AW65" i="4" s="1"/>
  <c r="AK65" i="4"/>
  <c r="AJ65" i="4"/>
  <c r="AH65" i="4"/>
  <c r="AG65" i="4"/>
  <c r="AF65" i="4"/>
  <c r="AE65" i="4"/>
  <c r="AD65" i="4"/>
  <c r="AC65" i="4"/>
  <c r="AB65" i="4"/>
  <c r="Z65" i="4"/>
  <c r="J65" i="4"/>
  <c r="I65" i="4"/>
  <c r="BJ64" i="4"/>
  <c r="BF64" i="4"/>
  <c r="BD64" i="4"/>
  <c r="AP64" i="4"/>
  <c r="AX64" i="4" s="1"/>
  <c r="AO64" i="4"/>
  <c r="AW64" i="4" s="1"/>
  <c r="AK64" i="4"/>
  <c r="AJ64" i="4"/>
  <c r="AH64" i="4"/>
  <c r="AG64" i="4"/>
  <c r="AF64" i="4"/>
  <c r="AE64" i="4"/>
  <c r="AD64" i="4"/>
  <c r="AC64" i="4"/>
  <c r="AB64" i="4"/>
  <c r="Z64" i="4"/>
  <c r="J64" i="4"/>
  <c r="AL64" i="4" s="1"/>
  <c r="H64" i="4"/>
  <c r="BJ63" i="4"/>
  <c r="AH63" i="4" s="1"/>
  <c r="BF63" i="4"/>
  <c r="BD63" i="4"/>
  <c r="AP63" i="4"/>
  <c r="AX63" i="4" s="1"/>
  <c r="AO63" i="4"/>
  <c r="BH63" i="4" s="1"/>
  <c r="AK63" i="4"/>
  <c r="AJ63" i="4"/>
  <c r="AG63" i="4"/>
  <c r="AF63" i="4"/>
  <c r="AE63" i="4"/>
  <c r="AD63" i="4"/>
  <c r="AC63" i="4"/>
  <c r="AB63" i="4"/>
  <c r="Z63" i="4"/>
  <c r="J63" i="4"/>
  <c r="AL63" i="4" s="1"/>
  <c r="I63" i="4"/>
  <c r="BJ62" i="4"/>
  <c r="BH62" i="4"/>
  <c r="BF62" i="4"/>
  <c r="BD62" i="4"/>
  <c r="AX62" i="4"/>
  <c r="AP62" i="4"/>
  <c r="BI62" i="4" s="1"/>
  <c r="AO62" i="4"/>
  <c r="AW62" i="4" s="1"/>
  <c r="AL62" i="4"/>
  <c r="AK62" i="4"/>
  <c r="AJ62" i="4"/>
  <c r="AH62" i="4"/>
  <c r="AG62" i="4"/>
  <c r="AF62" i="4"/>
  <c r="AE62" i="4"/>
  <c r="AD62" i="4"/>
  <c r="AC62" i="4"/>
  <c r="AB62" i="4"/>
  <c r="Z62" i="4"/>
  <c r="J62" i="4"/>
  <c r="I62" i="4"/>
  <c r="AS61" i="4"/>
  <c r="BJ60" i="4"/>
  <c r="BF60" i="4"/>
  <c r="BD60" i="4"/>
  <c r="AP60" i="4"/>
  <c r="AX60" i="4" s="1"/>
  <c r="AO60" i="4"/>
  <c r="BH60" i="4" s="1"/>
  <c r="AK60" i="4"/>
  <c r="AJ60" i="4"/>
  <c r="AH60" i="4"/>
  <c r="AG60" i="4"/>
  <c r="AF60" i="4"/>
  <c r="AE60" i="4"/>
  <c r="AD60" i="4"/>
  <c r="AC60" i="4"/>
  <c r="AB60" i="4"/>
  <c r="Z60" i="4"/>
  <c r="J60" i="4"/>
  <c r="AL60" i="4" s="1"/>
  <c r="I60" i="4"/>
  <c r="BJ59" i="4"/>
  <c r="BF59" i="4"/>
  <c r="BD59" i="4"/>
  <c r="AX59" i="4"/>
  <c r="AP59" i="4"/>
  <c r="BI59" i="4" s="1"/>
  <c r="AO59" i="4"/>
  <c r="AW59" i="4" s="1"/>
  <c r="AK59" i="4"/>
  <c r="AJ59" i="4"/>
  <c r="AH59" i="4"/>
  <c r="AG59" i="4"/>
  <c r="AF59" i="4"/>
  <c r="AE59" i="4"/>
  <c r="AD59" i="4"/>
  <c r="AC59" i="4"/>
  <c r="AB59" i="4"/>
  <c r="Z59" i="4"/>
  <c r="J59" i="4"/>
  <c r="AL59" i="4" s="1"/>
  <c r="I59" i="4"/>
  <c r="BJ58" i="4"/>
  <c r="BF58" i="4"/>
  <c r="BD58" i="4"/>
  <c r="AP58" i="4"/>
  <c r="AX58" i="4" s="1"/>
  <c r="AO58" i="4"/>
  <c r="AW58" i="4" s="1"/>
  <c r="AK58" i="4"/>
  <c r="AJ58" i="4"/>
  <c r="AH58" i="4"/>
  <c r="AG58" i="4"/>
  <c r="AF58" i="4"/>
  <c r="AE58" i="4"/>
  <c r="AD58" i="4"/>
  <c r="AC58" i="4"/>
  <c r="AB58" i="4"/>
  <c r="Z58" i="4"/>
  <c r="J58" i="4"/>
  <c r="AL58" i="4" s="1"/>
  <c r="BJ57" i="4"/>
  <c r="Z57" i="4" s="1"/>
  <c r="BF57" i="4"/>
  <c r="BD57" i="4"/>
  <c r="AP57" i="4"/>
  <c r="BI57" i="4" s="1"/>
  <c r="AO57" i="4"/>
  <c r="BH57" i="4" s="1"/>
  <c r="AK57" i="4"/>
  <c r="AJ57" i="4"/>
  <c r="AH57" i="4"/>
  <c r="AG57" i="4"/>
  <c r="AF57" i="4"/>
  <c r="AE57" i="4"/>
  <c r="AD57" i="4"/>
  <c r="AC57" i="4"/>
  <c r="AB57" i="4"/>
  <c r="J57" i="4"/>
  <c r="AL57" i="4" s="1"/>
  <c r="BJ56" i="4"/>
  <c r="Z56" i="4" s="1"/>
  <c r="BF56" i="4"/>
  <c r="BD56" i="4"/>
  <c r="AP56" i="4"/>
  <c r="BI56" i="4" s="1"/>
  <c r="AO56" i="4"/>
  <c r="BH56" i="4" s="1"/>
  <c r="AL56" i="4"/>
  <c r="AK56" i="4"/>
  <c r="AT55" i="4" s="1"/>
  <c r="AJ56" i="4"/>
  <c r="AH56" i="4"/>
  <c r="AG56" i="4"/>
  <c r="AF56" i="4"/>
  <c r="AE56" i="4"/>
  <c r="AD56" i="4"/>
  <c r="AC56" i="4"/>
  <c r="AB56" i="4"/>
  <c r="J56" i="4"/>
  <c r="J55" i="4" s="1"/>
  <c r="H56" i="4"/>
  <c r="AS55" i="4"/>
  <c r="BJ54" i="4"/>
  <c r="BF54" i="4"/>
  <c r="BD54" i="4"/>
  <c r="AP54" i="4"/>
  <c r="BI54" i="4" s="1"/>
  <c r="AG54" i="4" s="1"/>
  <c r="AO54" i="4"/>
  <c r="BH54" i="4" s="1"/>
  <c r="AF54" i="4" s="1"/>
  <c r="AK54" i="4"/>
  <c r="AT53" i="4" s="1"/>
  <c r="AJ54" i="4"/>
  <c r="AS53" i="4" s="1"/>
  <c r="AH54" i="4"/>
  <c r="AE54" i="4"/>
  <c r="AD54" i="4"/>
  <c r="AC54" i="4"/>
  <c r="AB54" i="4"/>
  <c r="Z54" i="4"/>
  <c r="J54" i="4"/>
  <c r="AL54" i="4" s="1"/>
  <c r="AU53" i="4" s="1"/>
  <c r="H54" i="4"/>
  <c r="H53" i="4" s="1"/>
  <c r="J53" i="4"/>
  <c r="BJ52" i="4"/>
  <c r="BF52" i="4"/>
  <c r="BD52" i="4"/>
  <c r="AP52" i="4"/>
  <c r="BI52" i="4" s="1"/>
  <c r="AG52" i="4" s="1"/>
  <c r="AO52" i="4"/>
  <c r="BH52" i="4" s="1"/>
  <c r="AF52" i="4" s="1"/>
  <c r="AK52" i="4"/>
  <c r="AT51" i="4" s="1"/>
  <c r="AJ52" i="4"/>
  <c r="AS51" i="4" s="1"/>
  <c r="AH52" i="4"/>
  <c r="AE52" i="4"/>
  <c r="AD52" i="4"/>
  <c r="AC52" i="4"/>
  <c r="AB52" i="4"/>
  <c r="Z52" i="4"/>
  <c r="J52" i="4"/>
  <c r="AL52" i="4" s="1"/>
  <c r="AU51" i="4" s="1"/>
  <c r="BJ50" i="4"/>
  <c r="BF50" i="4"/>
  <c r="BD50" i="4"/>
  <c r="AP50" i="4"/>
  <c r="BI50" i="4" s="1"/>
  <c r="AG50" i="4" s="1"/>
  <c r="AO50" i="4"/>
  <c r="AW50" i="4" s="1"/>
  <c r="AK50" i="4"/>
  <c r="AJ50" i="4"/>
  <c r="AS49" i="4" s="1"/>
  <c r="AH50" i="4"/>
  <c r="AE50" i="4"/>
  <c r="AD50" i="4"/>
  <c r="AC50" i="4"/>
  <c r="AB50" i="4"/>
  <c r="Z50" i="4"/>
  <c r="J50" i="4"/>
  <c r="AL50" i="4" s="1"/>
  <c r="AU49" i="4" s="1"/>
  <c r="I50" i="4"/>
  <c r="I49" i="4" s="1"/>
  <c r="AT49" i="4"/>
  <c r="BJ48" i="4"/>
  <c r="Z48" i="4" s="1"/>
  <c r="BF48" i="4"/>
  <c r="BD48" i="4"/>
  <c r="AP48" i="4"/>
  <c r="AX48" i="4" s="1"/>
  <c r="AO48" i="4"/>
  <c r="BH48" i="4" s="1"/>
  <c r="AK48" i="4"/>
  <c r="AT47" i="4" s="1"/>
  <c r="AJ48" i="4"/>
  <c r="AH48" i="4"/>
  <c r="AG48" i="4"/>
  <c r="AF48" i="4"/>
  <c r="AE48" i="4"/>
  <c r="AD48" i="4"/>
  <c r="AC48" i="4"/>
  <c r="AB48" i="4"/>
  <c r="J48" i="4"/>
  <c r="J47" i="4" s="1"/>
  <c r="AS47" i="4"/>
  <c r="BJ46" i="4"/>
  <c r="BF46" i="4"/>
  <c r="BD46" i="4"/>
  <c r="AP46" i="4"/>
  <c r="AX46" i="4" s="1"/>
  <c r="AO46" i="4"/>
  <c r="AW46" i="4" s="1"/>
  <c r="AK46" i="4"/>
  <c r="AT45" i="4" s="1"/>
  <c r="AJ46" i="4"/>
  <c r="AS45" i="4" s="1"/>
  <c r="AH46" i="4"/>
  <c r="AG46" i="4"/>
  <c r="AF46" i="4"/>
  <c r="AE46" i="4"/>
  <c r="AD46" i="4"/>
  <c r="Z46" i="4"/>
  <c r="J46" i="4"/>
  <c r="AL46" i="4" s="1"/>
  <c r="AU45" i="4" s="1"/>
  <c r="H46" i="4"/>
  <c r="H45" i="4" s="1"/>
  <c r="BJ44" i="4"/>
  <c r="BF44" i="4"/>
  <c r="BD44" i="4"/>
  <c r="AX44" i="4"/>
  <c r="AP44" i="4"/>
  <c r="I44" i="4" s="1"/>
  <c r="I43" i="4" s="1"/>
  <c r="AO44" i="4"/>
  <c r="AW44" i="4" s="1"/>
  <c r="AK44" i="4"/>
  <c r="AJ44" i="4"/>
  <c r="AS43" i="4" s="1"/>
  <c r="AH44" i="4"/>
  <c r="AG44" i="4"/>
  <c r="AF44" i="4"/>
  <c r="AE44" i="4"/>
  <c r="AD44" i="4"/>
  <c r="Z44" i="4"/>
  <c r="J44" i="4"/>
  <c r="AL44" i="4" s="1"/>
  <c r="AU43" i="4" s="1"/>
  <c r="AT43" i="4"/>
  <c r="BJ42" i="4"/>
  <c r="BF42" i="4"/>
  <c r="BD42" i="4"/>
  <c r="AP42" i="4"/>
  <c r="BI42" i="4" s="1"/>
  <c r="AC42" i="4" s="1"/>
  <c r="AO42" i="4"/>
  <c r="H42" i="4" s="1"/>
  <c r="H41" i="4" s="1"/>
  <c r="AK42" i="4"/>
  <c r="AJ42" i="4"/>
  <c r="AH42" i="4"/>
  <c r="AG42" i="4"/>
  <c r="AF42" i="4"/>
  <c r="AE42" i="4"/>
  <c r="AD42" i="4"/>
  <c r="Z42" i="4"/>
  <c r="J42" i="4"/>
  <c r="AL42" i="4" s="1"/>
  <c r="AU41" i="4" s="1"/>
  <c r="AT41" i="4"/>
  <c r="AS41" i="4"/>
  <c r="BJ40" i="4"/>
  <c r="BF40" i="4"/>
  <c r="BD40" i="4"/>
  <c r="AW40" i="4"/>
  <c r="AP40" i="4"/>
  <c r="BI40" i="4" s="1"/>
  <c r="AC40" i="4" s="1"/>
  <c r="AO40" i="4"/>
  <c r="BH40" i="4" s="1"/>
  <c r="AB40" i="4" s="1"/>
  <c r="AK40" i="4"/>
  <c r="AT39" i="4" s="1"/>
  <c r="AJ40" i="4"/>
  <c r="AH40" i="4"/>
  <c r="AG40" i="4"/>
  <c r="AF40" i="4"/>
  <c r="AE40" i="4"/>
  <c r="AD40" i="4"/>
  <c r="Z40" i="4"/>
  <c r="J40" i="4"/>
  <c r="AL40" i="4" s="1"/>
  <c r="AU39" i="4" s="1"/>
  <c r="H40" i="4"/>
  <c r="H39" i="4" s="1"/>
  <c r="AS39" i="4"/>
  <c r="BJ38" i="4"/>
  <c r="BF38" i="4"/>
  <c r="BD38" i="4"/>
  <c r="AP38" i="4"/>
  <c r="AX38" i="4" s="1"/>
  <c r="AO38" i="4"/>
  <c r="BH38" i="4" s="1"/>
  <c r="AD38" i="4" s="1"/>
  <c r="AK38" i="4"/>
  <c r="AT37" i="4" s="1"/>
  <c r="AJ38" i="4"/>
  <c r="AS37" i="4" s="1"/>
  <c r="AH38" i="4"/>
  <c r="AG38" i="4"/>
  <c r="AF38" i="4"/>
  <c r="AC38" i="4"/>
  <c r="AB38" i="4"/>
  <c r="Z38" i="4"/>
  <c r="J38" i="4"/>
  <c r="AL38" i="4" s="1"/>
  <c r="AU37" i="4" s="1"/>
  <c r="H38" i="4"/>
  <c r="H37" i="4" s="1"/>
  <c r="J37" i="4"/>
  <c r="BJ36" i="4"/>
  <c r="BF36" i="4"/>
  <c r="BD36" i="4"/>
  <c r="AP36" i="4"/>
  <c r="BI36" i="4" s="1"/>
  <c r="AE36" i="4" s="1"/>
  <c r="AO36" i="4"/>
  <c r="BH36" i="4" s="1"/>
  <c r="AD36" i="4" s="1"/>
  <c r="AK36" i="4"/>
  <c r="AT35" i="4" s="1"/>
  <c r="AJ36" i="4"/>
  <c r="AS35" i="4" s="1"/>
  <c r="AH36" i="4"/>
  <c r="AG36" i="4"/>
  <c r="AF36" i="4"/>
  <c r="AC36" i="4"/>
  <c r="AB36" i="4"/>
  <c r="Z36" i="4"/>
  <c r="J36" i="4"/>
  <c r="AL36" i="4" s="1"/>
  <c r="AU35" i="4" s="1"/>
  <c r="BJ34" i="4"/>
  <c r="BF34" i="4"/>
  <c r="BD34" i="4"/>
  <c r="AX34" i="4"/>
  <c r="AP34" i="4"/>
  <c r="BI34" i="4" s="1"/>
  <c r="AE34" i="4" s="1"/>
  <c r="AO34" i="4"/>
  <c r="AW34" i="4" s="1"/>
  <c r="AK34" i="4"/>
  <c r="AJ34" i="4"/>
  <c r="AH34" i="4"/>
  <c r="AG34" i="4"/>
  <c r="AF34" i="4"/>
  <c r="AC34" i="4"/>
  <c r="AB34" i="4"/>
  <c r="Z34" i="4"/>
  <c r="J34" i="4"/>
  <c r="AL34" i="4" s="1"/>
  <c r="I34" i="4"/>
  <c r="BJ33" i="4"/>
  <c r="BF33" i="4"/>
  <c r="BD33" i="4"/>
  <c r="AP33" i="4"/>
  <c r="BI33" i="4" s="1"/>
  <c r="AE33" i="4" s="1"/>
  <c r="AO33" i="4"/>
  <c r="AW33" i="4" s="1"/>
  <c r="AK33" i="4"/>
  <c r="AT32" i="4" s="1"/>
  <c r="AJ33" i="4"/>
  <c r="AH33" i="4"/>
  <c r="AG33" i="4"/>
  <c r="AF33" i="4"/>
  <c r="AC33" i="4"/>
  <c r="AB33" i="4"/>
  <c r="Z33" i="4"/>
  <c r="J33" i="4"/>
  <c r="AL33" i="4" s="1"/>
  <c r="BJ31" i="4"/>
  <c r="BF31" i="4"/>
  <c r="BD31" i="4"/>
  <c r="AP31" i="4"/>
  <c r="BI31" i="4" s="1"/>
  <c r="AE31" i="4" s="1"/>
  <c r="AO31" i="4"/>
  <c r="BH31" i="4" s="1"/>
  <c r="AD31" i="4" s="1"/>
  <c r="AL31" i="4"/>
  <c r="AU30" i="4" s="1"/>
  <c r="AK31" i="4"/>
  <c r="AJ31" i="4"/>
  <c r="AH31" i="4"/>
  <c r="AG31" i="4"/>
  <c r="AF31" i="4"/>
  <c r="AC31" i="4"/>
  <c r="AB31" i="4"/>
  <c r="Z31" i="4"/>
  <c r="J31" i="4"/>
  <c r="J30" i="4" s="1"/>
  <c r="I31" i="4"/>
  <c r="I30" i="4" s="1"/>
  <c r="AT30" i="4"/>
  <c r="AS30" i="4"/>
  <c r="BJ29" i="4"/>
  <c r="BF29" i="4"/>
  <c r="BD29" i="4"/>
  <c r="AP29" i="4"/>
  <c r="AX29" i="4" s="1"/>
  <c r="AO29" i="4"/>
  <c r="BH29" i="4" s="1"/>
  <c r="AD29" i="4" s="1"/>
  <c r="AK29" i="4"/>
  <c r="AT28" i="4" s="1"/>
  <c r="AJ29" i="4"/>
  <c r="AH29" i="4"/>
  <c r="AG29" i="4"/>
  <c r="AF29" i="4"/>
  <c r="AC29" i="4"/>
  <c r="AB29" i="4"/>
  <c r="Z29" i="4"/>
  <c r="J29" i="4"/>
  <c r="AL29" i="4" s="1"/>
  <c r="AU28" i="4" s="1"/>
  <c r="H29" i="4"/>
  <c r="H28" i="4" s="1"/>
  <c r="AS28" i="4"/>
  <c r="J28" i="4"/>
  <c r="BJ27" i="4"/>
  <c r="BF27" i="4"/>
  <c r="BD27" i="4"/>
  <c r="AP27" i="4"/>
  <c r="AX27" i="4" s="1"/>
  <c r="AO27" i="4"/>
  <c r="AW27" i="4" s="1"/>
  <c r="AK27" i="4"/>
  <c r="AT26" i="4" s="1"/>
  <c r="AJ27" i="4"/>
  <c r="AS26" i="4" s="1"/>
  <c r="AH27" i="4"/>
  <c r="AG27" i="4"/>
  <c r="AF27" i="4"/>
  <c r="AC27" i="4"/>
  <c r="AB27" i="4"/>
  <c r="Z27" i="4"/>
  <c r="J27" i="4"/>
  <c r="AL27" i="4" s="1"/>
  <c r="AU26" i="4" s="1"/>
  <c r="H27" i="4"/>
  <c r="H26" i="4" s="1"/>
  <c r="BJ25" i="4"/>
  <c r="BF25" i="4"/>
  <c r="BD25" i="4"/>
  <c r="AP25" i="4"/>
  <c r="I25" i="4" s="1"/>
  <c r="I24" i="4" s="1"/>
  <c r="AO25" i="4"/>
  <c r="AW25" i="4" s="1"/>
  <c r="AK25" i="4"/>
  <c r="AJ25" i="4"/>
  <c r="AS24" i="4" s="1"/>
  <c r="AH25" i="4"/>
  <c r="AG25" i="4"/>
  <c r="AF25" i="4"/>
  <c r="AE25" i="4"/>
  <c r="AD25" i="4"/>
  <c r="Z25" i="4"/>
  <c r="J25" i="4"/>
  <c r="AL25" i="4" s="1"/>
  <c r="AU24" i="4" s="1"/>
  <c r="AT24" i="4"/>
  <c r="BJ23" i="4"/>
  <c r="BF23" i="4"/>
  <c r="BD23" i="4"/>
  <c r="AP23" i="4"/>
  <c r="BI23" i="4" s="1"/>
  <c r="AC23" i="4" s="1"/>
  <c r="AO23" i="4"/>
  <c r="H23" i="4" s="1"/>
  <c r="H22" i="4" s="1"/>
  <c r="AK23" i="4"/>
  <c r="AJ23" i="4"/>
  <c r="AH23" i="4"/>
  <c r="AG23" i="4"/>
  <c r="AF23" i="4"/>
  <c r="AE23" i="4"/>
  <c r="AD23" i="4"/>
  <c r="Z23" i="4"/>
  <c r="J23" i="4"/>
  <c r="AL23" i="4" s="1"/>
  <c r="AU22" i="4" s="1"/>
  <c r="AT22" i="4"/>
  <c r="AS22" i="4"/>
  <c r="BJ21" i="4"/>
  <c r="BF21" i="4"/>
  <c r="BD21" i="4"/>
  <c r="AP21" i="4"/>
  <c r="BI21" i="4" s="1"/>
  <c r="AC21" i="4" s="1"/>
  <c r="AO21" i="4"/>
  <c r="BH21" i="4" s="1"/>
  <c r="AB21" i="4" s="1"/>
  <c r="AL21" i="4"/>
  <c r="AK21" i="4"/>
  <c r="AJ21" i="4"/>
  <c r="AS19" i="4" s="1"/>
  <c r="AH21" i="4"/>
  <c r="AG21" i="4"/>
  <c r="AF21" i="4"/>
  <c r="AE21" i="4"/>
  <c r="AD21" i="4"/>
  <c r="Z21" i="4"/>
  <c r="J21" i="4"/>
  <c r="I21" i="4"/>
  <c r="H21" i="4"/>
  <c r="BJ20" i="4"/>
  <c r="BF20" i="4"/>
  <c r="BD20" i="4"/>
  <c r="AW20" i="4"/>
  <c r="AP20" i="4"/>
  <c r="BI20" i="4" s="1"/>
  <c r="AC20" i="4" s="1"/>
  <c r="AO20" i="4"/>
  <c r="H20" i="4" s="1"/>
  <c r="AK20" i="4"/>
  <c r="AJ20" i="4"/>
  <c r="AH20" i="4"/>
  <c r="AG20" i="4"/>
  <c r="AF20" i="4"/>
  <c r="AE20" i="4"/>
  <c r="AD20" i="4"/>
  <c r="Z20" i="4"/>
  <c r="J20" i="4"/>
  <c r="AL20" i="4" s="1"/>
  <c r="AT19" i="4"/>
  <c r="BJ18" i="4"/>
  <c r="BF18" i="4"/>
  <c r="BD18" i="4"/>
  <c r="AP18" i="4"/>
  <c r="BI18" i="4" s="1"/>
  <c r="AC18" i="4" s="1"/>
  <c r="AO18" i="4"/>
  <c r="BH18" i="4" s="1"/>
  <c r="AB18" i="4" s="1"/>
  <c r="AK18" i="4"/>
  <c r="AT17" i="4" s="1"/>
  <c r="AJ18" i="4"/>
  <c r="AS17" i="4" s="1"/>
  <c r="AH18" i="4"/>
  <c r="AG18" i="4"/>
  <c r="AF18" i="4"/>
  <c r="AE18" i="4"/>
  <c r="AD18" i="4"/>
  <c r="Z18" i="4"/>
  <c r="J18" i="4"/>
  <c r="AL18" i="4" s="1"/>
  <c r="AU17" i="4" s="1"/>
  <c r="I18" i="4"/>
  <c r="I17" i="4" s="1"/>
  <c r="J17" i="4"/>
  <c r="BJ16" i="4"/>
  <c r="BF16" i="4"/>
  <c r="BD16" i="4"/>
  <c r="AP16" i="4"/>
  <c r="AX16" i="4" s="1"/>
  <c r="AO16" i="4"/>
  <c r="BH16" i="4" s="1"/>
  <c r="AB16" i="4" s="1"/>
  <c r="AK16" i="4"/>
  <c r="AT15" i="4" s="1"/>
  <c r="AJ16" i="4"/>
  <c r="AS15" i="4" s="1"/>
  <c r="AH16" i="4"/>
  <c r="AG16" i="4"/>
  <c r="AF16" i="4"/>
  <c r="AE16" i="4"/>
  <c r="AD16" i="4"/>
  <c r="Z16" i="4"/>
  <c r="J16" i="4"/>
  <c r="AL16" i="4" s="1"/>
  <c r="AU15" i="4" s="1"/>
  <c r="H16" i="4"/>
  <c r="H15" i="4" s="1"/>
  <c r="BJ14" i="4"/>
  <c r="BF14" i="4"/>
  <c r="BD14" i="4"/>
  <c r="AP14" i="4"/>
  <c r="BI14" i="4" s="1"/>
  <c r="AC14" i="4" s="1"/>
  <c r="AO14" i="4"/>
  <c r="AW14" i="4" s="1"/>
  <c r="AK14" i="4"/>
  <c r="AT13" i="4" s="1"/>
  <c r="AJ14" i="4"/>
  <c r="AS13" i="4" s="1"/>
  <c r="AH14" i="4"/>
  <c r="AG14" i="4"/>
  <c r="AF14" i="4"/>
  <c r="AE14" i="4"/>
  <c r="AD14" i="4"/>
  <c r="Z14" i="4"/>
  <c r="J14" i="4"/>
  <c r="AL14" i="4" s="1"/>
  <c r="AU13" i="4" s="1"/>
  <c r="AU1" i="4"/>
  <c r="AT1" i="4"/>
  <c r="AS1" i="4"/>
  <c r="G107" i="5"/>
  <c r="G106" i="5"/>
  <c r="G105" i="5"/>
  <c r="G104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101" i="5" s="1"/>
  <c r="G87" i="5"/>
  <c r="G83" i="5"/>
  <c r="G82" i="5"/>
  <c r="G79" i="5"/>
  <c r="G78" i="5"/>
  <c r="G74" i="5"/>
  <c r="G73" i="5"/>
  <c r="G72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2" i="5"/>
  <c r="G51" i="5"/>
  <c r="G53" i="5" s="1"/>
  <c r="G47" i="5"/>
  <c r="G48" i="5" s="1"/>
  <c r="G43" i="5"/>
  <c r="G42" i="5"/>
  <c r="G41" i="5"/>
  <c r="G40" i="5"/>
  <c r="G39" i="5"/>
  <c r="G33" i="5"/>
  <c r="G32" i="5"/>
  <c r="G31" i="5"/>
  <c r="G30" i="5"/>
  <c r="G26" i="5"/>
  <c r="G25" i="5"/>
  <c r="G24" i="5"/>
  <c r="G23" i="5"/>
  <c r="G20" i="5"/>
  <c r="G19" i="5"/>
  <c r="G15" i="5"/>
  <c r="G14" i="5"/>
  <c r="G13" i="5"/>
  <c r="G16" i="5" s="1"/>
  <c r="I20" i="5" s="1"/>
  <c r="G44" i="5" l="1"/>
  <c r="J39" i="4"/>
  <c r="H18" i="4"/>
  <c r="H17" i="4" s="1"/>
  <c r="I29" i="4"/>
  <c r="I28" i="4" s="1"/>
  <c r="G27" i="5"/>
  <c r="G84" i="5"/>
  <c r="I84" i="5" s="1"/>
  <c r="H48" i="4"/>
  <c r="H47" i="4" s="1"/>
  <c r="AX50" i="4"/>
  <c r="BC50" i="4" s="1"/>
  <c r="I53" i="5"/>
  <c r="H19" i="4"/>
  <c r="J26" i="4"/>
  <c r="I48" i="4"/>
  <c r="I47" i="4" s="1"/>
  <c r="AL48" i="4"/>
  <c r="AU47" i="4" s="1"/>
  <c r="H60" i="4"/>
  <c r="I66" i="4"/>
  <c r="AV48" i="4"/>
  <c r="G108" i="5"/>
  <c r="I108" i="5" s="1"/>
  <c r="AU19" i="4"/>
  <c r="AX20" i="4"/>
  <c r="AV20" i="4" s="1"/>
  <c r="I23" i="4"/>
  <c r="I22" i="4" s="1"/>
  <c r="AW23" i="4"/>
  <c r="AV23" i="4" s="1"/>
  <c r="AX31" i="4"/>
  <c r="AS32" i="4"/>
  <c r="AW48" i="4"/>
  <c r="I56" i="4"/>
  <c r="AX66" i="4"/>
  <c r="AV66" i="4" s="1"/>
  <c r="AT61" i="4"/>
  <c r="I40" i="4"/>
  <c r="I39" i="4" s="1"/>
  <c r="I20" i="4"/>
  <c r="I19" i="4" s="1"/>
  <c r="G34" i="5"/>
  <c r="G69" i="5"/>
  <c r="I75" i="5" s="1"/>
  <c r="AX23" i="4"/>
  <c r="AW60" i="4"/>
  <c r="BC60" i="4" s="1"/>
  <c r="G75" i="5"/>
  <c r="J45" i="4"/>
  <c r="AW56" i="4"/>
  <c r="H63" i="4"/>
  <c r="J61" i="4"/>
  <c r="J49" i="4"/>
  <c r="AW18" i="4"/>
  <c r="AX25" i="4"/>
  <c r="AW29" i="4"/>
  <c r="BC29" i="4" s="1"/>
  <c r="AU32" i="4"/>
  <c r="I42" i="4"/>
  <c r="I41" i="4" s="1"/>
  <c r="AW42" i="4"/>
  <c r="AV42" i="4" s="1"/>
  <c r="AW63" i="4"/>
  <c r="AW21" i="4"/>
  <c r="AX42" i="4"/>
  <c r="H57" i="4"/>
  <c r="AV44" i="4"/>
  <c r="BC44" i="4"/>
  <c r="BC48" i="4"/>
  <c r="BC63" i="4"/>
  <c r="AV63" i="4"/>
  <c r="AU55" i="4"/>
  <c r="BC46" i="4"/>
  <c r="AV46" i="4"/>
  <c r="BC58" i="4"/>
  <c r="AV58" i="4"/>
  <c r="AV64" i="4"/>
  <c r="BC64" i="4"/>
  <c r="AV73" i="4"/>
  <c r="BC73" i="4"/>
  <c r="BC72" i="4"/>
  <c r="AV72" i="4"/>
  <c r="BC34" i="4"/>
  <c r="AV34" i="4"/>
  <c r="AV65" i="4"/>
  <c r="BC65" i="4"/>
  <c r="AV25" i="4"/>
  <c r="BC25" i="4"/>
  <c r="BC59" i="4"/>
  <c r="AV59" i="4"/>
  <c r="BC70" i="4"/>
  <c r="AV70" i="4"/>
  <c r="BC27" i="4"/>
  <c r="AV27" i="4"/>
  <c r="BC62" i="4"/>
  <c r="AV62" i="4"/>
  <c r="BC71" i="4"/>
  <c r="AV71" i="4"/>
  <c r="BH14" i="4"/>
  <c r="AB14" i="4" s="1"/>
  <c r="BI16" i="4"/>
  <c r="AC16" i="4" s="1"/>
  <c r="BH33" i="4"/>
  <c r="AD33" i="4" s="1"/>
  <c r="BI38" i="4"/>
  <c r="AE38" i="4" s="1"/>
  <c r="BH34" i="4"/>
  <c r="AD34" i="4" s="1"/>
  <c r="BH59" i="4"/>
  <c r="H14" i="4"/>
  <c r="H13" i="4" s="1"/>
  <c r="I16" i="4"/>
  <c r="I15" i="4" s="1"/>
  <c r="AW16" i="4"/>
  <c r="AX18" i="4"/>
  <c r="AX21" i="4"/>
  <c r="AV21" i="4" s="1"/>
  <c r="J24" i="4"/>
  <c r="H33" i="4"/>
  <c r="H32" i="4" s="1"/>
  <c r="H36" i="4"/>
  <c r="H35" i="4" s="1"/>
  <c r="I38" i="4"/>
  <c r="I37" i="4" s="1"/>
  <c r="AW38" i="4"/>
  <c r="AX40" i="4"/>
  <c r="AV40" i="4" s="1"/>
  <c r="J43" i="4"/>
  <c r="H52" i="4"/>
  <c r="H51" i="4" s="1"/>
  <c r="I54" i="4"/>
  <c r="I53" i="4" s="1"/>
  <c r="AW54" i="4"/>
  <c r="AX56" i="4"/>
  <c r="AV56" i="4" s="1"/>
  <c r="I57" i="4"/>
  <c r="I55" i="4" s="1"/>
  <c r="AW57" i="4"/>
  <c r="H58" i="4"/>
  <c r="H55" i="4" s="1"/>
  <c r="BC66" i="4"/>
  <c r="AX67" i="4"/>
  <c r="AV67" i="4" s="1"/>
  <c r="I68" i="4"/>
  <c r="AW68" i="4"/>
  <c r="H69" i="4"/>
  <c r="BI70" i="4"/>
  <c r="BH71" i="4"/>
  <c r="BH58" i="4"/>
  <c r="I14" i="4"/>
  <c r="I13" i="4" s="1"/>
  <c r="J19" i="4"/>
  <c r="J22" i="4"/>
  <c r="BH27" i="4"/>
  <c r="AD27" i="4" s="1"/>
  <c r="BI29" i="4"/>
  <c r="AE29" i="4" s="1"/>
  <c r="H31" i="4"/>
  <c r="H30" i="4" s="1"/>
  <c r="I33" i="4"/>
  <c r="I32" i="4" s="1"/>
  <c r="H34" i="4"/>
  <c r="I36" i="4"/>
  <c r="I35" i="4" s="1"/>
  <c r="AW36" i="4"/>
  <c r="J41" i="4"/>
  <c r="BH46" i="4"/>
  <c r="AB46" i="4" s="1"/>
  <c r="BI48" i="4"/>
  <c r="H50" i="4"/>
  <c r="H49" i="4" s="1"/>
  <c r="I52" i="4"/>
  <c r="I51" i="4" s="1"/>
  <c r="AW52" i="4"/>
  <c r="AX54" i="4"/>
  <c r="AX57" i="4"/>
  <c r="I58" i="4"/>
  <c r="H59" i="4"/>
  <c r="BI60" i="4"/>
  <c r="H62" i="4"/>
  <c r="BI63" i="4"/>
  <c r="BH64" i="4"/>
  <c r="AL65" i="4"/>
  <c r="AU61" i="4" s="1"/>
  <c r="AX68" i="4"/>
  <c r="I69" i="4"/>
  <c r="AW69" i="4"/>
  <c r="H70" i="4"/>
  <c r="BI71" i="4"/>
  <c r="BH72" i="4"/>
  <c r="BH50" i="4"/>
  <c r="AF50" i="4" s="1"/>
  <c r="BI58" i="4"/>
  <c r="AX14" i="4"/>
  <c r="AV14" i="4" s="1"/>
  <c r="BH25" i="4"/>
  <c r="AB25" i="4" s="1"/>
  <c r="BI27" i="4"/>
  <c r="AE27" i="4" s="1"/>
  <c r="AW31" i="4"/>
  <c r="AX33" i="4"/>
  <c r="BC33" i="4" s="1"/>
  <c r="AX36" i="4"/>
  <c r="BH44" i="4"/>
  <c r="AB44" i="4" s="1"/>
  <c r="BI46" i="4"/>
  <c r="AC46" i="4" s="1"/>
  <c r="AX52" i="4"/>
  <c r="BI64" i="4"/>
  <c r="BH65" i="4"/>
  <c r="AX69" i="4"/>
  <c r="BI72" i="4"/>
  <c r="BH73" i="4"/>
  <c r="J15" i="4"/>
  <c r="BH20" i="4"/>
  <c r="AB20" i="4" s="1"/>
  <c r="BH23" i="4"/>
  <c r="AB23" i="4" s="1"/>
  <c r="BI25" i="4"/>
  <c r="AC25" i="4" s="1"/>
  <c r="BH42" i="4"/>
  <c r="AB42" i="4" s="1"/>
  <c r="BI44" i="4"/>
  <c r="AC44" i="4" s="1"/>
  <c r="J13" i="4"/>
  <c r="H25" i="4"/>
  <c r="H24" i="4" s="1"/>
  <c r="I27" i="4"/>
  <c r="I26" i="4" s="1"/>
  <c r="J32" i="4"/>
  <c r="J35" i="4"/>
  <c r="H44" i="4"/>
  <c r="H43" i="4" s="1"/>
  <c r="I46" i="4"/>
  <c r="I45" i="4" s="1"/>
  <c r="J51" i="4"/>
  <c r="I64" i="4"/>
  <c r="I61" i="4" s="1"/>
  <c r="H65" i="4"/>
  <c r="H73" i="4"/>
  <c r="BC20" i="4" l="1"/>
  <c r="G36" i="5"/>
  <c r="I44" i="5" s="1"/>
  <c r="AV18" i="4"/>
  <c r="AV50" i="4"/>
  <c r="AV60" i="4"/>
  <c r="BC42" i="4"/>
  <c r="AV29" i="4"/>
  <c r="BC23" i="4"/>
  <c r="AV33" i="4"/>
  <c r="BC14" i="4"/>
  <c r="BC36" i="4"/>
  <c r="AV36" i="4"/>
  <c r="I12" i="4"/>
  <c r="BC18" i="4"/>
  <c r="BC21" i="4"/>
  <c r="BC52" i="4"/>
  <c r="AV52" i="4"/>
  <c r="BC56" i="4"/>
  <c r="BC31" i="4"/>
  <c r="AV31" i="4"/>
  <c r="H61" i="4"/>
  <c r="H12" i="4" s="1"/>
  <c r="AV38" i="4"/>
  <c r="BC38" i="4"/>
  <c r="BC40" i="4"/>
  <c r="J74" i="4"/>
  <c r="J12" i="4"/>
  <c r="AV16" i="4"/>
  <c r="BC16" i="4"/>
  <c r="BC57" i="4"/>
  <c r="AV57" i="4"/>
  <c r="BC69" i="4"/>
  <c r="AV69" i="4"/>
  <c r="AV68" i="4"/>
  <c r="BC68" i="4"/>
  <c r="AV54" i="4"/>
  <c r="BC54" i="4"/>
  <c r="BC67" i="4"/>
  <c r="F44" i="3" l="1"/>
  <c r="I44" i="3" s="1"/>
  <c r="F43" i="3"/>
  <c r="I43" i="3" s="1"/>
  <c r="F42" i="3"/>
  <c r="I42" i="3" s="1"/>
  <c r="F41" i="3"/>
  <c r="I41" i="3" s="1"/>
  <c r="I40" i="3"/>
  <c r="F40" i="3"/>
  <c r="F39" i="3"/>
  <c r="I39" i="3" s="1"/>
  <c r="F38" i="3"/>
  <c r="I38" i="3" s="1"/>
  <c r="F36" i="3"/>
  <c r="I36" i="3" s="1"/>
  <c r="F35" i="3"/>
  <c r="I35" i="3" s="1"/>
  <c r="I26" i="3"/>
  <c r="I19" i="2" s="1"/>
  <c r="I25" i="3"/>
  <c r="I18" i="2" s="1"/>
  <c r="I24" i="3"/>
  <c r="I17" i="2" s="1"/>
  <c r="I23" i="3"/>
  <c r="I22" i="3"/>
  <c r="I21" i="3"/>
  <c r="I17" i="3"/>
  <c r="I16" i="3"/>
  <c r="F15" i="2" s="1"/>
  <c r="I15" i="3"/>
  <c r="F14" i="2" s="1"/>
  <c r="I10" i="3"/>
  <c r="F10" i="3"/>
  <c r="C10" i="3"/>
  <c r="F8" i="3"/>
  <c r="C8" i="3"/>
  <c r="F6" i="3"/>
  <c r="C6" i="3"/>
  <c r="F4" i="3"/>
  <c r="C4" i="3"/>
  <c r="F2" i="3"/>
  <c r="C2" i="3"/>
  <c r="I16" i="2"/>
  <c r="F16" i="2"/>
  <c r="I15" i="2"/>
  <c r="I14" i="2"/>
  <c r="I10" i="2"/>
  <c r="F10" i="2"/>
  <c r="C10" i="2"/>
  <c r="F8" i="2"/>
  <c r="C8" i="2"/>
  <c r="F6" i="2"/>
  <c r="C6" i="2"/>
  <c r="F4" i="2"/>
  <c r="C4" i="2"/>
  <c r="F2" i="2"/>
  <c r="C2" i="2"/>
  <c r="BJ64" i="1"/>
  <c r="BF64" i="1"/>
  <c r="BD64" i="1"/>
  <c r="AP64" i="1"/>
  <c r="AX64" i="1" s="1"/>
  <c r="AO64" i="1"/>
  <c r="AW64" i="1" s="1"/>
  <c r="AL64" i="1"/>
  <c r="AK64" i="1"/>
  <c r="AJ64" i="1"/>
  <c r="AH64" i="1"/>
  <c r="AG64" i="1"/>
  <c r="AF64" i="1"/>
  <c r="AE64" i="1"/>
  <c r="AD64" i="1"/>
  <c r="Z64" i="1"/>
  <c r="J64" i="1"/>
  <c r="H64" i="1"/>
  <c r="BJ63" i="1"/>
  <c r="BF63" i="1"/>
  <c r="BD63" i="1"/>
  <c r="AP63" i="1"/>
  <c r="AX63" i="1" s="1"/>
  <c r="AO63" i="1"/>
  <c r="AW63" i="1" s="1"/>
  <c r="AK63" i="1"/>
  <c r="AJ63" i="1"/>
  <c r="AH63" i="1"/>
  <c r="AG63" i="1"/>
  <c r="AF63" i="1"/>
  <c r="AE63" i="1"/>
  <c r="AD63" i="1"/>
  <c r="Z63" i="1"/>
  <c r="J63" i="1"/>
  <c r="AL63" i="1" s="1"/>
  <c r="BJ62" i="1"/>
  <c r="BF62" i="1"/>
  <c r="BD62" i="1"/>
  <c r="AW62" i="1"/>
  <c r="AP62" i="1"/>
  <c r="AX62" i="1" s="1"/>
  <c r="AO62" i="1"/>
  <c r="BH62" i="1" s="1"/>
  <c r="AB62" i="1" s="1"/>
  <c r="AK62" i="1"/>
  <c r="AJ62" i="1"/>
  <c r="AH62" i="1"/>
  <c r="AG62" i="1"/>
  <c r="AF62" i="1"/>
  <c r="AE62" i="1"/>
  <c r="AD62" i="1"/>
  <c r="Z62" i="1"/>
  <c r="J62" i="1"/>
  <c r="AL62" i="1" s="1"/>
  <c r="BJ61" i="1"/>
  <c r="BF61" i="1"/>
  <c r="BD61" i="1"/>
  <c r="AP61" i="1"/>
  <c r="BI61" i="1" s="1"/>
  <c r="AC61" i="1" s="1"/>
  <c r="AO61" i="1"/>
  <c r="BH61" i="1" s="1"/>
  <c r="AB61" i="1" s="1"/>
  <c r="AK61" i="1"/>
  <c r="AJ61" i="1"/>
  <c r="AH61" i="1"/>
  <c r="AG61" i="1"/>
  <c r="AF61" i="1"/>
  <c r="AE61" i="1"/>
  <c r="AD61" i="1"/>
  <c r="Z61" i="1"/>
  <c r="J61" i="1"/>
  <c r="AL61" i="1" s="1"/>
  <c r="BJ60" i="1"/>
  <c r="BF60" i="1"/>
  <c r="BD60" i="1"/>
  <c r="AW60" i="1"/>
  <c r="AP60" i="1"/>
  <c r="BI60" i="1" s="1"/>
  <c r="AC60" i="1" s="1"/>
  <c r="AO60" i="1"/>
  <c r="BH60" i="1" s="1"/>
  <c r="AB60" i="1" s="1"/>
  <c r="AK60" i="1"/>
  <c r="AT59" i="1" s="1"/>
  <c r="AJ60" i="1"/>
  <c r="AS59" i="1" s="1"/>
  <c r="AH60" i="1"/>
  <c r="AG60" i="1"/>
  <c r="AF60" i="1"/>
  <c r="AE60" i="1"/>
  <c r="AD60" i="1"/>
  <c r="Z60" i="1"/>
  <c r="J60" i="1"/>
  <c r="AL60" i="1" s="1"/>
  <c r="I60" i="1"/>
  <c r="H60" i="1"/>
  <c r="BO57" i="1"/>
  <c r="F37" i="3" s="1"/>
  <c r="I37" i="3" s="1"/>
  <c r="BJ57" i="1"/>
  <c r="BF57" i="1"/>
  <c r="BD57" i="1"/>
  <c r="AX57" i="1"/>
  <c r="AP57" i="1"/>
  <c r="I57" i="1" s="1"/>
  <c r="I56" i="1" s="1"/>
  <c r="I55" i="1" s="1"/>
  <c r="AO57" i="1"/>
  <c r="AW57" i="1" s="1"/>
  <c r="AK57" i="1"/>
  <c r="AT56" i="1" s="1"/>
  <c r="AJ57" i="1"/>
  <c r="AS56" i="1" s="1"/>
  <c r="AH57" i="1"/>
  <c r="AG57" i="1"/>
  <c r="AF57" i="1"/>
  <c r="AE57" i="1"/>
  <c r="AD57" i="1"/>
  <c r="AC57" i="1"/>
  <c r="AB57" i="1"/>
  <c r="Z57" i="1"/>
  <c r="J57" i="1"/>
  <c r="AL57" i="1" s="1"/>
  <c r="AU56" i="1" s="1"/>
  <c r="J56" i="1"/>
  <c r="J55" i="1" s="1"/>
  <c r="BJ54" i="1"/>
  <c r="Z54" i="1" s="1"/>
  <c r="BF54" i="1"/>
  <c r="BD54" i="1"/>
  <c r="AX54" i="1"/>
  <c r="AP54" i="1"/>
  <c r="BI54" i="1" s="1"/>
  <c r="AO54" i="1"/>
  <c r="AW54" i="1" s="1"/>
  <c r="AL54" i="1"/>
  <c r="AU53" i="1" s="1"/>
  <c r="AK54" i="1"/>
  <c r="AT53" i="1" s="1"/>
  <c r="AJ54" i="1"/>
  <c r="AH54" i="1"/>
  <c r="AG54" i="1"/>
  <c r="AF54" i="1"/>
  <c r="AE54" i="1"/>
  <c r="AD54" i="1"/>
  <c r="AC54" i="1"/>
  <c r="AB54" i="1"/>
  <c r="J54" i="1"/>
  <c r="J53" i="1" s="1"/>
  <c r="I54" i="1"/>
  <c r="I53" i="1" s="1"/>
  <c r="AS53" i="1"/>
  <c r="BJ52" i="1"/>
  <c r="BF52" i="1"/>
  <c r="BD52" i="1"/>
  <c r="AP52" i="1"/>
  <c r="AX52" i="1" s="1"/>
  <c r="AO52" i="1"/>
  <c r="BH52" i="1" s="1"/>
  <c r="AB52" i="1" s="1"/>
  <c r="AK52" i="1"/>
  <c r="AJ52" i="1"/>
  <c r="AS50" i="1" s="1"/>
  <c r="AH52" i="1"/>
  <c r="AG52" i="1"/>
  <c r="AF52" i="1"/>
  <c r="AE52" i="1"/>
  <c r="AD52" i="1"/>
  <c r="Z52" i="1"/>
  <c r="J52" i="1"/>
  <c r="AL52" i="1" s="1"/>
  <c r="BJ51" i="1"/>
  <c r="BF51" i="1"/>
  <c r="BD51" i="1"/>
  <c r="AP51" i="1"/>
  <c r="BI51" i="1" s="1"/>
  <c r="AC51" i="1" s="1"/>
  <c r="AO51" i="1"/>
  <c r="AW51" i="1" s="1"/>
  <c r="AK51" i="1"/>
  <c r="AJ51" i="1"/>
  <c r="AH51" i="1"/>
  <c r="AG51" i="1"/>
  <c r="AF51" i="1"/>
  <c r="AE51" i="1"/>
  <c r="AD51" i="1"/>
  <c r="Z51" i="1"/>
  <c r="J51" i="1"/>
  <c r="AL51" i="1" s="1"/>
  <c r="AU50" i="1" s="1"/>
  <c r="I51" i="1"/>
  <c r="AT50" i="1"/>
  <c r="BJ49" i="1"/>
  <c r="BF49" i="1"/>
  <c r="BD49" i="1"/>
  <c r="AP49" i="1"/>
  <c r="AX49" i="1" s="1"/>
  <c r="AO49" i="1"/>
  <c r="BH49" i="1" s="1"/>
  <c r="AB49" i="1" s="1"/>
  <c r="AK49" i="1"/>
  <c r="AJ49" i="1"/>
  <c r="AH49" i="1"/>
  <c r="AG49" i="1"/>
  <c r="AF49" i="1"/>
  <c r="AE49" i="1"/>
  <c r="AD49" i="1"/>
  <c r="Z49" i="1"/>
  <c r="J49" i="1"/>
  <c r="AL49" i="1" s="1"/>
  <c r="BJ48" i="1"/>
  <c r="BF48" i="1"/>
  <c r="BD48" i="1"/>
  <c r="AP48" i="1"/>
  <c r="BI48" i="1" s="1"/>
  <c r="AC48" i="1" s="1"/>
  <c r="AO48" i="1"/>
  <c r="AW48" i="1" s="1"/>
  <c r="AK48" i="1"/>
  <c r="AJ48" i="1"/>
  <c r="AH48" i="1"/>
  <c r="AG48" i="1"/>
  <c r="AF48" i="1"/>
  <c r="AE48" i="1"/>
  <c r="AD48" i="1"/>
  <c r="Z48" i="1"/>
  <c r="J48" i="1"/>
  <c r="AL48" i="1" s="1"/>
  <c r="BJ47" i="1"/>
  <c r="BF47" i="1"/>
  <c r="BD47" i="1"/>
  <c r="AP47" i="1"/>
  <c r="AX47" i="1" s="1"/>
  <c r="AO47" i="1"/>
  <c r="BH47" i="1" s="1"/>
  <c r="AB47" i="1" s="1"/>
  <c r="AL47" i="1"/>
  <c r="AK47" i="1"/>
  <c r="AJ47" i="1"/>
  <c r="AH47" i="1"/>
  <c r="AG47" i="1"/>
  <c r="AF47" i="1"/>
  <c r="AE47" i="1"/>
  <c r="AD47" i="1"/>
  <c r="Z47" i="1"/>
  <c r="J47" i="1"/>
  <c r="BJ46" i="1"/>
  <c r="BF46" i="1"/>
  <c r="BD46" i="1"/>
  <c r="AX46" i="1"/>
  <c r="AP46" i="1"/>
  <c r="BI46" i="1" s="1"/>
  <c r="AC46" i="1" s="1"/>
  <c r="AO46" i="1"/>
  <c r="BH46" i="1" s="1"/>
  <c r="AB46" i="1" s="1"/>
  <c r="AK46" i="1"/>
  <c r="AJ46" i="1"/>
  <c r="AH46" i="1"/>
  <c r="AG46" i="1"/>
  <c r="AF46" i="1"/>
  <c r="AE46" i="1"/>
  <c r="AD46" i="1"/>
  <c r="Z46" i="1"/>
  <c r="J46" i="1"/>
  <c r="AL46" i="1" s="1"/>
  <c r="BJ45" i="1"/>
  <c r="BF45" i="1"/>
  <c r="BD45" i="1"/>
  <c r="AW45" i="1"/>
  <c r="AP45" i="1"/>
  <c r="BI45" i="1" s="1"/>
  <c r="AC45" i="1" s="1"/>
  <c r="AO45" i="1"/>
  <c r="BH45" i="1" s="1"/>
  <c r="AB45" i="1" s="1"/>
  <c r="AK45" i="1"/>
  <c r="AJ45" i="1"/>
  <c r="AH45" i="1"/>
  <c r="AG45" i="1"/>
  <c r="AF45" i="1"/>
  <c r="AE45" i="1"/>
  <c r="AD45" i="1"/>
  <c r="Z45" i="1"/>
  <c r="J45" i="1"/>
  <c r="AL45" i="1" s="1"/>
  <c r="I45" i="1"/>
  <c r="H45" i="1"/>
  <c r="BJ43" i="1"/>
  <c r="BF43" i="1"/>
  <c r="BD43" i="1"/>
  <c r="AP43" i="1"/>
  <c r="BI43" i="1" s="1"/>
  <c r="AC43" i="1" s="1"/>
  <c r="AO43" i="1"/>
  <c r="BH43" i="1" s="1"/>
  <c r="AB43" i="1" s="1"/>
  <c r="AK43" i="1"/>
  <c r="AJ43" i="1"/>
  <c r="AH43" i="1"/>
  <c r="AG43" i="1"/>
  <c r="AF43" i="1"/>
  <c r="AE43" i="1"/>
  <c r="AD43" i="1"/>
  <c r="Z43" i="1"/>
  <c r="J43" i="1"/>
  <c r="AL43" i="1" s="1"/>
  <c r="H43" i="1"/>
  <c r="BJ42" i="1"/>
  <c r="BF42" i="1"/>
  <c r="BD42" i="1"/>
  <c r="AP42" i="1"/>
  <c r="BI42" i="1" s="1"/>
  <c r="AC42" i="1" s="1"/>
  <c r="AO42" i="1"/>
  <c r="BH42" i="1" s="1"/>
  <c r="AB42" i="1" s="1"/>
  <c r="AK42" i="1"/>
  <c r="AJ42" i="1"/>
  <c r="AH42" i="1"/>
  <c r="AG42" i="1"/>
  <c r="AF42" i="1"/>
  <c r="AE42" i="1"/>
  <c r="AD42" i="1"/>
  <c r="Z42" i="1"/>
  <c r="J42" i="1"/>
  <c r="AL42" i="1" s="1"/>
  <c r="BJ41" i="1"/>
  <c r="BF41" i="1"/>
  <c r="BD41" i="1"/>
  <c r="AP41" i="1"/>
  <c r="BI41" i="1" s="1"/>
  <c r="AC41" i="1" s="1"/>
  <c r="AO41" i="1"/>
  <c r="BH41" i="1" s="1"/>
  <c r="AB41" i="1" s="1"/>
  <c r="AK41" i="1"/>
  <c r="AJ41" i="1"/>
  <c r="AH41" i="1"/>
  <c r="AG41" i="1"/>
  <c r="AF41" i="1"/>
  <c r="AE41" i="1"/>
  <c r="AD41" i="1"/>
  <c r="Z41" i="1"/>
  <c r="J41" i="1"/>
  <c r="AL41" i="1" s="1"/>
  <c r="BJ40" i="1"/>
  <c r="BF40" i="1"/>
  <c r="BD40" i="1"/>
  <c r="AX40" i="1"/>
  <c r="AW40" i="1"/>
  <c r="AV40" i="1" s="1"/>
  <c r="AP40" i="1"/>
  <c r="BI40" i="1" s="1"/>
  <c r="AC40" i="1" s="1"/>
  <c r="AO40" i="1"/>
  <c r="H40" i="1" s="1"/>
  <c r="AK40" i="1"/>
  <c r="AJ40" i="1"/>
  <c r="AH40" i="1"/>
  <c r="AG40" i="1"/>
  <c r="AF40" i="1"/>
  <c r="AE40" i="1"/>
  <c r="AD40" i="1"/>
  <c r="Z40" i="1"/>
  <c r="J40" i="1"/>
  <c r="AL40" i="1" s="1"/>
  <c r="I40" i="1"/>
  <c r="BJ39" i="1"/>
  <c r="BF39" i="1"/>
  <c r="BD39" i="1"/>
  <c r="AP39" i="1"/>
  <c r="I39" i="1" s="1"/>
  <c r="AO39" i="1"/>
  <c r="AW39" i="1" s="1"/>
  <c r="AK39" i="1"/>
  <c r="AT38" i="1" s="1"/>
  <c r="AJ39" i="1"/>
  <c r="AH39" i="1"/>
  <c r="AG39" i="1"/>
  <c r="AF39" i="1"/>
  <c r="AE39" i="1"/>
  <c r="AD39" i="1"/>
  <c r="Z39" i="1"/>
  <c r="J39" i="1"/>
  <c r="AL39" i="1" s="1"/>
  <c r="BJ37" i="1"/>
  <c r="BF37" i="1"/>
  <c r="BD37" i="1"/>
  <c r="AP37" i="1"/>
  <c r="BI37" i="1" s="1"/>
  <c r="AC37" i="1" s="1"/>
  <c r="AO37" i="1"/>
  <c r="H37" i="1" s="1"/>
  <c r="AK37" i="1"/>
  <c r="AJ37" i="1"/>
  <c r="AH37" i="1"/>
  <c r="AG37" i="1"/>
  <c r="AF37" i="1"/>
  <c r="AE37" i="1"/>
  <c r="AD37" i="1"/>
  <c r="Z37" i="1"/>
  <c r="J37" i="1"/>
  <c r="AL37" i="1" s="1"/>
  <c r="I37" i="1"/>
  <c r="BJ36" i="1"/>
  <c r="BF36" i="1"/>
  <c r="BD36" i="1"/>
  <c r="AP36" i="1"/>
  <c r="I36" i="1" s="1"/>
  <c r="AO36" i="1"/>
  <c r="AW36" i="1" s="1"/>
  <c r="AK36" i="1"/>
  <c r="AJ36" i="1"/>
  <c r="AH36" i="1"/>
  <c r="AG36" i="1"/>
  <c r="AF36" i="1"/>
  <c r="AE36" i="1"/>
  <c r="AD36" i="1"/>
  <c r="Z36" i="1"/>
  <c r="J36" i="1"/>
  <c r="BJ35" i="1"/>
  <c r="BF35" i="1"/>
  <c r="BD35" i="1"/>
  <c r="AW35" i="1"/>
  <c r="AP35" i="1"/>
  <c r="AX35" i="1" s="1"/>
  <c r="AO35" i="1"/>
  <c r="BH35" i="1" s="1"/>
  <c r="AB35" i="1" s="1"/>
  <c r="AK35" i="1"/>
  <c r="AJ35" i="1"/>
  <c r="AH35" i="1"/>
  <c r="AG35" i="1"/>
  <c r="AF35" i="1"/>
  <c r="AE35" i="1"/>
  <c r="AD35" i="1"/>
  <c r="Z35" i="1"/>
  <c r="J35" i="1"/>
  <c r="AL35" i="1" s="1"/>
  <c r="H35" i="1"/>
  <c r="BJ33" i="1"/>
  <c r="BF33" i="1"/>
  <c r="BD33" i="1"/>
  <c r="AP33" i="1"/>
  <c r="I33" i="1" s="1"/>
  <c r="AO33" i="1"/>
  <c r="AW33" i="1" s="1"/>
  <c r="AK33" i="1"/>
  <c r="AJ33" i="1"/>
  <c r="AH33" i="1"/>
  <c r="AG33" i="1"/>
  <c r="AF33" i="1"/>
  <c r="AE33" i="1"/>
  <c r="AD33" i="1"/>
  <c r="Z33" i="1"/>
  <c r="J33" i="1"/>
  <c r="AL33" i="1" s="1"/>
  <c r="BJ32" i="1"/>
  <c r="BF32" i="1"/>
  <c r="BD32" i="1"/>
  <c r="AW32" i="1"/>
  <c r="AP32" i="1"/>
  <c r="AX32" i="1" s="1"/>
  <c r="AO32" i="1"/>
  <c r="BH32" i="1" s="1"/>
  <c r="AB32" i="1" s="1"/>
  <c r="AL32" i="1"/>
  <c r="AK32" i="1"/>
  <c r="AJ32" i="1"/>
  <c r="AH32" i="1"/>
  <c r="AG32" i="1"/>
  <c r="AF32" i="1"/>
  <c r="AE32" i="1"/>
  <c r="AD32" i="1"/>
  <c r="Z32" i="1"/>
  <c r="J32" i="1"/>
  <c r="H32" i="1"/>
  <c r="BJ31" i="1"/>
  <c r="BF31" i="1"/>
  <c r="BD31" i="1"/>
  <c r="AX31" i="1"/>
  <c r="AP31" i="1"/>
  <c r="BI31" i="1" s="1"/>
  <c r="AC31" i="1" s="1"/>
  <c r="AO31" i="1"/>
  <c r="BH31" i="1" s="1"/>
  <c r="AB31" i="1" s="1"/>
  <c r="AL31" i="1"/>
  <c r="AK31" i="1"/>
  <c r="AJ31" i="1"/>
  <c r="AH31" i="1"/>
  <c r="AG31" i="1"/>
  <c r="AF31" i="1"/>
  <c r="AE31" i="1"/>
  <c r="AD31" i="1"/>
  <c r="Z31" i="1"/>
  <c r="J31" i="1"/>
  <c r="I31" i="1"/>
  <c r="BJ30" i="1"/>
  <c r="BF30" i="1"/>
  <c r="BD30" i="1"/>
  <c r="AP30" i="1"/>
  <c r="AO30" i="1"/>
  <c r="BH30" i="1" s="1"/>
  <c r="AB30" i="1" s="1"/>
  <c r="AL30" i="1"/>
  <c r="AK30" i="1"/>
  <c r="AJ30" i="1"/>
  <c r="AH30" i="1"/>
  <c r="AG30" i="1"/>
  <c r="AF30" i="1"/>
  <c r="AE30" i="1"/>
  <c r="AD30" i="1"/>
  <c r="Z30" i="1"/>
  <c r="J30" i="1"/>
  <c r="BJ29" i="1"/>
  <c r="BF29" i="1"/>
  <c r="BD29" i="1"/>
  <c r="AP29" i="1"/>
  <c r="BI29" i="1" s="1"/>
  <c r="AC29" i="1" s="1"/>
  <c r="AO29" i="1"/>
  <c r="BH29" i="1" s="1"/>
  <c r="AB29" i="1" s="1"/>
  <c r="AK29" i="1"/>
  <c r="AJ29" i="1"/>
  <c r="AH29" i="1"/>
  <c r="AG29" i="1"/>
  <c r="AF29" i="1"/>
  <c r="AE29" i="1"/>
  <c r="AD29" i="1"/>
  <c r="Z29" i="1"/>
  <c r="J29" i="1"/>
  <c r="AL29" i="1" s="1"/>
  <c r="BJ28" i="1"/>
  <c r="BF28" i="1"/>
  <c r="BD28" i="1"/>
  <c r="AP28" i="1"/>
  <c r="BI28" i="1" s="1"/>
  <c r="AC28" i="1" s="1"/>
  <c r="AO28" i="1"/>
  <c r="BH28" i="1" s="1"/>
  <c r="AB28" i="1" s="1"/>
  <c r="AL28" i="1"/>
  <c r="AK28" i="1"/>
  <c r="AJ28" i="1"/>
  <c r="AH28" i="1"/>
  <c r="AG28" i="1"/>
  <c r="AF28" i="1"/>
  <c r="AE28" i="1"/>
  <c r="AD28" i="1"/>
  <c r="Z28" i="1"/>
  <c r="J28" i="1"/>
  <c r="I28" i="1"/>
  <c r="H28" i="1"/>
  <c r="BJ26" i="1"/>
  <c r="BF26" i="1"/>
  <c r="BD26" i="1"/>
  <c r="AP26" i="1"/>
  <c r="BI26" i="1" s="1"/>
  <c r="AC26" i="1" s="1"/>
  <c r="AO26" i="1"/>
  <c r="BH26" i="1" s="1"/>
  <c r="AB26" i="1" s="1"/>
  <c r="AK26" i="1"/>
  <c r="AJ26" i="1"/>
  <c r="AH26" i="1"/>
  <c r="AG26" i="1"/>
  <c r="AF26" i="1"/>
  <c r="AE26" i="1"/>
  <c r="AD26" i="1"/>
  <c r="Z26" i="1"/>
  <c r="J26" i="1"/>
  <c r="AL26" i="1" s="1"/>
  <c r="BJ25" i="1"/>
  <c r="BF25" i="1"/>
  <c r="BD25" i="1"/>
  <c r="AW25" i="1"/>
  <c r="AP25" i="1"/>
  <c r="BI25" i="1" s="1"/>
  <c r="AC25" i="1" s="1"/>
  <c r="AO25" i="1"/>
  <c r="BH25" i="1" s="1"/>
  <c r="AB25" i="1" s="1"/>
  <c r="AK25" i="1"/>
  <c r="AJ25" i="1"/>
  <c r="AH25" i="1"/>
  <c r="AG25" i="1"/>
  <c r="AF25" i="1"/>
  <c r="AE25" i="1"/>
  <c r="AD25" i="1"/>
  <c r="Z25" i="1"/>
  <c r="J25" i="1"/>
  <c r="AL25" i="1" s="1"/>
  <c r="I25" i="1"/>
  <c r="H25" i="1"/>
  <c r="BJ24" i="1"/>
  <c r="BF24" i="1"/>
  <c r="BD24" i="1"/>
  <c r="AP24" i="1"/>
  <c r="BI24" i="1" s="1"/>
  <c r="AC24" i="1" s="1"/>
  <c r="AO24" i="1"/>
  <c r="BH24" i="1" s="1"/>
  <c r="AB24" i="1" s="1"/>
  <c r="AK24" i="1"/>
  <c r="AJ24" i="1"/>
  <c r="AH24" i="1"/>
  <c r="AG24" i="1"/>
  <c r="AF24" i="1"/>
  <c r="AE24" i="1"/>
  <c r="AD24" i="1"/>
  <c r="Z24" i="1"/>
  <c r="J24" i="1"/>
  <c r="AL24" i="1" s="1"/>
  <c r="I24" i="1"/>
  <c r="BJ23" i="1"/>
  <c r="BF23" i="1"/>
  <c r="BD23" i="1"/>
  <c r="AP23" i="1"/>
  <c r="BI23" i="1" s="1"/>
  <c r="AC23" i="1" s="1"/>
  <c r="AO23" i="1"/>
  <c r="H23" i="1" s="1"/>
  <c r="AL23" i="1"/>
  <c r="AK23" i="1"/>
  <c r="AJ23" i="1"/>
  <c r="AH23" i="1"/>
  <c r="AG23" i="1"/>
  <c r="AF23" i="1"/>
  <c r="AE23" i="1"/>
  <c r="AD23" i="1"/>
  <c r="Z23" i="1"/>
  <c r="J23" i="1"/>
  <c r="I23" i="1"/>
  <c r="BJ22" i="1"/>
  <c r="BF22" i="1"/>
  <c r="BD22" i="1"/>
  <c r="AP22" i="1"/>
  <c r="I22" i="1" s="1"/>
  <c r="AO22" i="1"/>
  <c r="AW22" i="1" s="1"/>
  <c r="AK22" i="1"/>
  <c r="AJ22" i="1"/>
  <c r="AH22" i="1"/>
  <c r="AG22" i="1"/>
  <c r="AF22" i="1"/>
  <c r="AE22" i="1"/>
  <c r="AD22" i="1"/>
  <c r="Z22" i="1"/>
  <c r="J22" i="1"/>
  <c r="AL22" i="1" s="1"/>
  <c r="BJ21" i="1"/>
  <c r="BF21" i="1"/>
  <c r="BD21" i="1"/>
  <c r="AP21" i="1"/>
  <c r="AX21" i="1" s="1"/>
  <c r="AO21" i="1"/>
  <c r="BH21" i="1" s="1"/>
  <c r="AB21" i="1" s="1"/>
  <c r="AK21" i="1"/>
  <c r="AJ21" i="1"/>
  <c r="AH21" i="1"/>
  <c r="AG21" i="1"/>
  <c r="AF21" i="1"/>
  <c r="AE21" i="1"/>
  <c r="AD21" i="1"/>
  <c r="Z21" i="1"/>
  <c r="J21" i="1"/>
  <c r="AL21" i="1" s="1"/>
  <c r="BJ20" i="1"/>
  <c r="BH20" i="1"/>
  <c r="AB20" i="1" s="1"/>
  <c r="BF20" i="1"/>
  <c r="BD20" i="1"/>
  <c r="AP20" i="1"/>
  <c r="BI20" i="1" s="1"/>
  <c r="AC20" i="1" s="1"/>
  <c r="AO20" i="1"/>
  <c r="AK20" i="1"/>
  <c r="AJ20" i="1"/>
  <c r="AH20" i="1"/>
  <c r="AG20" i="1"/>
  <c r="AF20" i="1"/>
  <c r="AE20" i="1"/>
  <c r="AD20" i="1"/>
  <c r="Z20" i="1"/>
  <c r="J20" i="1"/>
  <c r="AL20" i="1" s="1"/>
  <c r="BJ19" i="1"/>
  <c r="BF19" i="1"/>
  <c r="BD19" i="1"/>
  <c r="AP19" i="1"/>
  <c r="AO19" i="1"/>
  <c r="BH19" i="1" s="1"/>
  <c r="AB19" i="1" s="1"/>
  <c r="AL19" i="1"/>
  <c r="AK19" i="1"/>
  <c r="AJ19" i="1"/>
  <c r="AH19" i="1"/>
  <c r="AG19" i="1"/>
  <c r="AF19" i="1"/>
  <c r="AE19" i="1"/>
  <c r="AD19" i="1"/>
  <c r="Z19" i="1"/>
  <c r="J19" i="1"/>
  <c r="BJ18" i="1"/>
  <c r="BF18" i="1"/>
  <c r="BD18" i="1"/>
  <c r="AX18" i="1"/>
  <c r="AP18" i="1"/>
  <c r="BI18" i="1" s="1"/>
  <c r="AC18" i="1" s="1"/>
  <c r="AO18" i="1"/>
  <c r="BH18" i="1" s="1"/>
  <c r="AB18" i="1" s="1"/>
  <c r="AK18" i="1"/>
  <c r="AJ18" i="1"/>
  <c r="AH18" i="1"/>
  <c r="AG18" i="1"/>
  <c r="AF18" i="1"/>
  <c r="AE18" i="1"/>
  <c r="AD18" i="1"/>
  <c r="Z18" i="1"/>
  <c r="J18" i="1"/>
  <c r="AL18" i="1" s="1"/>
  <c r="BJ17" i="1"/>
  <c r="BF17" i="1"/>
  <c r="BD17" i="1"/>
  <c r="AW17" i="1"/>
  <c r="AP17" i="1"/>
  <c r="BI17" i="1" s="1"/>
  <c r="AC17" i="1" s="1"/>
  <c r="AO17" i="1"/>
  <c r="BH17" i="1" s="1"/>
  <c r="AB17" i="1" s="1"/>
  <c r="AK17" i="1"/>
  <c r="AJ17" i="1"/>
  <c r="AH17" i="1"/>
  <c r="AG17" i="1"/>
  <c r="AF17" i="1"/>
  <c r="AE17" i="1"/>
  <c r="AD17" i="1"/>
  <c r="Z17" i="1"/>
  <c r="J17" i="1"/>
  <c r="AL17" i="1" s="1"/>
  <c r="I17" i="1"/>
  <c r="H17" i="1"/>
  <c r="BJ16" i="1"/>
  <c r="BF16" i="1"/>
  <c r="BD16" i="1"/>
  <c r="AX16" i="1"/>
  <c r="AW16" i="1"/>
  <c r="AP16" i="1"/>
  <c r="BI16" i="1" s="1"/>
  <c r="AC16" i="1" s="1"/>
  <c r="AO16" i="1"/>
  <c r="BH16" i="1" s="1"/>
  <c r="AB16" i="1" s="1"/>
  <c r="AK16" i="1"/>
  <c r="AJ16" i="1"/>
  <c r="AH16" i="1"/>
  <c r="AG16" i="1"/>
  <c r="AF16" i="1"/>
  <c r="AE16" i="1"/>
  <c r="AD16" i="1"/>
  <c r="Z16" i="1"/>
  <c r="J16" i="1"/>
  <c r="AL16" i="1" s="1"/>
  <c r="I16" i="1"/>
  <c r="H16" i="1"/>
  <c r="BJ15" i="1"/>
  <c r="BF15" i="1"/>
  <c r="BD15" i="1"/>
  <c r="AP15" i="1"/>
  <c r="BI15" i="1" s="1"/>
  <c r="AC15" i="1" s="1"/>
  <c r="AO15" i="1"/>
  <c r="H15" i="1" s="1"/>
  <c r="AL15" i="1"/>
  <c r="AK15" i="1"/>
  <c r="AJ15" i="1"/>
  <c r="AH15" i="1"/>
  <c r="AG15" i="1"/>
  <c r="AF15" i="1"/>
  <c r="AE15" i="1"/>
  <c r="AD15" i="1"/>
  <c r="Z15" i="1"/>
  <c r="J15" i="1"/>
  <c r="I15" i="1"/>
  <c r="BJ14" i="1"/>
  <c r="BF14" i="1"/>
  <c r="BD14" i="1"/>
  <c r="AX14" i="1"/>
  <c r="AP14" i="1"/>
  <c r="I14" i="1" s="1"/>
  <c r="AO14" i="1"/>
  <c r="AW14" i="1" s="1"/>
  <c r="AK14" i="1"/>
  <c r="AJ14" i="1"/>
  <c r="C27" i="2" s="1"/>
  <c r="AH14" i="1"/>
  <c r="AG14" i="1"/>
  <c r="AF14" i="1"/>
  <c r="AE14" i="1"/>
  <c r="AD14" i="1"/>
  <c r="Z14" i="1"/>
  <c r="J14" i="1"/>
  <c r="AL14" i="1" s="1"/>
  <c r="AU1" i="1"/>
  <c r="AT1" i="1"/>
  <c r="AS1" i="1"/>
  <c r="AX33" i="1" l="1"/>
  <c r="H18" i="1"/>
  <c r="AX23" i="1"/>
  <c r="H46" i="1"/>
  <c r="F22" i="2"/>
  <c r="J13" i="1"/>
  <c r="I27" i="3"/>
  <c r="AV16" i="1"/>
  <c r="AX29" i="1"/>
  <c r="C16" i="2"/>
  <c r="AW19" i="1"/>
  <c r="AV19" i="1" s="1"/>
  <c r="AU27" i="1"/>
  <c r="AX41" i="1"/>
  <c r="AT44" i="1"/>
  <c r="AW47" i="1"/>
  <c r="BC47" i="1" s="1"/>
  <c r="H24" i="1"/>
  <c r="H26" i="1"/>
  <c r="AX26" i="1"/>
  <c r="AX36" i="1"/>
  <c r="AS34" i="1"/>
  <c r="H61" i="1"/>
  <c r="AX61" i="1"/>
  <c r="H29" i="1"/>
  <c r="AW49" i="1"/>
  <c r="BC49" i="1" s="1"/>
  <c r="AX22" i="1"/>
  <c r="AW24" i="1"/>
  <c r="AS27" i="1"/>
  <c r="J34" i="1"/>
  <c r="AU59" i="1"/>
  <c r="AU44" i="1"/>
  <c r="I63" i="1"/>
  <c r="H21" i="1"/>
  <c r="H41" i="1"/>
  <c r="AX43" i="1"/>
  <c r="H49" i="1"/>
  <c r="H52" i="1"/>
  <c r="AW21" i="1"/>
  <c r="AX39" i="1"/>
  <c r="I41" i="1"/>
  <c r="AW41" i="1"/>
  <c r="BC41" i="1" s="1"/>
  <c r="AS44" i="1"/>
  <c r="AW52" i="1"/>
  <c r="BC52" i="1" s="1"/>
  <c r="AW15" i="1"/>
  <c r="C21" i="2"/>
  <c r="AX15" i="1"/>
  <c r="AX24" i="1"/>
  <c r="AV24" i="1" s="1"/>
  <c r="AT27" i="1"/>
  <c r="AW30" i="1"/>
  <c r="BI47" i="1"/>
  <c r="AC47" i="1" s="1"/>
  <c r="J50" i="1"/>
  <c r="I20" i="1"/>
  <c r="H42" i="1"/>
  <c r="AX20" i="1"/>
  <c r="I42" i="1"/>
  <c r="I38" i="1" s="1"/>
  <c r="I48" i="1"/>
  <c r="AW37" i="1"/>
  <c r="BC40" i="1"/>
  <c r="AW42" i="1"/>
  <c r="AX48" i="1"/>
  <c r="BC48" i="1" s="1"/>
  <c r="AX51" i="1"/>
  <c r="AV51" i="1" s="1"/>
  <c r="AW23" i="1"/>
  <c r="AW28" i="1"/>
  <c r="AX37" i="1"/>
  <c r="AS38" i="1"/>
  <c r="BC14" i="1"/>
  <c r="AV14" i="1"/>
  <c r="BC36" i="1"/>
  <c r="AV36" i="1"/>
  <c r="BC62" i="1"/>
  <c r="I45" i="3"/>
  <c r="I24" i="2" s="1"/>
  <c r="I19" i="1"/>
  <c r="AX19" i="1"/>
  <c r="BC19" i="1" s="1"/>
  <c r="AX30" i="1"/>
  <c r="I30" i="1"/>
  <c r="BC35" i="1"/>
  <c r="AV35" i="1"/>
  <c r="J38" i="1"/>
  <c r="BC54" i="1"/>
  <c r="AV54" i="1"/>
  <c r="AV48" i="1"/>
  <c r="BC63" i="1"/>
  <c r="AV63" i="1"/>
  <c r="C17" i="2"/>
  <c r="AW20" i="1"/>
  <c r="H20" i="1"/>
  <c r="AW31" i="1"/>
  <c r="H31" i="1"/>
  <c r="AU38" i="1"/>
  <c r="I22" i="2"/>
  <c r="C18" i="2"/>
  <c r="BC24" i="1"/>
  <c r="BC51" i="1"/>
  <c r="BC57" i="1"/>
  <c r="AV57" i="1"/>
  <c r="C19" i="2"/>
  <c r="BC39" i="1"/>
  <c r="AV39" i="1"/>
  <c r="C28" i="2"/>
  <c r="F28" i="2" s="1"/>
  <c r="AT13" i="1"/>
  <c r="C20" i="2"/>
  <c r="BI19" i="1"/>
  <c r="AC19" i="1" s="1"/>
  <c r="BC22" i="1"/>
  <c r="AV22" i="1"/>
  <c r="BI30" i="1"/>
  <c r="AC30" i="1" s="1"/>
  <c r="BC33" i="1"/>
  <c r="AV33" i="1"/>
  <c r="AV52" i="1"/>
  <c r="AV45" i="1"/>
  <c r="BC64" i="1"/>
  <c r="AV64" i="1"/>
  <c r="AU13" i="1"/>
  <c r="BC16" i="1"/>
  <c r="BC21" i="1"/>
  <c r="AV21" i="1"/>
  <c r="BC32" i="1"/>
  <c r="AV32" i="1"/>
  <c r="AT34" i="1"/>
  <c r="BH48" i="1"/>
  <c r="AB48" i="1" s="1"/>
  <c r="BH51" i="1"/>
  <c r="AB51" i="1" s="1"/>
  <c r="BH54" i="1"/>
  <c r="BI62" i="1"/>
  <c r="AC62" i="1" s="1"/>
  <c r="BH63" i="1"/>
  <c r="AB63" i="1" s="1"/>
  <c r="AS13" i="1"/>
  <c r="AX17" i="1"/>
  <c r="AV17" i="1" s="1"/>
  <c r="I18" i="1"/>
  <c r="AW18" i="1"/>
  <c r="H19" i="1"/>
  <c r="AX25" i="1"/>
  <c r="AV25" i="1" s="1"/>
  <c r="I26" i="1"/>
  <c r="AW26" i="1"/>
  <c r="AX28" i="1"/>
  <c r="AV28" i="1" s="1"/>
  <c r="I29" i="1"/>
  <c r="I27" i="1" s="1"/>
  <c r="AW29" i="1"/>
  <c r="H30" i="1"/>
  <c r="H27" i="1" s="1"/>
  <c r="AL36" i="1"/>
  <c r="C29" i="2" s="1"/>
  <c r="F29" i="2" s="1"/>
  <c r="AX42" i="1"/>
  <c r="I43" i="1"/>
  <c r="AW43" i="1"/>
  <c r="AX45" i="1"/>
  <c r="I46" i="1"/>
  <c r="AW46" i="1"/>
  <c r="H47" i="1"/>
  <c r="AV47" i="1"/>
  <c r="AX60" i="1"/>
  <c r="AV60" i="1" s="1"/>
  <c r="I61" i="1"/>
  <c r="AW61" i="1"/>
  <c r="H62" i="1"/>
  <c r="H59" i="1" s="1"/>
  <c r="H58" i="1" s="1"/>
  <c r="AV62" i="1"/>
  <c r="BI63" i="1"/>
  <c r="AC63" i="1" s="1"/>
  <c r="BH64" i="1"/>
  <c r="AB64" i="1" s="1"/>
  <c r="BI21" i="1"/>
  <c r="AC21" i="1" s="1"/>
  <c r="BH22" i="1"/>
  <c r="AB22" i="1" s="1"/>
  <c r="BI32" i="1"/>
  <c r="AC32" i="1" s="1"/>
  <c r="BH33" i="1"/>
  <c r="AB33" i="1" s="1"/>
  <c r="BI35" i="1"/>
  <c r="AC35" i="1" s="1"/>
  <c r="BH36" i="1"/>
  <c r="AB36" i="1" s="1"/>
  <c r="BH39" i="1"/>
  <c r="AB39" i="1" s="1"/>
  <c r="BC45" i="1"/>
  <c r="I47" i="1"/>
  <c r="H48" i="1"/>
  <c r="BI49" i="1"/>
  <c r="AC49" i="1" s="1"/>
  <c r="H51" i="1"/>
  <c r="BI52" i="1"/>
  <c r="AC52" i="1" s="1"/>
  <c r="H54" i="1"/>
  <c r="H53" i="1" s="1"/>
  <c r="BH57" i="1"/>
  <c r="I62" i="1"/>
  <c r="H63" i="1"/>
  <c r="BI64" i="1"/>
  <c r="AC64" i="1" s="1"/>
  <c r="I18" i="3"/>
  <c r="F29" i="3" s="1"/>
  <c r="BI14" i="1"/>
  <c r="AC14" i="1" s="1"/>
  <c r="BH15" i="1"/>
  <c r="AB15" i="1" s="1"/>
  <c r="BI22" i="1"/>
  <c r="AC22" i="1" s="1"/>
  <c r="BH23" i="1"/>
  <c r="AB23" i="1" s="1"/>
  <c r="J27" i="1"/>
  <c r="BI33" i="1"/>
  <c r="AC33" i="1" s="1"/>
  <c r="BI36" i="1"/>
  <c r="AC36" i="1" s="1"/>
  <c r="BH37" i="1"/>
  <c r="AB37" i="1" s="1"/>
  <c r="BI39" i="1"/>
  <c r="AC39" i="1" s="1"/>
  <c r="BH40" i="1"/>
  <c r="AB40" i="1" s="1"/>
  <c r="J44" i="1"/>
  <c r="BI57" i="1"/>
  <c r="J59" i="1"/>
  <c r="J58" i="1" s="1"/>
  <c r="H14" i="1"/>
  <c r="I21" i="1"/>
  <c r="H22" i="1"/>
  <c r="I32" i="1"/>
  <c r="H33" i="1"/>
  <c r="I35" i="1"/>
  <c r="I34" i="1" s="1"/>
  <c r="H36" i="1"/>
  <c r="H34" i="1" s="1"/>
  <c r="H39" i="1"/>
  <c r="I49" i="1"/>
  <c r="I52" i="1"/>
  <c r="I50" i="1" s="1"/>
  <c r="H57" i="1"/>
  <c r="H56" i="1" s="1"/>
  <c r="H55" i="1" s="1"/>
  <c r="I64" i="1"/>
  <c r="BH14" i="1"/>
  <c r="AB14" i="1" s="1"/>
  <c r="H38" i="1" l="1"/>
  <c r="H44" i="1"/>
  <c r="I59" i="1"/>
  <c r="I58" i="1" s="1"/>
  <c r="AV37" i="1"/>
  <c r="BC37" i="1"/>
  <c r="I44" i="1"/>
  <c r="J12" i="1"/>
  <c r="H50" i="1"/>
  <c r="BC25" i="1"/>
  <c r="AU34" i="1"/>
  <c r="AV49" i="1"/>
  <c r="AV15" i="1"/>
  <c r="BC15" i="1"/>
  <c r="AV42" i="1"/>
  <c r="I13" i="1"/>
  <c r="BC30" i="1"/>
  <c r="AV23" i="1"/>
  <c r="BC23" i="1"/>
  <c r="AV41" i="1"/>
  <c r="BC60" i="1"/>
  <c r="BC28" i="1"/>
  <c r="BC42" i="1"/>
  <c r="AV30" i="1"/>
  <c r="C14" i="2"/>
  <c r="C22" i="2" s="1"/>
  <c r="BC46" i="1"/>
  <c r="AV46" i="1"/>
  <c r="BC20" i="1"/>
  <c r="AV20" i="1"/>
  <c r="C15" i="2"/>
  <c r="BC29" i="1"/>
  <c r="AV29" i="1"/>
  <c r="BC18" i="1"/>
  <c r="AV18" i="1"/>
  <c r="I28" i="2"/>
  <c r="I29" i="2" s="1"/>
  <c r="BC31" i="1"/>
  <c r="AV31" i="1"/>
  <c r="BC17" i="1"/>
  <c r="BC61" i="1"/>
  <c r="AV61" i="1"/>
  <c r="BC43" i="1"/>
  <c r="AV43" i="1"/>
  <c r="J65" i="1"/>
  <c r="H13" i="1"/>
  <c r="BC26" i="1"/>
  <c r="AV26" i="1"/>
  <c r="H12" i="1" l="1"/>
  <c r="I12" i="1"/>
</calcChain>
</file>

<file path=xl/sharedStrings.xml><?xml version="1.0" encoding="utf-8"?>
<sst xmlns="http://schemas.openxmlformats.org/spreadsheetml/2006/main" count="1731" uniqueCount="594">
  <si>
    <t>Slepý stavební rozpočet</t>
  </si>
  <si>
    <t>Název stavby:</t>
  </si>
  <si>
    <t>Využití obnovitelných zdrojů energie na ZŠ a Gymnáziu Konice</t>
  </si>
  <si>
    <t>Doba výstavby:</t>
  </si>
  <si>
    <t xml:space="preserve"> </t>
  </si>
  <si>
    <t>Objednatel:</t>
  </si>
  <si>
    <t> </t>
  </si>
  <si>
    <t>Druh stavby:</t>
  </si>
  <si>
    <t>Začátek výstavby:</t>
  </si>
  <si>
    <t>Projektant:</t>
  </si>
  <si>
    <t>HEGAs, s.r.o., Kaštanová 182, 739 61 Třinec</t>
  </si>
  <si>
    <t>Lokalita:</t>
  </si>
  <si>
    <t>ZŠ a G města Konice</t>
  </si>
  <si>
    <t>Konec výstavby:</t>
  </si>
  <si>
    <t>Zhotovitel:</t>
  </si>
  <si>
    <t>JKSO:</t>
  </si>
  <si>
    <t>Zpracováno dne:</t>
  </si>
  <si>
    <t>28.04.2025</t>
  </si>
  <si>
    <t>Zpracoval:</t>
  </si>
  <si>
    <t>Ing. Wania</t>
  </si>
  <si>
    <t>Č</t>
  </si>
  <si>
    <t>Kód</t>
  </si>
  <si>
    <t>Zkrácený popis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</si>
  <si>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</si>
  <si>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</si>
  <si>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</si>
  <si>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</si>
  <si>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</si>
  <si>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</si>
  <si>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</si>
  <si>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</si>
  <si>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</si>
  <si>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</si>
  <si>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</si>
  <si>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</si>
  <si>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</si>
  <si>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</si>
  <si>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</si>
  <si>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</si>
  <si>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</si>
  <si>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</si>
  <si>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</si>
  <si>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</si>
  <si>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</si>
  <si>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</si>
  <si>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</si>
  <si>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</si>
  <si>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</si>
  <si>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</si>
  <si>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</si>
  <si>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Fotovoltaika</t>
  </si>
  <si>
    <t>360</t>
  </si>
  <si>
    <t>Elektroinstalace, MaR</t>
  </si>
  <si>
    <t>08</t>
  </si>
  <si>
    <t>1</t>
  </si>
  <si>
    <t>360000VD</t>
  </si>
  <si>
    <t>Monokrystalický fotovoltaický panel výkonu 410Wp, parametry - dle specifikace</t>
  </si>
  <si>
    <t>ks</t>
  </si>
  <si>
    <t>360_</t>
  </si>
  <si>
    <t>08_3_</t>
  </si>
  <si>
    <t>08_</t>
  </si>
  <si>
    <t>P</t>
  </si>
  <si>
    <t>2</t>
  </si>
  <si>
    <t>360002VD</t>
  </si>
  <si>
    <t>Frekvenční měnič pro FV systémy 20 kW - dle specifikace</t>
  </si>
  <si>
    <t>3</t>
  </si>
  <si>
    <t>360003VD</t>
  </si>
  <si>
    <t>Frekvenční měnič pro FV systémy 30 kW - dle specifikace</t>
  </si>
  <si>
    <t>4</t>
  </si>
  <si>
    <t>360004VD</t>
  </si>
  <si>
    <t>Konstrukce na střechu pod fotovoltaické panely D+M (dle specifikace v PD a v příloze rozpočtu)</t>
  </si>
  <si>
    <t>kpl</t>
  </si>
  <si>
    <t>5</t>
  </si>
  <si>
    <t>360005VD</t>
  </si>
  <si>
    <t>Bezpečnostní řešení pro FVE - rozvaděč DT1, RBS, optimizéry D+M (dle specifikace v PD a v příloze rozpočtu)</t>
  </si>
  <si>
    <t>6</t>
  </si>
  <si>
    <t>360007VD</t>
  </si>
  <si>
    <t>Rozvaděč pro technologii FV - RDC - D+M (dle specifikace v PD a v příloze rozpočtu)</t>
  </si>
  <si>
    <t>7</t>
  </si>
  <si>
    <t>360008VD</t>
  </si>
  <si>
    <t>Rozvaděč pro technologii FV - RPV - D+M (dle specifikace v PD a v příloze rozpočtu)</t>
  </si>
  <si>
    <t>8</t>
  </si>
  <si>
    <t>360010VD</t>
  </si>
  <si>
    <t>Rozvaděč RH doplnění - D+M (dle specifikace v PD a v příloze rozpočtu)</t>
  </si>
  <si>
    <t>9</t>
  </si>
  <si>
    <t>360011VD</t>
  </si>
  <si>
    <t>Batériové úložiště 108,9 kWh, vč. bateriového měniče a BMS - D+M (dle specifikace v PD a v příloze rozpočtu)</t>
  </si>
  <si>
    <t>10</t>
  </si>
  <si>
    <t>360012VD</t>
  </si>
  <si>
    <t>Zpracování SW pro ŘS a vizualizaci, odladění, úpravy</t>
  </si>
  <si>
    <t>hod</t>
  </si>
  <si>
    <t>11</t>
  </si>
  <si>
    <t>360013VD</t>
  </si>
  <si>
    <t>Kabelly, kabelové trasy - D+M (dle specifikace v PD a v příloze rozpočtu)</t>
  </si>
  <si>
    <t>12</t>
  </si>
  <si>
    <t>360015VD</t>
  </si>
  <si>
    <t>Montážní práce - pospojování, uzemnění, připojení</t>
  </si>
  <si>
    <t>13</t>
  </si>
  <si>
    <t>360020VD</t>
  </si>
  <si>
    <t>Ostatní drobný instalační materiál</t>
  </si>
  <si>
    <t>900VD</t>
  </si>
  <si>
    <t>Stavební práce</t>
  </si>
  <si>
    <t>14</t>
  </si>
  <si>
    <t>900601VD</t>
  </si>
  <si>
    <t>Zednické výpomoce-oprava omítek a maleb po prostupech</t>
  </si>
  <si>
    <t>m2</t>
  </si>
  <si>
    <t>RTS II / 2022</t>
  </si>
  <si>
    <t>900VD_</t>
  </si>
  <si>
    <t>08_9_</t>
  </si>
  <si>
    <t>15</t>
  </si>
  <si>
    <t>900602VD</t>
  </si>
  <si>
    <t>Odvoz a uskladnění, poplatky</t>
  </si>
  <si>
    <t>16</t>
  </si>
  <si>
    <t>900603VD</t>
  </si>
  <si>
    <t>Stavební práce a specifikace materiálu - samostatný rozpočet</t>
  </si>
  <si>
    <t>17</t>
  </si>
  <si>
    <t>900610VD</t>
  </si>
  <si>
    <t>Úpravy hromosvodů - přemístění, propojení D+M</t>
  </si>
  <si>
    <t>18</t>
  </si>
  <si>
    <t>900620VD</t>
  </si>
  <si>
    <t>Úpravy střechy - dle požadavků PBŘ - odhad</t>
  </si>
  <si>
    <t>19</t>
  </si>
  <si>
    <t>900900VD</t>
  </si>
  <si>
    <t>Přesun hmot-komplet stavebních prací, svislá a horizontální doprava stavebního mteriálu</t>
  </si>
  <si>
    <t>94</t>
  </si>
  <si>
    <t>Lešení a stavební výtahy</t>
  </si>
  <si>
    <t>20</t>
  </si>
  <si>
    <t>941941052R00</t>
  </si>
  <si>
    <t>Montáž lešení leh.řad.s podlahami,š.1,5 m, H 24 m</t>
  </si>
  <si>
    <t>RTS I / 2025</t>
  </si>
  <si>
    <t>94_</t>
  </si>
  <si>
    <t>21</t>
  </si>
  <si>
    <t>941941852R00</t>
  </si>
  <si>
    <t>Demontáž lešení leh.řad.s podlahami,š.1,5 m,H 24 m</t>
  </si>
  <si>
    <t>22</t>
  </si>
  <si>
    <t>941941502R00</t>
  </si>
  <si>
    <t>Doprava lešení pronaj-dovoz a odvoz sady do 350 m2</t>
  </si>
  <si>
    <t>km</t>
  </si>
  <si>
    <t>95</t>
  </si>
  <si>
    <t>Různé dokončovací konstrukce a práce na pozemních stavbách</t>
  </si>
  <si>
    <t>23</t>
  </si>
  <si>
    <t>953941312R00</t>
  </si>
  <si>
    <t>Osazení požárního hasicího přístroje na stěnu</t>
  </si>
  <si>
    <t>kus</t>
  </si>
  <si>
    <t>95_</t>
  </si>
  <si>
    <t>24</t>
  </si>
  <si>
    <t>953941392R00</t>
  </si>
  <si>
    <t>Revize požárního hasicího přístroje do 10 ks</t>
  </si>
  <si>
    <t>25</t>
  </si>
  <si>
    <t>953941395R00</t>
  </si>
  <si>
    <t>Vystavení revizní zprávy-požární hasicí přístroj</t>
  </si>
  <si>
    <t>26</t>
  </si>
  <si>
    <t>44984114</t>
  </si>
  <si>
    <t>Přístroj hasicí práškový P6Te</t>
  </si>
  <si>
    <t>RTS I / 2024</t>
  </si>
  <si>
    <t>M</t>
  </si>
  <si>
    <t>27</t>
  </si>
  <si>
    <t>44984124</t>
  </si>
  <si>
    <t>Přístroj hasicí gelový, G6 na Li-ion baterie</t>
  </si>
  <si>
    <t>RTS I / 2023</t>
  </si>
  <si>
    <t>952</t>
  </si>
  <si>
    <t>Ostatní stavební práce</t>
  </si>
  <si>
    <t>28</t>
  </si>
  <si>
    <t>952950VD</t>
  </si>
  <si>
    <t>Utěsnění prostupů potrubí - protipožární pěna, odolnost EI 30-45 min</t>
  </si>
  <si>
    <t>952_</t>
  </si>
  <si>
    <t>29</t>
  </si>
  <si>
    <t>952951VD</t>
  </si>
  <si>
    <t>Protipožární zátky pro prostup stropem</t>
  </si>
  <si>
    <t>30</t>
  </si>
  <si>
    <t>952952VD</t>
  </si>
  <si>
    <t>Prostup pro kabely s integrovaným PVC Límcem o průměru 110 mm</t>
  </si>
  <si>
    <t>31</t>
  </si>
  <si>
    <t>952953VD</t>
  </si>
  <si>
    <t>Štítky k požárně dělícím konstrukcím (prostupům)</t>
  </si>
  <si>
    <t>32</t>
  </si>
  <si>
    <t>952954VD</t>
  </si>
  <si>
    <t>Protokol k požárně dělícím konstrukcím (prostupům)</t>
  </si>
  <si>
    <t>97</t>
  </si>
  <si>
    <t>Prorážení otvorů a ostatní bourací práce</t>
  </si>
  <si>
    <t>33</t>
  </si>
  <si>
    <t>970031060R00</t>
  </si>
  <si>
    <t>Vrtání jádrové do zdiva cihelného do D 60 mm - prostupy kabeláže stěnou</t>
  </si>
  <si>
    <t>m</t>
  </si>
  <si>
    <t>97_</t>
  </si>
  <si>
    <t>34</t>
  </si>
  <si>
    <t>970051060R00</t>
  </si>
  <si>
    <t>Vrtání jádrové do ŽB do D 60 mm - prostup kabeláže betonovou konstrukcí</t>
  </si>
  <si>
    <t>H01</t>
  </si>
  <si>
    <t>Budovy občanské výstavby</t>
  </si>
  <si>
    <t>35</t>
  </si>
  <si>
    <t>998011003R00</t>
  </si>
  <si>
    <t>Přesun hmot pro budovy zděné výšky do 24 m - konstukce, materiály</t>
  </si>
  <si>
    <t>t</t>
  </si>
  <si>
    <t>H01_</t>
  </si>
  <si>
    <t>VORN</t>
  </si>
  <si>
    <t>Vedlejší a ostatní rozpočtové náklady</t>
  </si>
  <si>
    <t>03VRN</t>
  </si>
  <si>
    <t>Zařízení staveniště</t>
  </si>
  <si>
    <t>36</t>
  </si>
  <si>
    <t>035002VRN</t>
  </si>
  <si>
    <t>Pronájem zařízení a místa - vysokozdvižná plošina</t>
  </si>
  <si>
    <t>den</t>
  </si>
  <si>
    <t>99</t>
  </si>
  <si>
    <t>03VRN_</t>
  </si>
  <si>
    <t>08_Â _</t>
  </si>
  <si>
    <t>Související práce a činnosti</t>
  </si>
  <si>
    <t>911VD</t>
  </si>
  <si>
    <t>Související práce</t>
  </si>
  <si>
    <t>09</t>
  </si>
  <si>
    <t>37</t>
  </si>
  <si>
    <t>911650VD</t>
  </si>
  <si>
    <t>PD výrobní dokumentace (dle dodávaného zařízení) a skutečného provedení stavby</t>
  </si>
  <si>
    <t>911VD_</t>
  </si>
  <si>
    <t>09_9_</t>
  </si>
  <si>
    <t>09_</t>
  </si>
  <si>
    <t>38</t>
  </si>
  <si>
    <t>911600VD</t>
  </si>
  <si>
    <t>Revize, zkoušky, uvedení do provozu</t>
  </si>
  <si>
    <t>39</t>
  </si>
  <si>
    <t>911620VD</t>
  </si>
  <si>
    <t>Tabulky, označení dveří, popisy zařízení</t>
  </si>
  <si>
    <t>40</t>
  </si>
  <si>
    <t>911651VD</t>
  </si>
  <si>
    <t>Ostatní související náklady realizace, IČ, bezpečnostní prvky - montáž ve výškách</t>
  </si>
  <si>
    <t>41</t>
  </si>
  <si>
    <t>911660VD</t>
  </si>
  <si>
    <t>Zpracování dokladové dokumentace pro připojení výrobny</t>
  </si>
  <si>
    <t>Celkem:</t>
  </si>
  <si>
    <t>Poznámka:</t>
  </si>
  <si>
    <t>Krycí list slepého rozpočtu</t>
  </si>
  <si>
    <t>IČO/DIČ:</t>
  </si>
  <si>
    <t>60774410/CZ60774410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</si>
  <si>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</si>
  <si>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</si>
  <si>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</si>
  <si>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</si>
  <si>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</si>
  <si>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</si>
  <si>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</si>
  <si>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</si>
  <si>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</si>
  <si>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</si>
  <si>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</si>
  <si>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</si>
  <si>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</si>
  <si>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</si>
  <si>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</si>
  <si>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</si>
  <si>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</si>
  <si>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</si>
  <si>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</si>
  <si>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</si>
  <si>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</si>
  <si>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</si>
  <si>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</si>
  <si>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</si>
  <si>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</si>
  <si>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</si>
  <si>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</si>
  <si>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</si>
  <si>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</si>
  <si>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</si>
  <si>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</si>
  <si>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</si>
  <si>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</si>
  <si>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</si>
  <si>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</si>
  <si>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</si>
  <si>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</si>
  <si>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</si>
  <si>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</si>
  <si>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</si>
  <si>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</si>
  <si>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</si>
  <si>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</si>
  <si>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</si>
  <si>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</si>
  <si>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</si>
  <si>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</si>
  <si>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</si>
  <si>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</si>
  <si>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</si>
  <si>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</si>
  <si>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Průzkumy, geodetické a projektové práce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</si>
  <si>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</si>
  <si>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</si>
  <si>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</si>
  <si>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</si>
  <si>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</si>
  <si>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</si>
  <si>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</si>
  <si>
    <t>Stavební práce a specifikace materiálu - viz samostatný list rozpočtu</t>
  </si>
  <si>
    <t>D2 - Fotovoltaické systémy</t>
  </si>
  <si>
    <t>HEGAs s.r.o.</t>
  </si>
  <si>
    <t>ul. Kaštanová 182</t>
  </si>
  <si>
    <t>Třinec 739 61</t>
  </si>
  <si>
    <t>tel./fax:558 321 152</t>
  </si>
  <si>
    <t>hegas@hegas.cz</t>
  </si>
  <si>
    <t>Energetické úspory a využití obnovitelných zdrojů energie na budově ZŠ a Gymnázia města Konice</t>
  </si>
  <si>
    <t xml:space="preserve">ZŠ a Gymnázium Tyršová 609 ,79852 Konice  </t>
  </si>
  <si>
    <t>Označení</t>
  </si>
  <si>
    <t>Popis</t>
  </si>
  <si>
    <t>Typ</t>
  </si>
  <si>
    <t>Výrobce</t>
  </si>
  <si>
    <t>Počet</t>
  </si>
  <si>
    <t>Jednotková cena</t>
  </si>
  <si>
    <t>ks, m</t>
  </si>
  <si>
    <t>KČ</t>
  </si>
  <si>
    <t>4.</t>
  </si>
  <si>
    <t>Konstrukce na střechu pod PV panely (položka č. 4 rozpočtu)</t>
  </si>
  <si>
    <t xml:space="preserve"> 4.1</t>
  </si>
  <si>
    <t>Lišta hliníková zpevňující (délka 4,0 m)</t>
  </si>
  <si>
    <t xml:space="preserve"> 4.2</t>
  </si>
  <si>
    <t>Lišta hliníková zpevňující (délka 6,0 m)</t>
  </si>
  <si>
    <t xml:space="preserve"> 4.3</t>
  </si>
  <si>
    <t>Drobný materiál pro uchycení panelů (šrouby, matice, podložky, sponky…)</t>
  </si>
  <si>
    <t>Celkem konstrukce pod panely</t>
  </si>
  <si>
    <t>Práce konstrukce na střechu pod panely  (položka č. 4 rozpočtu)</t>
  </si>
  <si>
    <t xml:space="preserve"> 4.4</t>
  </si>
  <si>
    <t>Montážní práce - vynesení a osazení hliníkové konstrukce, cena v závislosti na počtu panelů</t>
  </si>
  <si>
    <t>5.</t>
  </si>
  <si>
    <t>Rozvaděč DT1</t>
  </si>
  <si>
    <t xml:space="preserve"> 5.1</t>
  </si>
  <si>
    <t>Rozvaděč pro datový záznamník</t>
  </si>
  <si>
    <t xml:space="preserve"> 5.2</t>
  </si>
  <si>
    <t>Optimizéry</t>
  </si>
  <si>
    <t xml:space="preserve"> 5.3</t>
  </si>
  <si>
    <t>Transmitéry</t>
  </si>
  <si>
    <t xml:space="preserve"> 5.4</t>
  </si>
  <si>
    <t>Datový záznamník + transmitér+Zdroj 24VDC</t>
  </si>
  <si>
    <t>Celkem DT1</t>
  </si>
  <si>
    <t>Rozvaděč RBS</t>
  </si>
  <si>
    <t xml:space="preserve"> 5.5</t>
  </si>
  <si>
    <t>DC pojistkový odpojovač 200A</t>
  </si>
  <si>
    <t xml:space="preserve"> 5.6</t>
  </si>
  <si>
    <t xml:space="preserve">Stykač DC 3xNO 200A Cívka 240V </t>
  </si>
  <si>
    <t xml:space="preserve"> 5.7</t>
  </si>
  <si>
    <t xml:space="preserve">Rozvaděč </t>
  </si>
  <si>
    <t xml:space="preserve"> 5.8</t>
  </si>
  <si>
    <t>Svodič přepětí  DC SPD 2p</t>
  </si>
  <si>
    <t>Celkem RBS</t>
  </si>
  <si>
    <t>Celkem materiál</t>
  </si>
  <si>
    <t>Práce bezpečnostní řešení pro FVE (položka č. 5 rozpočtu)</t>
  </si>
  <si>
    <t xml:space="preserve"> 5.9</t>
  </si>
  <si>
    <t>Montážní práce - rozvaděč RBS</t>
  </si>
  <si>
    <t xml:space="preserve"> 5.10</t>
  </si>
  <si>
    <t>Montážní práce - rozvaděč DT1</t>
  </si>
  <si>
    <t xml:space="preserve"> 5.11</t>
  </si>
  <si>
    <t>Kusová zkouška rozvaděče</t>
  </si>
  <si>
    <t xml:space="preserve"> 5.12</t>
  </si>
  <si>
    <t>Montáž optimizérů</t>
  </si>
  <si>
    <t xml:space="preserve"> 5.13</t>
  </si>
  <si>
    <t>Ostatní montáže</t>
  </si>
  <si>
    <t>6.</t>
  </si>
  <si>
    <t>Rozvaděč RDC  (položka č. 6 rozpočtu)</t>
  </si>
  <si>
    <t xml:space="preserve"> 6.1</t>
  </si>
  <si>
    <t>Rozváděč -plastový, IP 66, DC2, 12modul(dvoupólové pojistkové odpojovače, svodič přepětí )</t>
  </si>
  <si>
    <t>Celkem rozvaděč RDC</t>
  </si>
  <si>
    <t>Práce rozváděč RDC a napojení  (položka č. 6 rozpočtu)</t>
  </si>
  <si>
    <t xml:space="preserve"> 6.2</t>
  </si>
  <si>
    <t>Montážní práce</t>
  </si>
  <si>
    <t xml:space="preserve"> 6.3</t>
  </si>
  <si>
    <t>7.</t>
  </si>
  <si>
    <t>Rozváděč RPV (položka č. 7 rozpočtu)</t>
  </si>
  <si>
    <t xml:space="preserve"> 7.1</t>
  </si>
  <si>
    <t>Rozváděčová skříň</t>
  </si>
  <si>
    <t xml:space="preserve"> 7.2</t>
  </si>
  <si>
    <t>Hlavní vypínač 3 polový 160A</t>
  </si>
  <si>
    <t xml:space="preserve"> 7.3</t>
  </si>
  <si>
    <t>Jistič 16B/3 10kA</t>
  </si>
  <si>
    <t xml:space="preserve"> 7.4</t>
  </si>
  <si>
    <t>Svorka pojistková RSP-4 led</t>
  </si>
  <si>
    <t xml:space="preserve"> 7.5</t>
  </si>
  <si>
    <t>Napěťová a frekvenční ochrana U-f guard se vstupem HDO</t>
  </si>
  <si>
    <t xml:space="preserve"> 7.6</t>
  </si>
  <si>
    <t>Jistič výkonový, typ ME, 3-pólový, 150kA, 140A</t>
  </si>
  <si>
    <t xml:space="preserve"> 7.7</t>
  </si>
  <si>
    <t>Svodič přepětí třídy T1+T2 (B+C)</t>
  </si>
  <si>
    <t xml:space="preserve"> 7.8</t>
  </si>
  <si>
    <t>Výkonový stykač  4NO 63A cívka 230V</t>
  </si>
  <si>
    <t xml:space="preserve"> 7.9</t>
  </si>
  <si>
    <t>Stykač 150A 3p+1Z+1V 230VAC cívka s odrušovacím modulem</t>
  </si>
  <si>
    <t xml:space="preserve"> 7.10</t>
  </si>
  <si>
    <t>Stykač 20A 2NO cívka 230V</t>
  </si>
  <si>
    <t xml:space="preserve"> 7.11</t>
  </si>
  <si>
    <t>Jistič 50B/3 10kA</t>
  </si>
  <si>
    <t xml:space="preserve"> 7.12</t>
  </si>
  <si>
    <t>Jistič 40B/3 10kA</t>
  </si>
  <si>
    <t xml:space="preserve"> 7.13</t>
  </si>
  <si>
    <t>Celkem rozvaděč RPV</t>
  </si>
  <si>
    <t>Práce rozváděč RPV a napojení  (položka č. 7 rozpočtu)</t>
  </si>
  <si>
    <t xml:space="preserve"> 7.14</t>
  </si>
  <si>
    <t>Montážní práce - osazení a napojení</t>
  </si>
  <si>
    <t xml:space="preserve"> 7.15</t>
  </si>
  <si>
    <t>Montážní práce - kompletace rozvaděče</t>
  </si>
  <si>
    <t xml:space="preserve"> 7.16</t>
  </si>
  <si>
    <t xml:space="preserve"> 8.</t>
  </si>
  <si>
    <t>Rozváděč RH  (položka č. 8 rozpočtu)</t>
  </si>
  <si>
    <t xml:space="preserve"> 8.1</t>
  </si>
  <si>
    <t>Jistič 160B/3</t>
  </si>
  <si>
    <t>Celkem rozvaděč RH</t>
  </si>
  <si>
    <t>Práce rozváděč RH  a napojení (položka č. 8 rozpočtu)</t>
  </si>
  <si>
    <t xml:space="preserve"> 8.2</t>
  </si>
  <si>
    <t xml:space="preserve"> 8.3</t>
  </si>
  <si>
    <t>Revize kompletní</t>
  </si>
  <si>
    <t>11.</t>
  </si>
  <si>
    <t>Kabely, kabelové trasy (položka č. 11 rozpočtu)</t>
  </si>
  <si>
    <t xml:space="preserve"> 11.1</t>
  </si>
  <si>
    <t>Kabel AYKY 3x120+70</t>
  </si>
  <si>
    <t xml:space="preserve"> 11.2</t>
  </si>
  <si>
    <t>Kabel J-Y(St)Y 2x2x0,8</t>
  </si>
  <si>
    <t xml:space="preserve"> 11.3</t>
  </si>
  <si>
    <t>Kabel CXKH-R (J)  5x16</t>
  </si>
  <si>
    <t xml:space="preserve"> 11.4</t>
  </si>
  <si>
    <t>Kabel CYKY 3x1,5</t>
  </si>
  <si>
    <t xml:space="preserve"> 11.5</t>
  </si>
  <si>
    <t xml:space="preserve">Kabel 1-CSKH-V180 2x1,5 B2ca-s1,d1,a1 P30 </t>
  </si>
  <si>
    <t xml:space="preserve">Stop tlačítka </t>
  </si>
  <si>
    <t xml:space="preserve"> 11.6</t>
  </si>
  <si>
    <t>Kabel CXKH-R (J)  5x10</t>
  </si>
  <si>
    <t xml:space="preserve"> 11.7</t>
  </si>
  <si>
    <t>Kabel komunikační</t>
  </si>
  <si>
    <t>UTP CAT5E</t>
  </si>
  <si>
    <t xml:space="preserve"> 11.8</t>
  </si>
  <si>
    <t>Kabel komunikační - venkovní stíněný</t>
  </si>
  <si>
    <t>FTP-SXKD</t>
  </si>
  <si>
    <t xml:space="preserve"> 11.9</t>
  </si>
  <si>
    <t>Kabeláž DC</t>
  </si>
  <si>
    <t>Solarní kabel 1x6 mm²</t>
  </si>
  <si>
    <t xml:space="preserve"> 11.10</t>
  </si>
  <si>
    <t>Kabel zemnění</t>
  </si>
  <si>
    <t>CYA 1x16 mm²</t>
  </si>
  <si>
    <t xml:space="preserve"> 11.11</t>
  </si>
  <si>
    <t>Materiál kabelových tras - chráničky, průchodky</t>
  </si>
  <si>
    <t xml:space="preserve"> 11.12</t>
  </si>
  <si>
    <t>Materiál kabelových tras - ocelová nosná lišta 50x50, tl. 1,5 mm, délka 2 m (doměřit dle skutečnosti)</t>
  </si>
  <si>
    <t xml:space="preserve"> 11.13</t>
  </si>
  <si>
    <t>Materiál kabelových tras - ocelová nosná lišta 125x50, tl. 1,5 mm, délka 2 m (doměřit dle skutečnosti)</t>
  </si>
  <si>
    <t xml:space="preserve"> 11.14</t>
  </si>
  <si>
    <t xml:space="preserve">Celkem materiál </t>
  </si>
  <si>
    <t>Kabelové trasy (položka č. 11 rozpočtu)</t>
  </si>
  <si>
    <t xml:space="preserve"> 11.15</t>
  </si>
  <si>
    <t xml:space="preserve"> 11.16</t>
  </si>
  <si>
    <t>Montáž kabelových tras</t>
  </si>
  <si>
    <t xml:space="preserve"> 11.17</t>
  </si>
  <si>
    <t>Pomocné stavební práce</t>
  </si>
  <si>
    <t xml:space="preserve"> 11.18</t>
  </si>
  <si>
    <t>Revize, štítkování, vstupní ověření funkčnosti</t>
  </si>
  <si>
    <t>D2 - Příloha k rozpočtu prací - Fotovoltaické systémy</t>
  </si>
  <si>
    <t>Zdi podpěrné a volné</t>
  </si>
  <si>
    <t>311271177RT5</t>
  </si>
  <si>
    <t>Zdivo z pěnosilikátových tvárnic tl. 300 mm</t>
  </si>
  <si>
    <t>31_</t>
  </si>
  <si>
    <t>Stěny a příčky</t>
  </si>
  <si>
    <t>348921121R00</t>
  </si>
  <si>
    <t>Betonové patky pro slouky a vrata C 12/15 - celkem 5 ks</t>
  </si>
  <si>
    <t>m3</t>
  </si>
  <si>
    <t>34_</t>
  </si>
  <si>
    <t>45</t>
  </si>
  <si>
    <t>Podkladní a vedlejší konstrukce (kromě vozovek a železničního svršku)</t>
  </si>
  <si>
    <t>451971112R00</t>
  </si>
  <si>
    <t>Položení vrstvy z geotextilie, uchycení sponami</t>
  </si>
  <si>
    <t>45_</t>
  </si>
  <si>
    <t>08_4_</t>
  </si>
  <si>
    <t>56</t>
  </si>
  <si>
    <t>Podkladní vrstvy komunikací, letišť a ploch</t>
  </si>
  <si>
    <t>564561111R00</t>
  </si>
  <si>
    <t>Zřízení podsypu z kačírku tl. 18 cm</t>
  </si>
  <si>
    <t>56_</t>
  </si>
  <si>
    <t>08_5_</t>
  </si>
  <si>
    <t>564861111R00</t>
  </si>
  <si>
    <t>Podklad z kameniva po zhutnění tloušťky 20 cm</t>
  </si>
  <si>
    <t>60</t>
  </si>
  <si>
    <t>Omítky ze suchých směsí</t>
  </si>
  <si>
    <t>602012112RT1</t>
  </si>
  <si>
    <t>Omítka vnitřní - ručně, začištění zděných otvorů</t>
  </si>
  <si>
    <t>60_</t>
  </si>
  <si>
    <t>08_6_</t>
  </si>
  <si>
    <t>62</t>
  </si>
  <si>
    <t>Úprava povrchů vnější</t>
  </si>
  <si>
    <t>622311134RU4</t>
  </si>
  <si>
    <t>Zateplovací systém, fasáda, EPS F, včetně barevné stěrky</t>
  </si>
  <si>
    <t>62_</t>
  </si>
  <si>
    <t>763</t>
  </si>
  <si>
    <t>Dřevostavby</t>
  </si>
  <si>
    <t>763761201R00</t>
  </si>
  <si>
    <t>Montáž otvorových výplní - dvířek, poklopů</t>
  </si>
  <si>
    <t>763_</t>
  </si>
  <si>
    <t>08_76_</t>
  </si>
  <si>
    <t>764</t>
  </si>
  <si>
    <t>Konstrukce klempířské</t>
  </si>
  <si>
    <t>764365230R00</t>
  </si>
  <si>
    <t>Poklop půdní, 140x70 cm dodávka + kompletace</t>
  </si>
  <si>
    <t>764_</t>
  </si>
  <si>
    <t>765</t>
  </si>
  <si>
    <t>Krytina tvrdá</t>
  </si>
  <si>
    <t>765322715RT8</t>
  </si>
  <si>
    <t>Výlez na střechu, oplechování otvoru</t>
  </si>
  <si>
    <t>765_</t>
  </si>
  <si>
    <t>766</t>
  </si>
  <si>
    <t>Konstrukce truhlářské</t>
  </si>
  <si>
    <t>766624052R00</t>
  </si>
  <si>
    <t>Montáž střešního výlezu rozměr 45/75 cm</t>
  </si>
  <si>
    <t>766_</t>
  </si>
  <si>
    <t>766231111R00</t>
  </si>
  <si>
    <t>Montáž půdních schodů</t>
  </si>
  <si>
    <t>777</t>
  </si>
  <si>
    <t>Podlahy ze syntetických hmot</t>
  </si>
  <si>
    <t>777553010R00</t>
  </si>
  <si>
    <t>Penetrace savého podkladu - pod venkovní omítku</t>
  </si>
  <si>
    <t>777_</t>
  </si>
  <si>
    <t>08_77_</t>
  </si>
  <si>
    <t>784</t>
  </si>
  <si>
    <t>Malby</t>
  </si>
  <si>
    <t>784450077RA0</t>
  </si>
  <si>
    <t>Malba disperzní, penetrace 1x, malba v barvě 2x</t>
  </si>
  <si>
    <t>784_</t>
  </si>
  <si>
    <t>08_78_</t>
  </si>
  <si>
    <t>90</t>
  </si>
  <si>
    <t>Hodinové zúčtovací sazby (HZS)</t>
  </si>
  <si>
    <t>900100002RA0</t>
  </si>
  <si>
    <t>Oplocení z poplastovaného pletiva, ocelové sloupky</t>
  </si>
  <si>
    <t>90_</t>
  </si>
  <si>
    <t>91</t>
  </si>
  <si>
    <t>Doplňující konstrukce a práce na pozemních komunikacích a zpevněných plochách</t>
  </si>
  <si>
    <t>916561111R00</t>
  </si>
  <si>
    <t>Osazení obrubníků do lože z C 12/15</t>
  </si>
  <si>
    <t>91_</t>
  </si>
  <si>
    <t>96</t>
  </si>
  <si>
    <t>Bourání konstrukcí</t>
  </si>
  <si>
    <t>966068112R00</t>
  </si>
  <si>
    <t>Demontáž stávajícího poklopu na půdu a úprava otvoru</t>
  </si>
  <si>
    <t>96_</t>
  </si>
  <si>
    <t>971100031RAC</t>
  </si>
  <si>
    <t>Vybourání otvorů - vysekání luxferů</t>
  </si>
  <si>
    <t>998011002R00</t>
  </si>
  <si>
    <t>Přesun hmot pro budovy zděné výšky do 12 m</t>
  </si>
  <si>
    <t>M21</t>
  </si>
  <si>
    <t>Elektromontáže</t>
  </si>
  <si>
    <t>210220463R00</t>
  </si>
  <si>
    <t>Montáž žebříku-uchycení na stěnu</t>
  </si>
  <si>
    <t>M21_</t>
  </si>
  <si>
    <t>M46</t>
  </si>
  <si>
    <t>Zemní práce při montážích</t>
  </si>
  <si>
    <t>460030007RT2</t>
  </si>
  <si>
    <t>Sejmutí ornice vrstvy nad 15 cm se zeminou tř.2</t>
  </si>
  <si>
    <t>M46_</t>
  </si>
  <si>
    <t>M65</t>
  </si>
  <si>
    <t>Elektroinstalace</t>
  </si>
  <si>
    <t>650032111R00</t>
  </si>
  <si>
    <t>Montáž venkovní ocelové skříně, kotvení do fasády, osazení nehořlavé podložky</t>
  </si>
  <si>
    <t>M65_</t>
  </si>
  <si>
    <t>S</t>
  </si>
  <si>
    <t>Přesuny sutí</t>
  </si>
  <si>
    <t>979086112R00</t>
  </si>
  <si>
    <t>Nakládání nebo překládání suti a vybouraných hmot</t>
  </si>
  <si>
    <t>S_</t>
  </si>
  <si>
    <t>979087392R00</t>
  </si>
  <si>
    <t>Příplatek za nošení vyb. hmot každých dalších 10 m</t>
  </si>
  <si>
    <t>979081111R00</t>
  </si>
  <si>
    <t>Odvoz suti a vybour. hmot na skládku do 5 km</t>
  </si>
  <si>
    <t>979990168R00</t>
  </si>
  <si>
    <t>Poplatek za uložení suti - sklo, skupina odpadu 1702020</t>
  </si>
  <si>
    <t>979990107R00</t>
  </si>
  <si>
    <t>Poplatek za uložení suti - směs betonu, cihel, dřeva, skupina odpadu 170904</t>
  </si>
  <si>
    <t>553530031</t>
  </si>
  <si>
    <t>Okno výlezové 450 x 750 mm</t>
  </si>
  <si>
    <t>0</t>
  </si>
  <si>
    <t>Z99999_</t>
  </si>
  <si>
    <t>08_Z_</t>
  </si>
  <si>
    <t>61250016</t>
  </si>
  <si>
    <t>Schody mlynářské 600x2800 na půdu ke střešnímu výlezu - úprava délky dle zaměření</t>
  </si>
  <si>
    <t>553539010</t>
  </si>
  <si>
    <t>Teleskopický žebřík skládací, výška 3,8 m, hliník</t>
  </si>
  <si>
    <t>583426851</t>
  </si>
  <si>
    <t>Kamenivo drcené 16/32</t>
  </si>
  <si>
    <t>583336652</t>
  </si>
  <si>
    <t>Kačírek praný 16/32 mm</t>
  </si>
  <si>
    <t>693662091</t>
  </si>
  <si>
    <t>Geotextilie netkaná 150 g/m2</t>
  </si>
  <si>
    <t>5921748200</t>
  </si>
  <si>
    <t>Obrubník v. 250 mm, 1000 x 50 mm,</t>
  </si>
  <si>
    <t>5534622126</t>
  </si>
  <si>
    <t>Sloupek plotový 48/2000 mm, pozinkováno + poplastováno</t>
  </si>
  <si>
    <t>55342602</t>
  </si>
  <si>
    <t>Branka h = 1500 mm, š = 1000 mm, komaxit, 2 sloupky</t>
  </si>
  <si>
    <t>31327101</t>
  </si>
  <si>
    <t>Pletivo pozink 4-hranné drátěné, h = 1500 mm, se zapleteným napínacím drátem</t>
  </si>
  <si>
    <t>37501211</t>
  </si>
  <si>
    <t>Skříň systému nástěnná ocelová, pozinkovná s ochranným nátěrem a dvířky, rozměru 3x1x1,99 - pro umístění technologie FVE dle PD</t>
  </si>
  <si>
    <t>283233119</t>
  </si>
  <si>
    <t>Nehořlavá podložka pod elektrorozváděče, 1200x500x5 mm</t>
  </si>
  <si>
    <t>D2 - Fotovoltaické systémy - stavební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</si>
</sst>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36" x14ac:knownFonts="1">
    <font>
      <sz val="11"/>
      <name val="Calibri"/>
      <charset val="1"/>
    </font>
    <font>
      <sz val="1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b/>
      <sz val="2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rgb="FF9C570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0"/>
      <name val="Arial CE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20"/>
      <color theme="0"/>
      <name val="Tahoma"/>
      <family val="2"/>
      <charset val="238"/>
    </font>
    <font>
      <b/>
      <sz val="12"/>
      <color theme="0"/>
      <name val="Calibri"/>
      <family val="2"/>
      <charset val="238"/>
      <scheme val="minor"/>
    </font>
    <font>
      <b/>
      <sz val="10"/>
      <color theme="0"/>
      <name val="Tahoma"/>
      <family val="2"/>
      <charset val="238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FF0000"/>
      <name val="Arial CE"/>
      <charset val="238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9C5700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EB9C"/>
      </patternFill>
    </fill>
    <fill>
      <patternFill patternType="solid">
        <fgColor rgb="FF0C1528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0" fillId="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66"/>
    <xf numFmtId="0" fontId="17" fillId="0" borderId="74">
      <alignment horizontal="right" indent="1"/>
    </xf>
    <xf numFmtId="0" fontId="17" fillId="0" borderId="75">
      <alignment horizontal="right" indent="1"/>
    </xf>
  </cellStyleXfs>
  <cellXfs count="305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4" fontId="2" fillId="2" borderId="29" xfId="0" applyNumberFormat="1" applyFont="1" applyFill="1" applyBorder="1" applyAlignment="1">
      <alignment horizontal="right" vertical="center"/>
    </xf>
    <xf numFmtId="0" fontId="2" fillId="2" borderId="30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4" fontId="3" fillId="0" borderId="32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4" fontId="2" fillId="0" borderId="34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4" fontId="9" fillId="0" borderId="41" xfId="0" applyNumberFormat="1" applyFont="1" applyBorder="1" applyAlignment="1">
      <alignment horizontal="right" vertical="center"/>
    </xf>
    <xf numFmtId="0" fontId="9" fillId="0" borderId="41" xfId="0" applyFont="1" applyBorder="1" applyAlignment="1">
      <alignment horizontal="right" vertical="center"/>
    </xf>
    <xf numFmtId="0" fontId="8" fillId="0" borderId="44" xfId="0" applyFont="1" applyBorder="1" applyAlignment="1">
      <alignment horizontal="left" vertical="center"/>
    </xf>
    <xf numFmtId="4" fontId="9" fillId="0" borderId="48" xfId="0" applyNumberFormat="1" applyFont="1" applyBorder="1" applyAlignment="1">
      <alignment horizontal="right" vertical="center"/>
    </xf>
    <xf numFmtId="0" fontId="9" fillId="0" borderId="48" xfId="0" applyFont="1" applyBorder="1" applyAlignment="1">
      <alignment horizontal="right" vertical="center"/>
    </xf>
    <xf numFmtId="4" fontId="9" fillId="0" borderId="39" xfId="0" applyNumberFormat="1" applyFont="1" applyBorder="1" applyAlignment="1">
      <alignment horizontal="right" vertical="center"/>
    </xf>
    <xf numFmtId="4" fontId="9" fillId="0" borderId="25" xfId="0" applyNumberFormat="1" applyFont="1" applyBorder="1" applyAlignment="1">
      <alignment horizontal="right" vertical="center"/>
    </xf>
    <xf numFmtId="4" fontId="8" fillId="2" borderId="38" xfId="0" applyNumberFormat="1" applyFont="1" applyFill="1" applyBorder="1" applyAlignment="1">
      <alignment horizontal="right" vertical="center"/>
    </xf>
    <xf numFmtId="4" fontId="8" fillId="2" borderId="43" xfId="0" applyNumberFormat="1" applyFont="1" applyFill="1" applyBorder="1" applyAlignment="1">
      <alignment horizontal="right" vertical="center"/>
    </xf>
    <xf numFmtId="0" fontId="4" fillId="0" borderId="29" xfId="0" applyFont="1" applyBorder="1" applyAlignment="1">
      <alignment horizontal="left" vertical="center"/>
    </xf>
    <xf numFmtId="0" fontId="2" fillId="0" borderId="64" xfId="0" applyFont="1" applyBorder="1" applyAlignment="1">
      <alignment horizontal="right" vertical="center"/>
    </xf>
    <xf numFmtId="0" fontId="3" fillId="0" borderId="45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4" fontId="3" fillId="0" borderId="41" xfId="0" applyNumberFormat="1" applyFont="1" applyBorder="1" applyAlignment="1">
      <alignment horizontal="right" vertical="center"/>
    </xf>
    <xf numFmtId="0" fontId="3" fillId="0" borderId="41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4" fontId="3" fillId="0" borderId="68" xfId="0" applyNumberFormat="1" applyFont="1" applyBorder="1" applyAlignment="1">
      <alignment horizontal="right" vertical="center"/>
    </xf>
    <xf numFmtId="0" fontId="3" fillId="0" borderId="68" xfId="0" applyFont="1" applyBorder="1" applyAlignment="1">
      <alignment horizontal="left" vertical="center"/>
    </xf>
    <xf numFmtId="0" fontId="2" fillId="0" borderId="72" xfId="0" applyFont="1" applyBorder="1" applyAlignment="1">
      <alignment horizontal="left" vertical="center"/>
    </xf>
    <xf numFmtId="0" fontId="2" fillId="0" borderId="72" xfId="0" applyFont="1" applyBorder="1" applyAlignment="1">
      <alignment horizontal="right" vertical="center"/>
    </xf>
    <xf numFmtId="4" fontId="2" fillId="0" borderId="72" xfId="0" applyNumberFormat="1" applyFont="1" applyBorder="1" applyAlignment="1">
      <alignment horizontal="right" vertical="center"/>
    </xf>
    <xf numFmtId="0" fontId="12" fillId="0" borderId="66" xfId="3"/>
    <xf numFmtId="0" fontId="12" fillId="0" borderId="66" xfId="3" applyAlignment="1">
      <alignment vertical="top"/>
    </xf>
    <xf numFmtId="0" fontId="12" fillId="0" borderId="66" xfId="3" applyAlignment="1">
      <alignment horizontal="center" vertical="top"/>
    </xf>
    <xf numFmtId="0" fontId="13" fillId="0" borderId="0" xfId="0" applyFont="1" applyAlignment="1">
      <alignment horizontal="right" vertical="center"/>
    </xf>
    <xf numFmtId="0" fontId="0" fillId="0" borderId="66" xfId="3" applyFont="1" applyAlignment="1">
      <alignment vertical="top" wrapText="1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164" fontId="16" fillId="0" borderId="66" xfId="3" applyNumberFormat="1" applyFont="1" applyAlignment="1">
      <alignment vertical="top" wrapText="1"/>
    </xf>
    <xf numFmtId="16" fontId="16" fillId="0" borderId="66" xfId="3" applyNumberFormat="1" applyFont="1" applyAlignment="1">
      <alignment horizontal="left"/>
    </xf>
    <xf numFmtId="0" fontId="16" fillId="0" borderId="66" xfId="3" applyFont="1"/>
    <xf numFmtId="0" fontId="0" fillId="0" borderId="66" xfId="3" applyFont="1" applyAlignment="1">
      <alignment horizontal="center" vertical="top" wrapText="1"/>
    </xf>
    <xf numFmtId="0" fontId="17" fillId="0" borderId="66" xfId="3" applyFont="1"/>
    <xf numFmtId="0" fontId="0" fillId="0" borderId="0" xfId="2" applyFont="1" applyAlignment="1" applyProtection="1">
      <alignment horizontal="right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164" fontId="14" fillId="0" borderId="0" xfId="0" applyNumberFormat="1" applyFont="1" applyAlignment="1">
      <alignment vertical="center"/>
    </xf>
    <xf numFmtId="0" fontId="20" fillId="4" borderId="0" xfId="0" applyFont="1" applyFill="1" applyAlignment="1">
      <alignment horizontal="center" vertical="center"/>
    </xf>
    <xf numFmtId="164" fontId="20" fillId="4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0" fontId="24" fillId="0" borderId="0" xfId="0" applyFont="1"/>
    <xf numFmtId="0" fontId="25" fillId="0" borderId="0" xfId="0" applyFont="1"/>
    <xf numFmtId="16" fontId="21" fillId="0" borderId="0" xfId="0" applyNumberFormat="1" applyFont="1" applyAlignment="1">
      <alignment horizontal="center" vertical="center" wrapText="1"/>
    </xf>
    <xf numFmtId="0" fontId="26" fillId="0" borderId="66" xfId="4" applyFont="1" applyBorder="1" applyAlignment="1">
      <alignment horizontal="left" vertical="center"/>
    </xf>
    <xf numFmtId="0" fontId="26" fillId="0" borderId="66" xfId="4" applyFont="1" applyBorder="1" applyAlignment="1">
      <alignment horizontal="center" vertical="center"/>
    </xf>
    <xf numFmtId="0" fontId="26" fillId="0" borderId="66" xfId="5" applyFont="1" applyBorder="1" applyAlignment="1">
      <alignment horizontal="center" vertical="center"/>
    </xf>
    <xf numFmtId="165" fontId="26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 wrapText="1"/>
    </xf>
    <xf numFmtId="0" fontId="24" fillId="0" borderId="66" xfId="4" applyFont="1" applyBorder="1" applyAlignment="1">
      <alignment horizontal="center" vertical="center"/>
    </xf>
    <xf numFmtId="165" fontId="23" fillId="0" borderId="0" xfId="0" applyNumberFormat="1" applyFont="1" applyAlignment="1">
      <alignment vertical="center"/>
    </xf>
    <xf numFmtId="16" fontId="22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165" fontId="26" fillId="0" borderId="0" xfId="0" applyNumberFormat="1" applyFont="1" applyAlignment="1">
      <alignment vertical="center"/>
    </xf>
    <xf numFmtId="0" fontId="22" fillId="0" borderId="76" xfId="0" applyFont="1" applyBorder="1" applyAlignment="1">
      <alignment horizontal="left" vertical="center" wrapText="1"/>
    </xf>
    <xf numFmtId="0" fontId="22" fillId="0" borderId="76" xfId="0" applyFont="1" applyBorder="1" applyAlignment="1">
      <alignment horizontal="center" vertical="center" wrapText="1"/>
    </xf>
    <xf numFmtId="0" fontId="22" fillId="0" borderId="76" xfId="0" applyFont="1" applyBorder="1" applyAlignment="1">
      <alignment horizontal="center" vertical="center"/>
    </xf>
    <xf numFmtId="165" fontId="22" fillId="0" borderId="76" xfId="0" applyNumberFormat="1" applyFont="1" applyBorder="1" applyAlignment="1">
      <alignment horizontal="center" vertical="center"/>
    </xf>
    <xf numFmtId="165" fontId="22" fillId="0" borderId="76" xfId="0" applyNumberFormat="1" applyFont="1" applyBorder="1" applyAlignment="1">
      <alignment horizontal="right" vertical="center"/>
    </xf>
    <xf numFmtId="165" fontId="0" fillId="0" borderId="0" xfId="0" applyNumberFormat="1"/>
    <xf numFmtId="164" fontId="23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8" fillId="0" borderId="66" xfId="4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0" fontId="28" fillId="0" borderId="0" xfId="0" applyFont="1"/>
    <xf numFmtId="0" fontId="29" fillId="0" borderId="0" xfId="0" applyFont="1"/>
    <xf numFmtId="16" fontId="27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66" xfId="5" applyFont="1" applyBorder="1" applyAlignment="1">
      <alignment horizontal="center" vertical="center"/>
    </xf>
    <xf numFmtId="165" fontId="28" fillId="0" borderId="0" xfId="0" applyNumberFormat="1" applyFont="1" applyAlignment="1">
      <alignment vertical="center"/>
    </xf>
    <xf numFmtId="0" fontId="24" fillId="0" borderId="0" xfId="0" applyFont="1" applyAlignment="1">
      <alignment vertical="center" wrapText="1"/>
    </xf>
    <xf numFmtId="0" fontId="24" fillId="0" borderId="66" xfId="5" applyFont="1" applyBorder="1" applyAlignment="1">
      <alignment horizontal="center" vertical="center"/>
    </xf>
    <xf numFmtId="165" fontId="24" fillId="0" borderId="0" xfId="0" applyNumberFormat="1" applyFont="1" applyAlignment="1">
      <alignment vertical="center"/>
    </xf>
    <xf numFmtId="0" fontId="30" fillId="0" borderId="0" xfId="0" applyFont="1" applyAlignment="1">
      <alignment vertical="center" wrapText="1"/>
    </xf>
    <xf numFmtId="0" fontId="30" fillId="0" borderId="66" xfId="4" applyFont="1" applyBorder="1" applyAlignment="1">
      <alignment horizontal="center" vertical="center"/>
    </xf>
    <xf numFmtId="0" fontId="30" fillId="0" borderId="66" xfId="5" applyFont="1" applyBorder="1" applyAlignment="1">
      <alignment horizontal="center" vertical="center"/>
    </xf>
    <xf numFmtId="165" fontId="30" fillId="0" borderId="0" xfId="0" applyNumberFormat="1" applyFont="1" applyAlignment="1">
      <alignment vertical="center"/>
    </xf>
    <xf numFmtId="0" fontId="30" fillId="0" borderId="0" xfId="0" applyFont="1"/>
    <xf numFmtId="16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165" fontId="31" fillId="0" borderId="0" xfId="0" applyNumberFormat="1" applyFont="1" applyAlignment="1">
      <alignment vertical="center"/>
    </xf>
    <xf numFmtId="0" fontId="28" fillId="0" borderId="0" xfId="1" applyFont="1" applyFill="1" applyAlignment="1">
      <alignment vertical="center" wrapText="1"/>
    </xf>
    <xf numFmtId="0" fontId="28" fillId="0" borderId="0" xfId="1" applyFont="1" applyFill="1" applyAlignment="1">
      <alignment horizontal="center" vertical="center"/>
    </xf>
    <xf numFmtId="164" fontId="28" fillId="0" borderId="0" xfId="1" applyNumberFormat="1" applyFont="1" applyFill="1" applyAlignment="1">
      <alignment vertical="center"/>
    </xf>
    <xf numFmtId="0" fontId="28" fillId="0" borderId="0" xfId="1" applyFont="1" applyFill="1" applyAlignment="1">
      <alignment vertical="center"/>
    </xf>
    <xf numFmtId="0" fontId="26" fillId="0" borderId="66" xfId="4" applyFont="1" applyBorder="1" applyAlignment="1">
      <alignment vertical="center"/>
    </xf>
    <xf numFmtId="0" fontId="32" fillId="0" borderId="0" xfId="1" applyFont="1" applyFill="1" applyAlignment="1">
      <alignment vertical="center" wrapText="1"/>
    </xf>
    <xf numFmtId="0" fontId="27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17" fontId="28" fillId="0" borderId="0" xfId="1" applyNumberFormat="1" applyFont="1" applyFill="1" applyAlignment="1">
      <alignment vertical="center" wrapText="1"/>
    </xf>
    <xf numFmtId="165" fontId="27" fillId="0" borderId="0" xfId="0" applyNumberFormat="1" applyFont="1" applyAlignment="1">
      <alignment horizontal="center" vertical="center"/>
    </xf>
    <xf numFmtId="0" fontId="34" fillId="0" borderId="0" xfId="0" applyFont="1"/>
    <xf numFmtId="0" fontId="32" fillId="0" borderId="66" xfId="1" applyFont="1" applyFill="1" applyBorder="1" applyAlignment="1">
      <alignment vertical="center" wrapText="1"/>
    </xf>
    <xf numFmtId="0" fontId="22" fillId="0" borderId="76" xfId="0" applyFont="1" applyBorder="1" applyAlignment="1">
      <alignment vertical="center" wrapText="1"/>
    </xf>
    <xf numFmtId="0" fontId="26" fillId="0" borderId="76" xfId="4" applyFont="1" applyBorder="1" applyAlignment="1">
      <alignment horizontal="center" vertical="center"/>
    </xf>
    <xf numFmtId="165" fontId="22" fillId="0" borderId="76" xfId="0" applyNumberFormat="1" applyFont="1" applyBorder="1" applyAlignment="1">
      <alignment vertical="center"/>
    </xf>
    <xf numFmtId="0" fontId="35" fillId="0" borderId="66" xfId="4" applyFont="1" applyBorder="1" applyAlignment="1">
      <alignment horizontal="center" vertical="center"/>
    </xf>
    <xf numFmtId="165" fontId="24" fillId="0" borderId="0" xfId="0" applyNumberFormat="1" applyFont="1" applyAlignment="1">
      <alignment horizontal="right" vertical="center"/>
    </xf>
    <xf numFmtId="165" fontId="29" fillId="0" borderId="0" xfId="0" applyNumberFormat="1" applyFont="1"/>
    <xf numFmtId="0" fontId="22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165" fontId="26" fillId="0" borderId="76" xfId="0" applyNumberFormat="1" applyFont="1" applyBorder="1" applyAlignment="1">
      <alignment horizontal="right" vertical="top"/>
    </xf>
    <xf numFmtId="0" fontId="24" fillId="0" borderId="0" xfId="0" applyFont="1" applyAlignment="1">
      <alignment horizontal="center" vertical="center"/>
    </xf>
    <xf numFmtId="164" fontId="24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6" fillId="0" borderId="0" xfId="0" applyFont="1"/>
    <xf numFmtId="0" fontId="34" fillId="0" borderId="0" xfId="0" applyFont="1" applyAlignment="1">
      <alignment horizontal="center" vertical="center" wrapText="1"/>
    </xf>
    <xf numFmtId="0" fontId="34" fillId="0" borderId="66" xfId="4" applyFont="1" applyBorder="1" applyAlignment="1">
      <alignment horizontal="center" vertical="center"/>
    </xf>
    <xf numFmtId="0" fontId="34" fillId="0" borderId="66" xfId="5" applyFont="1" applyBorder="1" applyAlignment="1">
      <alignment horizontal="center" vertical="center"/>
    </xf>
    <xf numFmtId="165" fontId="34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22" fillId="0" borderId="66" xfId="4" applyFont="1" applyBorder="1" applyAlignment="1">
      <alignment vertical="center"/>
    </xf>
    <xf numFmtId="0" fontId="22" fillId="0" borderId="66" xfId="4" applyFont="1" applyBorder="1" applyAlignment="1">
      <alignment horizontal="center" vertical="center"/>
    </xf>
    <xf numFmtId="0" fontId="22" fillId="0" borderId="66" xfId="5" applyFont="1" applyBorder="1" applyAlignment="1">
      <alignment horizontal="center" vertical="center"/>
    </xf>
    <xf numFmtId="165" fontId="22" fillId="0" borderId="0" xfId="0" applyNumberFormat="1" applyFont="1" applyAlignment="1">
      <alignment horizontal="right" vertical="center"/>
    </xf>
    <xf numFmtId="0" fontId="26" fillId="0" borderId="76" xfId="0" applyFont="1" applyBorder="1" applyAlignment="1">
      <alignment vertical="center" wrapText="1"/>
    </xf>
    <xf numFmtId="164" fontId="26" fillId="0" borderId="76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13" fillId="0" borderId="0" xfId="0" applyNumberFormat="1" applyFont="1" applyAlignment="1">
      <alignment vertical="center"/>
    </xf>
    <xf numFmtId="16" fontId="13" fillId="0" borderId="0" xfId="0" applyNumberFormat="1" applyFont="1" applyAlignment="1">
      <alignment horizontal="center" vertical="center" wrapText="1"/>
    </xf>
    <xf numFmtId="165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/>
    <xf numFmtId="0" fontId="2" fillId="0" borderId="18" xfId="0" applyFont="1" applyBorder="1" applyAlignment="1">
      <alignment horizontal="left" vertical="center"/>
    </xf>
    <xf numFmtId="0" fontId="2" fillId="0" borderId="56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2" fillId="0" borderId="63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3" fillId="2" borderId="65" xfId="0" applyFont="1" applyFill="1" applyBorder="1" applyAlignment="1">
      <alignment horizontal="left" vertical="center"/>
    </xf>
    <xf numFmtId="0" fontId="2" fillId="2" borderId="66" xfId="0" applyFont="1" applyFill="1" applyBorder="1" applyAlignment="1">
      <alignment horizontal="left" vertical="center"/>
    </xf>
    <xf numFmtId="0" fontId="3" fillId="2" borderId="66" xfId="0" applyFont="1" applyFill="1" applyBorder="1" applyAlignment="1">
      <alignment horizontal="left" vertical="center"/>
    </xf>
    <xf numFmtId="4" fontId="2" fillId="2" borderId="66" xfId="0" applyNumberFormat="1" applyFont="1" applyFill="1" applyBorder="1" applyAlignment="1">
      <alignment horizontal="right" vertical="center"/>
    </xf>
    <xf numFmtId="0" fontId="2" fillId="2" borderId="68" xfId="0" applyFont="1" applyFill="1" applyBorder="1" applyAlignment="1">
      <alignment horizontal="right" vertical="center"/>
    </xf>
    <xf numFmtId="0" fontId="3" fillId="0" borderId="68" xfId="0" applyFont="1" applyBorder="1" applyAlignment="1">
      <alignment horizontal="right" vertical="center"/>
    </xf>
    <xf numFmtId="4" fontId="3" fillId="0" borderId="52" xfId="0" applyNumberFormat="1" applyFont="1" applyBorder="1" applyAlignment="1">
      <alignment horizontal="right" vertical="center"/>
    </xf>
    <xf numFmtId="0" fontId="3" fillId="0" borderId="43" xfId="0" applyFont="1" applyBorder="1" applyAlignment="1">
      <alignment horizontal="right" vertical="center"/>
    </xf>
    <xf numFmtId="4" fontId="2" fillId="0" borderId="66" xfId="0" applyNumberFormat="1" applyFont="1" applyBorder="1" applyAlignment="1">
      <alignment horizontal="right" vertical="center"/>
    </xf>
    <xf numFmtId="165" fontId="25" fillId="0" borderId="77" xfId="0" applyNumberFormat="1" applyFont="1" applyBorder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9" fillId="0" borderId="57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2" borderId="50" xfId="0" applyFont="1" applyFill="1" applyBorder="1" applyAlignment="1">
      <alignment horizontal="left" vertical="center"/>
    </xf>
    <xf numFmtId="0" fontId="8" fillId="2" borderId="51" xfId="0" applyFont="1" applyFill="1" applyBorder="1" applyAlignment="1">
      <alignment horizontal="left" vertical="center"/>
    </xf>
    <xf numFmtId="0" fontId="8" fillId="2" borderId="45" xfId="0" applyFont="1" applyFill="1" applyBorder="1" applyAlignment="1">
      <alignment horizontal="left" vertical="center"/>
    </xf>
    <xf numFmtId="0" fontId="8" fillId="2" borderId="52" xfId="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left" vertical="center"/>
    </xf>
    <xf numFmtId="0" fontId="8" fillId="2" borderId="42" xfId="0" applyFont="1" applyFill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64" xfId="0" applyFont="1" applyBorder="1" applyAlignment="1">
      <alignment horizontal="center" vertical="center"/>
    </xf>
    <xf numFmtId="0" fontId="2" fillId="0" borderId="63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2" borderId="66" xfId="0" applyFont="1" applyFill="1" applyBorder="1" applyAlignment="1">
      <alignment horizontal="left" vertical="center" wrapText="1"/>
    </xf>
    <xf numFmtId="0" fontId="2" fillId="2" borderId="66" xfId="0" applyFont="1" applyFill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/>
    </xf>
    <xf numFmtId="0" fontId="1" fillId="0" borderId="66" xfId="0" applyFont="1" applyBorder="1" applyAlignment="1">
      <alignment horizontal="center" vertical="center"/>
    </xf>
    <xf numFmtId="0" fontId="18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 vertical="top" wrapText="1"/>
    </xf>
    <xf numFmtId="0" fontId="19" fillId="4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3" fillId="0" borderId="45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2" fillId="0" borderId="69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0" fontId="8" fillId="0" borderId="69" xfId="0" applyFont="1" applyBorder="1" applyAlignment="1">
      <alignment horizontal="left" vertical="center"/>
    </xf>
    <xf numFmtId="0" fontId="8" fillId="0" borderId="70" xfId="0" applyFont="1" applyBorder="1" applyAlignment="1">
      <alignment horizontal="left" vertical="center"/>
    </xf>
    <xf numFmtId="0" fontId="8" fillId="0" borderId="71" xfId="0" applyFont="1" applyBorder="1" applyAlignment="1">
      <alignment horizontal="left" vertical="center"/>
    </xf>
    <xf numFmtId="4" fontId="8" fillId="0" borderId="73" xfId="0" applyNumberFormat="1" applyFont="1" applyBorder="1" applyAlignment="1">
      <alignment horizontal="right" vertical="center"/>
    </xf>
    <xf numFmtId="0" fontId="8" fillId="0" borderId="70" xfId="0" applyFont="1" applyBorder="1" applyAlignment="1">
      <alignment horizontal="right" vertical="center"/>
    </xf>
    <xf numFmtId="0" fontId="8" fillId="0" borderId="71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0" fontId="3" fillId="5" borderId="6" xfId="0" applyFont="1" applyFill="1" applyBorder="1" applyAlignment="1" applyProtection="1">
      <alignment horizontal="left" vertical="center"/>
      <protection locked="0"/>
    </xf>
    <xf numFmtId="4" fontId="3" fillId="5" borderId="0" xfId="0" applyNumberFormat="1" applyFont="1" applyFill="1" applyAlignment="1" applyProtection="1">
      <alignment horizontal="right" vertical="center"/>
      <protection locked="0"/>
    </xf>
    <xf numFmtId="4" fontId="3" fillId="5" borderId="32" xfId="0" applyNumberFormat="1" applyFont="1" applyFill="1" applyBorder="1" applyAlignment="1" applyProtection="1">
      <alignment horizontal="right" vertical="center"/>
      <protection locked="0"/>
    </xf>
    <xf numFmtId="4" fontId="3" fillId="5" borderId="52" xfId="0" applyNumberFormat="1" applyFont="1" applyFill="1" applyBorder="1" applyAlignment="1" applyProtection="1">
      <alignment horizontal="right" vertical="center"/>
      <protection locked="0"/>
    </xf>
    <xf numFmtId="0" fontId="3" fillId="5" borderId="68" xfId="0" applyFont="1" applyFill="1" applyBorder="1" applyAlignment="1" applyProtection="1">
      <alignment horizontal="left" vertical="center"/>
      <protection locked="0"/>
    </xf>
    <xf numFmtId="165" fontId="26" fillId="5" borderId="0" xfId="0" applyNumberFormat="1" applyFont="1" applyFill="1" applyAlignment="1" applyProtection="1">
      <alignment horizontal="right" vertical="center"/>
      <protection locked="0"/>
    </xf>
    <xf numFmtId="165" fontId="22" fillId="0" borderId="76" xfId="0" applyNumberFormat="1" applyFont="1" applyBorder="1" applyAlignment="1" applyProtection="1">
      <alignment horizontal="center" vertical="center"/>
      <protection locked="0"/>
    </xf>
  </cellXfs>
  <cellStyles count="6">
    <cellStyle name="ColStyle1" xfId="4" xr:uid="{DAC87480-5EFF-46C4-B267-39EA1A844BC0}"/>
    <cellStyle name="ColStyle4" xfId="5" xr:uid="{82A0A130-CD4B-456B-8D17-364780AE8D17}"/>
    <cellStyle name="Hypertextový odkaz" xfId="2" builtinId="8"/>
    <cellStyle name="Neutrální" xfId="1" builtinId="28"/>
    <cellStyle name="Normální" xfId="0" builtinId="0"/>
    <cellStyle name="normální_H1057-03 - specifikace materiálu" xfId="3" xr:uid="{F12DA680-74EF-4E9E-86D6-AD0DB61674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183047</xdr:colOff>
      <xdr:row>0</xdr:row>
      <xdr:rowOff>244532</xdr:rowOff>
    </xdr:from>
    <xdr:to>
      <xdr:col>1</xdr:col>
      <xdr:colOff>1152525</xdr:colOff>
      <xdr:row>3</xdr:row>
      <xdr:rowOff>161925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0C16444-46CD-44E6-BB3A-7C566C850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7" y="244532"/>
          <a:ext cx="2331553" cy="6603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hegas@hegas.cz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workbookViewId="0">
      <selection activeCell="K9" sqref="K9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234" t="s">
        <v>230</v>
      </c>
      <c r="B1" s="235"/>
      <c r="C1" s="235"/>
      <c r="D1" s="235"/>
      <c r="E1" s="235"/>
      <c r="F1" s="235"/>
      <c r="G1" s="235"/>
      <c r="H1" s="235"/>
      <c r="I1" s="235"/>
    </row>
    <row r="2" spans="1:9" x14ac:dyDescent="0.25">
      <c r="A2" s="236" t="s">
        <v>1</v>
      </c>
      <c r="B2" s="237"/>
      <c r="C2" s="242" t="str">
        <f>'Stavební rozpočet'!C2</f>
        <v>Využití obnovitelných zdrojů energie na ZŠ a Gymnáziu Konice</v>
      </c>
      <c r="D2" s="243"/>
      <c r="E2" s="233" t="s">
        <v>5</v>
      </c>
      <c r="F2" s="233" t="str">
        <f>'Stavební rozpočet'!I2</f>
        <v> </v>
      </c>
      <c r="G2" s="237"/>
      <c r="H2" s="233" t="s">
        <v>231</v>
      </c>
      <c r="I2" s="239" t="s">
        <v>49</v>
      </c>
    </row>
    <row r="3" spans="1:9" ht="25.5" customHeight="1" x14ac:dyDescent="0.25">
      <c r="A3" s="238"/>
      <c r="B3" s="194"/>
      <c r="C3" s="244"/>
      <c r="D3" s="244"/>
      <c r="E3" s="194"/>
      <c r="F3" s="194"/>
      <c r="G3" s="194"/>
      <c r="H3" s="194"/>
      <c r="I3" s="240"/>
    </row>
    <row r="4" spans="1:9" x14ac:dyDescent="0.25">
      <c r="A4" s="231" t="s">
        <v>7</v>
      </c>
      <c r="B4" s="194"/>
      <c r="C4" s="193" t="str">
        <f>'Stavební rozpočet'!C4</f>
        <v>D2 - Fotovoltaické systémy</v>
      </c>
      <c r="D4" s="194"/>
      <c r="E4" s="193" t="s">
        <v>9</v>
      </c>
      <c r="F4" s="193" t="str">
        <f>'Stavební rozpočet'!I4</f>
        <v>HEGAs, s.r.o., Kaštanová 182, 739 61 Třinec</v>
      </c>
      <c r="G4" s="194"/>
      <c r="H4" s="193" t="s">
        <v>231</v>
      </c>
      <c r="I4" s="240" t="s">
        <v>232</v>
      </c>
    </row>
    <row r="5" spans="1:9" ht="15" customHeight="1" x14ac:dyDescent="0.25">
      <c r="A5" s="238"/>
      <c r="B5" s="194"/>
      <c r="C5" s="194"/>
      <c r="D5" s="194"/>
      <c r="E5" s="194"/>
      <c r="F5" s="194"/>
      <c r="G5" s="194"/>
      <c r="H5" s="194"/>
      <c r="I5" s="240"/>
    </row>
    <row r="6" spans="1:9" x14ac:dyDescent="0.25">
      <c r="A6" s="231" t="s">
        <v>11</v>
      </c>
      <c r="B6" s="194"/>
      <c r="C6" s="193" t="str">
        <f>'Stavební rozpočet'!C6</f>
        <v>ZŠ a G města Konice</v>
      </c>
      <c r="D6" s="194"/>
      <c r="E6" s="193" t="s">
        <v>14</v>
      </c>
      <c r="F6" s="296" t="str">
        <f>'Stavební rozpočet'!I6</f>
        <v> </v>
      </c>
      <c r="G6" s="297"/>
      <c r="H6" s="193" t="s">
        <v>231</v>
      </c>
      <c r="I6" s="298" t="s">
        <v>49</v>
      </c>
    </row>
    <row r="7" spans="1:9" ht="15" customHeight="1" x14ac:dyDescent="0.25">
      <c r="A7" s="238"/>
      <c r="B7" s="194"/>
      <c r="C7" s="194"/>
      <c r="D7" s="194"/>
      <c r="E7" s="194"/>
      <c r="F7" s="297"/>
      <c r="G7" s="297"/>
      <c r="H7" s="194"/>
      <c r="I7" s="298"/>
    </row>
    <row r="8" spans="1:9" x14ac:dyDescent="0.25">
      <c r="A8" s="231" t="s">
        <v>8</v>
      </c>
      <c r="B8" s="194"/>
      <c r="C8" s="193" t="str">
        <f>'Stavební rozpočet'!G4</f>
        <v xml:space="preserve"> </v>
      </c>
      <c r="D8" s="194"/>
      <c r="E8" s="193" t="s">
        <v>13</v>
      </c>
      <c r="F8" s="193" t="str">
        <f>'Stavební rozpočet'!G6</f>
        <v xml:space="preserve"> </v>
      </c>
      <c r="G8" s="194"/>
      <c r="H8" s="194" t="s">
        <v>233</v>
      </c>
      <c r="I8" s="241">
        <v>41</v>
      </c>
    </row>
    <row r="9" spans="1:9" x14ac:dyDescent="0.25">
      <c r="A9" s="238"/>
      <c r="B9" s="194"/>
      <c r="C9" s="194"/>
      <c r="D9" s="194"/>
      <c r="E9" s="194"/>
      <c r="F9" s="194"/>
      <c r="G9" s="194"/>
      <c r="H9" s="194"/>
      <c r="I9" s="240"/>
    </row>
    <row r="10" spans="1:9" x14ac:dyDescent="0.25">
      <c r="A10" s="231" t="s">
        <v>15</v>
      </c>
      <c r="B10" s="194"/>
      <c r="C10" s="193" t="str">
        <f>'Stavební rozpočet'!C8</f>
        <v xml:space="preserve"> </v>
      </c>
      <c r="D10" s="194"/>
      <c r="E10" s="193" t="s">
        <v>18</v>
      </c>
      <c r="F10" s="193" t="str">
        <f>'Stavební rozpočet'!I8</f>
        <v>Ing. Wania</v>
      </c>
      <c r="G10" s="194"/>
      <c r="H10" s="194" t="s">
        <v>234</v>
      </c>
      <c r="I10" s="225" t="str">
        <f>'Stavební rozpočet'!G8</f>
        <v>28.04.2025</v>
      </c>
    </row>
    <row r="11" spans="1:9" x14ac:dyDescent="0.25">
      <c r="A11" s="232"/>
      <c r="B11" s="230"/>
      <c r="C11" s="230"/>
      <c r="D11" s="230"/>
      <c r="E11" s="230"/>
      <c r="F11" s="230"/>
      <c r="G11" s="230"/>
      <c r="H11" s="230"/>
      <c r="I11" s="226"/>
    </row>
    <row r="12" spans="1:9" ht="23.25" x14ac:dyDescent="0.25">
      <c r="A12" s="227" t="s">
        <v>235</v>
      </c>
      <c r="B12" s="227"/>
      <c r="C12" s="227"/>
      <c r="D12" s="227"/>
      <c r="E12" s="227"/>
      <c r="F12" s="227"/>
      <c r="G12" s="227"/>
      <c r="H12" s="227"/>
      <c r="I12" s="227"/>
    </row>
    <row r="13" spans="1:9" ht="26.25" customHeight="1" x14ac:dyDescent="0.25">
      <c r="A13" s="37" t="s">
        <v>236</v>
      </c>
      <c r="B13" s="228" t="s">
        <v>237</v>
      </c>
      <c r="C13" s="229"/>
      <c r="D13" s="38" t="s">
        <v>238</v>
      </c>
      <c r="E13" s="228" t="s">
        <v>239</v>
      </c>
      <c r="F13" s="229"/>
      <c r="G13" s="38" t="s">
        <v>240</v>
      </c>
      <c r="H13" s="228" t="s">
        <v>241</v>
      </c>
      <c r="I13" s="229"/>
    </row>
    <row r="14" spans="1:9" ht="15.75" x14ac:dyDescent="0.25">
      <c r="A14" s="39" t="s">
        <v>242</v>
      </c>
      <c r="B14" s="40" t="s">
        <v>243</v>
      </c>
      <c r="C14" s="41">
        <f>SUM('Stavební rozpočet'!AB12:AB128)</f>
        <v>0</v>
      </c>
      <c r="D14" s="215" t="s">
        <v>244</v>
      </c>
      <c r="E14" s="216"/>
      <c r="F14" s="41">
        <f>VORN!I15</f>
        <v>0</v>
      </c>
      <c r="G14" s="215" t="s">
        <v>198</v>
      </c>
      <c r="H14" s="216"/>
      <c r="I14" s="42">
        <f>VORN!I21</f>
        <v>0</v>
      </c>
    </row>
    <row r="15" spans="1:9" ht="15.75" x14ac:dyDescent="0.25">
      <c r="A15" s="43" t="s">
        <v>49</v>
      </c>
      <c r="B15" s="40" t="s">
        <v>34</v>
      </c>
      <c r="C15" s="41">
        <f>SUM('Stavební rozpočet'!AC12:AC128)</f>
        <v>0</v>
      </c>
      <c r="D15" s="215" t="s">
        <v>245</v>
      </c>
      <c r="E15" s="216"/>
      <c r="F15" s="41">
        <f>VORN!I16</f>
        <v>0</v>
      </c>
      <c r="G15" s="215" t="s">
        <v>246</v>
      </c>
      <c r="H15" s="216"/>
      <c r="I15" s="42">
        <f>VORN!I22</f>
        <v>0</v>
      </c>
    </row>
    <row r="16" spans="1:9" ht="15.75" x14ac:dyDescent="0.25">
      <c r="A16" s="39" t="s">
        <v>247</v>
      </c>
      <c r="B16" s="40" t="s">
        <v>243</v>
      </c>
      <c r="C16" s="41">
        <f>SUM('Stavební rozpočet'!AD12:AD128)</f>
        <v>0</v>
      </c>
      <c r="D16" s="215" t="s">
        <v>248</v>
      </c>
      <c r="E16" s="216"/>
      <c r="F16" s="41">
        <f>VORN!I17</f>
        <v>0</v>
      </c>
      <c r="G16" s="215" t="s">
        <v>249</v>
      </c>
      <c r="H16" s="216"/>
      <c r="I16" s="42">
        <f>VORN!I23</f>
        <v>0</v>
      </c>
    </row>
    <row r="17" spans="1:9" ht="15.75" x14ac:dyDescent="0.25">
      <c r="A17" s="43" t="s">
        <v>49</v>
      </c>
      <c r="B17" s="40" t="s">
        <v>34</v>
      </c>
      <c r="C17" s="41">
        <f>SUM('Stavební rozpočet'!AE12:AE128)</f>
        <v>0</v>
      </c>
      <c r="D17" s="215" t="s">
        <v>49</v>
      </c>
      <c r="E17" s="216"/>
      <c r="F17" s="42" t="s">
        <v>49</v>
      </c>
      <c r="G17" s="215" t="s">
        <v>250</v>
      </c>
      <c r="H17" s="216"/>
      <c r="I17" s="42">
        <f>VORN!I24</f>
        <v>0</v>
      </c>
    </row>
    <row r="18" spans="1:9" ht="15.75" x14ac:dyDescent="0.25">
      <c r="A18" s="39" t="s">
        <v>251</v>
      </c>
      <c r="B18" s="40" t="s">
        <v>243</v>
      </c>
      <c r="C18" s="41">
        <f>SUM('Stavební rozpočet'!AF12:AF128)</f>
        <v>0</v>
      </c>
      <c r="D18" s="215" t="s">
        <v>49</v>
      </c>
      <c r="E18" s="216"/>
      <c r="F18" s="42" t="s">
        <v>49</v>
      </c>
      <c r="G18" s="215" t="s">
        <v>252</v>
      </c>
      <c r="H18" s="216"/>
      <c r="I18" s="42">
        <f>VORN!I25</f>
        <v>0</v>
      </c>
    </row>
    <row r="19" spans="1:9" ht="15.75" x14ac:dyDescent="0.25">
      <c r="A19" s="43" t="s">
        <v>49</v>
      </c>
      <c r="B19" s="40" t="s">
        <v>34</v>
      </c>
      <c r="C19" s="41">
        <f>SUM('Stavební rozpočet'!AG12:AG128)</f>
        <v>0</v>
      </c>
      <c r="D19" s="215" t="s">
        <v>49</v>
      </c>
      <c r="E19" s="216"/>
      <c r="F19" s="42" t="s">
        <v>49</v>
      </c>
      <c r="G19" s="215" t="s">
        <v>253</v>
      </c>
      <c r="H19" s="216"/>
      <c r="I19" s="42">
        <f>VORN!I26</f>
        <v>0</v>
      </c>
    </row>
    <row r="20" spans="1:9" ht="15.75" x14ac:dyDescent="0.25">
      <c r="A20" s="207" t="s">
        <v>254</v>
      </c>
      <c r="B20" s="208"/>
      <c r="C20" s="41">
        <f>SUM('Stavební rozpočet'!AH12:AH128)</f>
        <v>0</v>
      </c>
      <c r="D20" s="215" t="s">
        <v>49</v>
      </c>
      <c r="E20" s="216"/>
      <c r="F20" s="42" t="s">
        <v>49</v>
      </c>
      <c r="G20" s="215" t="s">
        <v>49</v>
      </c>
      <c r="H20" s="216"/>
      <c r="I20" s="42" t="s">
        <v>49</v>
      </c>
    </row>
    <row r="21" spans="1:9" ht="15.75" x14ac:dyDescent="0.25">
      <c r="A21" s="222" t="s">
        <v>255</v>
      </c>
      <c r="B21" s="223"/>
      <c r="C21" s="44">
        <f>SUM('Stavební rozpočet'!Z12:Z128)</f>
        <v>0</v>
      </c>
      <c r="D21" s="217" t="s">
        <v>49</v>
      </c>
      <c r="E21" s="218"/>
      <c r="F21" s="45" t="s">
        <v>49</v>
      </c>
      <c r="G21" s="217" t="s">
        <v>49</v>
      </c>
      <c r="H21" s="218"/>
      <c r="I21" s="45" t="s">
        <v>49</v>
      </c>
    </row>
    <row r="22" spans="1:9" ht="16.5" customHeight="1" x14ac:dyDescent="0.25">
      <c r="A22" s="224" t="s">
        <v>256</v>
      </c>
      <c r="B22" s="220"/>
      <c r="C22" s="46">
        <f>ROUND(SUM(C14:C21),2)</f>
        <v>0</v>
      </c>
      <c r="D22" s="219" t="s">
        <v>257</v>
      </c>
      <c r="E22" s="220"/>
      <c r="F22" s="46">
        <f>SUM(F14:F21)</f>
        <v>0</v>
      </c>
      <c r="G22" s="219" t="s">
        <v>258</v>
      </c>
      <c r="H22" s="220"/>
      <c r="I22" s="46">
        <f>SUM(I14:I21)</f>
        <v>0</v>
      </c>
    </row>
    <row r="23" spans="1:9" ht="15.75" x14ac:dyDescent="0.25">
      <c r="D23" s="207" t="s">
        <v>259</v>
      </c>
      <c r="E23" s="208"/>
      <c r="F23" s="47">
        <v>0</v>
      </c>
      <c r="G23" s="221" t="s">
        <v>260</v>
      </c>
      <c r="H23" s="208"/>
      <c r="I23" s="41">
        <v>0</v>
      </c>
    </row>
    <row r="24" spans="1:9" ht="15.75" x14ac:dyDescent="0.25">
      <c r="G24" s="207" t="s">
        <v>261</v>
      </c>
      <c r="H24" s="208"/>
      <c r="I24" s="44">
        <f>vorn_sum</f>
        <v>0</v>
      </c>
    </row>
    <row r="25" spans="1:9" ht="15.75" x14ac:dyDescent="0.25">
      <c r="G25" s="207" t="s">
        <v>262</v>
      </c>
      <c r="H25" s="208"/>
      <c r="I25" s="46">
        <v>0</v>
      </c>
    </row>
    <row r="27" spans="1:9" ht="15.75" x14ac:dyDescent="0.25">
      <c r="A27" s="209" t="s">
        <v>263</v>
      </c>
      <c r="B27" s="210"/>
      <c r="C27" s="48">
        <f>ROUND(SUM('Stavební rozpočet'!AJ12:AJ128),2)</f>
        <v>0</v>
      </c>
    </row>
    <row r="28" spans="1:9" ht="15.75" x14ac:dyDescent="0.25">
      <c r="A28" s="211" t="s">
        <v>264</v>
      </c>
      <c r="B28" s="212"/>
      <c r="C28" s="49">
        <f>ROUND(SUM('Stavební rozpočet'!AK12:AK128),2)</f>
        <v>0</v>
      </c>
      <c r="D28" s="213" t="s">
        <v>265</v>
      </c>
      <c r="E28" s="210"/>
      <c r="F28" s="48">
        <f>ROUND(C28*(12/100),2)</f>
        <v>0</v>
      </c>
      <c r="G28" s="213" t="s">
        <v>266</v>
      </c>
      <c r="H28" s="210"/>
      <c r="I28" s="48">
        <f>ROUND(SUM(C27:C29),2)</f>
        <v>0</v>
      </c>
    </row>
    <row r="29" spans="1:9" ht="15.75" x14ac:dyDescent="0.25">
      <c r="A29" s="211" t="s">
        <v>267</v>
      </c>
      <c r="B29" s="212"/>
      <c r="C29" s="49">
        <f>ROUND(SUM('Stavební rozpočet'!AL12:AL128),2)</f>
        <v>0</v>
      </c>
      <c r="D29" s="214" t="s">
        <v>268</v>
      </c>
      <c r="E29" s="212"/>
      <c r="F29" s="49">
        <f>ROUND(C29*(21/100),2)</f>
        <v>0</v>
      </c>
      <c r="G29" s="214" t="s">
        <v>269</v>
      </c>
      <c r="H29" s="212"/>
      <c r="I29" s="49">
        <f>ROUND(SUM(F28:F29)+I28,2)</f>
        <v>0</v>
      </c>
    </row>
    <row r="31" spans="1:9" x14ac:dyDescent="0.25">
      <c r="A31" s="204" t="s">
        <v>270</v>
      </c>
      <c r="B31" s="196"/>
      <c r="C31" s="197"/>
      <c r="D31" s="195" t="s">
        <v>271</v>
      </c>
      <c r="E31" s="196"/>
      <c r="F31" s="197"/>
      <c r="G31" s="195" t="s">
        <v>272</v>
      </c>
      <c r="H31" s="196"/>
      <c r="I31" s="197"/>
    </row>
    <row r="32" spans="1:9" x14ac:dyDescent="0.25">
      <c r="A32" s="205" t="s">
        <v>49</v>
      </c>
      <c r="B32" s="199"/>
      <c r="C32" s="200"/>
      <c r="D32" s="198" t="s">
        <v>49</v>
      </c>
      <c r="E32" s="199"/>
      <c r="F32" s="200"/>
      <c r="G32" s="198" t="s">
        <v>49</v>
      </c>
      <c r="H32" s="199"/>
      <c r="I32" s="200"/>
    </row>
    <row r="33" spans="1:9" x14ac:dyDescent="0.25">
      <c r="A33" s="205" t="s">
        <v>49</v>
      </c>
      <c r="B33" s="199"/>
      <c r="C33" s="200"/>
      <c r="D33" s="198" t="s">
        <v>49</v>
      </c>
      <c r="E33" s="199"/>
      <c r="F33" s="200"/>
      <c r="G33" s="198" t="s">
        <v>49</v>
      </c>
      <c r="H33" s="199"/>
      <c r="I33" s="200"/>
    </row>
    <row r="34" spans="1:9" x14ac:dyDescent="0.25">
      <c r="A34" s="205" t="s">
        <v>49</v>
      </c>
      <c r="B34" s="199"/>
      <c r="C34" s="200"/>
      <c r="D34" s="198" t="s">
        <v>49</v>
      </c>
      <c r="E34" s="199"/>
      <c r="F34" s="200"/>
      <c r="G34" s="198" t="s">
        <v>49</v>
      </c>
      <c r="H34" s="199"/>
      <c r="I34" s="200"/>
    </row>
    <row r="35" spans="1:9" x14ac:dyDescent="0.25">
      <c r="A35" s="206" t="s">
        <v>273</v>
      </c>
      <c r="B35" s="202"/>
      <c r="C35" s="203"/>
      <c r="D35" s="201" t="s">
        <v>273</v>
      </c>
      <c r="E35" s="202"/>
      <c r="F35" s="203"/>
      <c r="G35" s="201" t="s">
        <v>273</v>
      </c>
      <c r="H35" s="202"/>
      <c r="I35" s="203"/>
    </row>
    <row r="36" spans="1:9" x14ac:dyDescent="0.25">
      <c r="A36" s="50" t="s">
        <v>229</v>
      </c>
    </row>
    <row r="37" spans="1:9" ht="12.75" customHeight="1" x14ac:dyDescent="0.25">
      <c r="A37" s="193" t="s">
        <v>49</v>
      </c>
      <c r="B37" s="194"/>
      <c r="C37" s="194"/>
      <c r="D37" s="194"/>
      <c r="E37" s="194"/>
      <c r="F37" s="194"/>
      <c r="G37" s="194"/>
      <c r="H37" s="194"/>
      <c r="I37" s="194"/>
    </row>
  </sheetData>
  <sheetProtection algorithmName="SHA-512" hashValue="fsk7UQir9JMdIS4Ksi/kgb4HKzz8UzpZF6wxLR8LlnZZlzWEFH98YYcHf+xs8JrjAWURsA0I3/7YMQIGBQLH6w==" saltValue="HA7swDPu/xeKewWZZEKeyw==" spinCount="100000" sheet="1" objects="1" scenarios="1"/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rintOptions horizontalCentered="1"/>
  <pageMargins left="0.39370078740157483" right="0.39370078740157483" top="0.59055118110236227" bottom="0.59055118110236227" header="0" footer="0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67"/>
  <sheetViews>
    <sheetView workbookViewId="0">
      <pane ySplit="11" topLeftCell="A12" activePane="bottomLeft" state="frozen"/>
      <selection pane="bottomLeft" sqref="A1:XFD1048576"/>
    </sheetView>
  </sheetViews>
  <sheetFormatPr defaultColWidth="12.140625" defaultRowHeight="15" customHeight="1" x14ac:dyDescent="0.25"/>
  <cols>
    <col min="1" max="1" width="4" customWidth="1"/>
    <col min="2" max="2" width="17.85546875" customWidth="1"/>
    <col min="3" max="3" width="42.85546875" customWidth="1"/>
    <col min="4" max="4" width="35.7109375" customWidth="1"/>
    <col min="5" max="5" width="4.7109375" customWidth="1"/>
    <col min="6" max="6" width="12.85546875" customWidth="1"/>
    <col min="7" max="7" width="12" customWidth="1"/>
    <col min="8" max="10" width="15.7109375" customWidth="1"/>
    <col min="11" max="11" width="14.710937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236" t="s">
        <v>1</v>
      </c>
      <c r="B2" s="237"/>
      <c r="C2" s="242" t="s">
        <v>2</v>
      </c>
      <c r="D2" s="243"/>
      <c r="E2" s="237" t="s">
        <v>3</v>
      </c>
      <c r="F2" s="237"/>
      <c r="G2" s="237" t="s">
        <v>4</v>
      </c>
      <c r="H2" s="233" t="s">
        <v>5</v>
      </c>
      <c r="I2" s="237" t="s">
        <v>6</v>
      </c>
      <c r="J2" s="237"/>
      <c r="K2" s="239"/>
    </row>
    <row r="3" spans="1:76" x14ac:dyDescent="0.25">
      <c r="A3" s="238"/>
      <c r="B3" s="194"/>
      <c r="C3" s="244"/>
      <c r="D3" s="244"/>
      <c r="E3" s="194"/>
      <c r="F3" s="194"/>
      <c r="G3" s="194"/>
      <c r="H3" s="194"/>
      <c r="I3" s="194"/>
      <c r="J3" s="194"/>
      <c r="K3" s="240"/>
    </row>
    <row r="4" spans="1:76" x14ac:dyDescent="0.25">
      <c r="A4" s="231" t="s">
        <v>7</v>
      </c>
      <c r="B4" s="194"/>
      <c r="C4" s="193" t="s">
        <v>293</v>
      </c>
      <c r="D4" s="194"/>
      <c r="E4" s="194" t="s">
        <v>8</v>
      </c>
      <c r="F4" s="194"/>
      <c r="G4" s="194" t="s">
        <v>4</v>
      </c>
      <c r="H4" s="193" t="s">
        <v>9</v>
      </c>
      <c r="I4" s="193" t="s">
        <v>10</v>
      </c>
      <c r="J4" s="194"/>
      <c r="K4" s="240"/>
    </row>
    <row r="5" spans="1:76" x14ac:dyDescent="0.25">
      <c r="A5" s="238"/>
      <c r="B5" s="194"/>
      <c r="C5" s="194"/>
      <c r="D5" s="194"/>
      <c r="E5" s="194"/>
      <c r="F5" s="194"/>
      <c r="G5" s="194"/>
      <c r="H5" s="194"/>
      <c r="I5" s="194"/>
      <c r="J5" s="194"/>
      <c r="K5" s="240"/>
    </row>
    <row r="6" spans="1:76" x14ac:dyDescent="0.25">
      <c r="A6" s="231" t="s">
        <v>11</v>
      </c>
      <c r="B6" s="194"/>
      <c r="C6" s="193" t="s">
        <v>12</v>
      </c>
      <c r="D6" s="194"/>
      <c r="E6" s="194" t="s">
        <v>13</v>
      </c>
      <c r="F6" s="194"/>
      <c r="G6" s="297" t="s">
        <v>4</v>
      </c>
      <c r="H6" s="193" t="s">
        <v>14</v>
      </c>
      <c r="I6" s="297" t="s">
        <v>6</v>
      </c>
      <c r="J6" s="297"/>
      <c r="K6" s="298"/>
    </row>
    <row r="7" spans="1:76" x14ac:dyDescent="0.25">
      <c r="A7" s="238"/>
      <c r="B7" s="194"/>
      <c r="C7" s="194"/>
      <c r="D7" s="194"/>
      <c r="E7" s="194"/>
      <c r="F7" s="194"/>
      <c r="G7" s="297"/>
      <c r="H7" s="194"/>
      <c r="I7" s="297"/>
      <c r="J7" s="297"/>
      <c r="K7" s="298"/>
    </row>
    <row r="8" spans="1:76" x14ac:dyDescent="0.25">
      <c r="A8" s="231" t="s">
        <v>15</v>
      </c>
      <c r="B8" s="194"/>
      <c r="C8" s="193" t="s">
        <v>4</v>
      </c>
      <c r="D8" s="194"/>
      <c r="E8" s="194" t="s">
        <v>16</v>
      </c>
      <c r="F8" s="194"/>
      <c r="G8" s="194" t="s">
        <v>17</v>
      </c>
      <c r="H8" s="193" t="s">
        <v>18</v>
      </c>
      <c r="I8" s="193" t="s">
        <v>19</v>
      </c>
      <c r="J8" s="194"/>
      <c r="K8" s="240"/>
    </row>
    <row r="9" spans="1:76" x14ac:dyDescent="0.25">
      <c r="A9" s="260"/>
      <c r="B9" s="256"/>
      <c r="C9" s="256"/>
      <c r="D9" s="256"/>
      <c r="E9" s="256"/>
      <c r="F9" s="256"/>
      <c r="G9" s="256"/>
      <c r="H9" s="256"/>
      <c r="I9" s="256"/>
      <c r="J9" s="256"/>
      <c r="K9" s="257"/>
    </row>
    <row r="10" spans="1:76" x14ac:dyDescent="0.25">
      <c r="A10" s="5" t="s">
        <v>20</v>
      </c>
      <c r="B10" s="6" t="s">
        <v>21</v>
      </c>
      <c r="C10" s="258" t="s">
        <v>22</v>
      </c>
      <c r="D10" s="259"/>
      <c r="E10" s="6" t="s">
        <v>23</v>
      </c>
      <c r="F10" s="7" t="s">
        <v>24</v>
      </c>
      <c r="G10" s="8" t="s">
        <v>25</v>
      </c>
      <c r="H10" s="251" t="s">
        <v>26</v>
      </c>
      <c r="I10" s="252"/>
      <c r="J10" s="253"/>
      <c r="K10" s="9" t="s">
        <v>27</v>
      </c>
      <c r="BK10" s="10" t="s">
        <v>28</v>
      </c>
      <c r="BL10" s="11" t="s">
        <v>29</v>
      </c>
      <c r="BW10" s="11" t="s">
        <v>30</v>
      </c>
    </row>
    <row r="11" spans="1:76" x14ac:dyDescent="0.25">
      <c r="A11" s="12" t="s">
        <v>4</v>
      </c>
      <c r="B11" s="13" t="s">
        <v>4</v>
      </c>
      <c r="C11" s="249" t="s">
        <v>31</v>
      </c>
      <c r="D11" s="250"/>
      <c r="E11" s="13" t="s">
        <v>4</v>
      </c>
      <c r="F11" s="13" t="s">
        <v>4</v>
      </c>
      <c r="G11" s="14" t="s">
        <v>32</v>
      </c>
      <c r="H11" s="15" t="s">
        <v>33</v>
      </c>
      <c r="I11" s="16" t="s">
        <v>34</v>
      </c>
      <c r="J11" s="17" t="s">
        <v>35</v>
      </c>
      <c r="K11" s="18" t="s">
        <v>36</v>
      </c>
      <c r="Z11" s="10" t="s">
        <v>37</v>
      </c>
      <c r="AA11" s="10" t="s">
        <v>38</v>
      </c>
      <c r="AB11" s="10" t="s">
        <v>39</v>
      </c>
      <c r="AC11" s="10" t="s">
        <v>40</v>
      </c>
      <c r="AD11" s="10" t="s">
        <v>41</v>
      </c>
      <c r="AE11" s="10" t="s">
        <v>42</v>
      </c>
      <c r="AF11" s="10" t="s">
        <v>43</v>
      </c>
      <c r="AG11" s="10" t="s">
        <v>44</v>
      </c>
      <c r="AH11" s="10" t="s">
        <v>45</v>
      </c>
      <c r="BH11" s="10" t="s">
        <v>46</v>
      </c>
      <c r="BI11" s="10" t="s">
        <v>47</v>
      </c>
      <c r="BJ11" s="10" t="s">
        <v>48</v>
      </c>
    </row>
    <row r="12" spans="1:76" x14ac:dyDescent="0.25">
      <c r="A12" s="19" t="s">
        <v>49</v>
      </c>
      <c r="B12" s="20" t="s">
        <v>49</v>
      </c>
      <c r="C12" s="254" t="s">
        <v>50</v>
      </c>
      <c r="D12" s="255"/>
      <c r="E12" s="21" t="s">
        <v>4</v>
      </c>
      <c r="F12" s="21" t="s">
        <v>4</v>
      </c>
      <c r="G12" s="21" t="s">
        <v>4</v>
      </c>
      <c r="H12" s="22">
        <f>H13+H27+H34+H38+H44+H50+H53+H56</f>
        <v>0</v>
      </c>
      <c r="I12" s="22">
        <f>I13+I27+I34+I38+I44+I50+I53+I56</f>
        <v>0</v>
      </c>
      <c r="J12" s="22">
        <f>J13+J27+J34+J38+J44+J50+J53+J56</f>
        <v>0</v>
      </c>
      <c r="K12" s="23" t="s">
        <v>49</v>
      </c>
    </row>
    <row r="13" spans="1:76" x14ac:dyDescent="0.25">
      <c r="A13" s="24" t="s">
        <v>49</v>
      </c>
      <c r="B13" s="25" t="s">
        <v>51</v>
      </c>
      <c r="C13" s="247" t="s">
        <v>52</v>
      </c>
      <c r="D13" s="248"/>
      <c r="E13" s="26" t="s">
        <v>4</v>
      </c>
      <c r="F13" s="26" t="s">
        <v>4</v>
      </c>
      <c r="G13" s="26" t="s">
        <v>4</v>
      </c>
      <c r="H13" s="1">
        <f>SUM(H14:H26)</f>
        <v>0</v>
      </c>
      <c r="I13" s="1">
        <f>SUM(I14:I26)</f>
        <v>0</v>
      </c>
      <c r="J13" s="1">
        <f>SUM(J14:J26)</f>
        <v>0</v>
      </c>
      <c r="K13" s="27" t="s">
        <v>49</v>
      </c>
      <c r="AI13" s="10" t="s">
        <v>53</v>
      </c>
      <c r="AS13" s="1">
        <f>SUM(AJ14:AJ26)</f>
        <v>0</v>
      </c>
      <c r="AT13" s="1">
        <f>SUM(AK14:AK26)</f>
        <v>0</v>
      </c>
      <c r="AU13" s="1">
        <f>SUM(AL14:AL26)</f>
        <v>0</v>
      </c>
    </row>
    <row r="14" spans="1:76" x14ac:dyDescent="0.25">
      <c r="A14" s="2" t="s">
        <v>54</v>
      </c>
      <c r="B14" s="3" t="s">
        <v>55</v>
      </c>
      <c r="C14" s="193" t="s">
        <v>56</v>
      </c>
      <c r="D14" s="194"/>
      <c r="E14" s="3" t="s">
        <v>57</v>
      </c>
      <c r="F14" s="28">
        <v>216</v>
      </c>
      <c r="G14" s="299">
        <v>0</v>
      </c>
      <c r="H14" s="28">
        <f t="shared" ref="H14:H26" si="0">ROUND(F14*AO14,2)</f>
        <v>0</v>
      </c>
      <c r="I14" s="28">
        <f t="shared" ref="I14:I26" si="1">ROUND(F14*AP14,2)</f>
        <v>0</v>
      </c>
      <c r="J14" s="28">
        <f t="shared" ref="J14:J26" si="2">ROUND(F14*G14,2)</f>
        <v>0</v>
      </c>
      <c r="K14" s="29" t="s">
        <v>49</v>
      </c>
      <c r="Z14" s="28">
        <f t="shared" ref="Z14:Z26" si="3">ROUND(IF(AQ14="5",BJ14,0),2)</f>
        <v>0</v>
      </c>
      <c r="AB14" s="28">
        <f t="shared" ref="AB14:AB26" si="4">ROUND(IF(AQ14="1",BH14,0),2)</f>
        <v>0</v>
      </c>
      <c r="AC14" s="28">
        <f t="shared" ref="AC14:AC26" si="5">ROUND(IF(AQ14="1",BI14,0),2)</f>
        <v>0</v>
      </c>
      <c r="AD14" s="28">
        <f t="shared" ref="AD14:AD26" si="6">ROUND(IF(AQ14="7",BH14,0),2)</f>
        <v>0</v>
      </c>
      <c r="AE14" s="28">
        <f t="shared" ref="AE14:AE26" si="7">ROUND(IF(AQ14="7",BI14,0),2)</f>
        <v>0</v>
      </c>
      <c r="AF14" s="28">
        <f t="shared" ref="AF14:AF26" si="8">ROUND(IF(AQ14="2",BH14,0),2)</f>
        <v>0</v>
      </c>
      <c r="AG14" s="28">
        <f t="shared" ref="AG14:AG26" si="9">ROUND(IF(AQ14="2",BI14,0),2)</f>
        <v>0</v>
      </c>
      <c r="AH14" s="28">
        <f t="shared" ref="AH14:AH26" si="10">ROUND(IF(AQ14="0",BJ14,0),2)</f>
        <v>0</v>
      </c>
      <c r="AI14" s="10" t="s">
        <v>53</v>
      </c>
      <c r="AJ14" s="28">
        <f t="shared" ref="AJ14:AJ26" si="11">IF(AN14=0,J14,0)</f>
        <v>0</v>
      </c>
      <c r="AK14" s="28">
        <f t="shared" ref="AK14:AK26" si="12">IF(AN14=12,J14,0)</f>
        <v>0</v>
      </c>
      <c r="AL14" s="28">
        <f t="shared" ref="AL14:AL26" si="13">IF(AN14=21,J14,0)</f>
        <v>0</v>
      </c>
      <c r="AN14" s="28">
        <v>21</v>
      </c>
      <c r="AO14" s="28">
        <f>G14*0.871432245</f>
        <v>0</v>
      </c>
      <c r="AP14" s="28">
        <f>G14*(1-0.871432245)</f>
        <v>0</v>
      </c>
      <c r="AQ14" s="30" t="s">
        <v>54</v>
      </c>
      <c r="AV14" s="28">
        <f t="shared" ref="AV14:AV26" si="14">ROUND(AW14+AX14,2)</f>
        <v>0</v>
      </c>
      <c r="AW14" s="28">
        <f t="shared" ref="AW14:AW26" si="15">ROUND(F14*AO14,2)</f>
        <v>0</v>
      </c>
      <c r="AX14" s="28">
        <f t="shared" ref="AX14:AX26" si="16">ROUND(F14*AP14,2)</f>
        <v>0</v>
      </c>
      <c r="AY14" s="30" t="s">
        <v>58</v>
      </c>
      <c r="AZ14" s="30" t="s">
        <v>59</v>
      </c>
      <c r="BA14" s="10" t="s">
        <v>60</v>
      </c>
      <c r="BC14" s="28">
        <f t="shared" ref="BC14:BC26" si="17">AW14+AX14</f>
        <v>0</v>
      </c>
      <c r="BD14" s="28">
        <f t="shared" ref="BD14:BD26" si="18">G14/(100-BE14)*100</f>
        <v>0</v>
      </c>
      <c r="BE14" s="28">
        <v>0</v>
      </c>
      <c r="BF14" s="28">
        <f>14</f>
        <v>14</v>
      </c>
      <c r="BH14" s="28">
        <f t="shared" ref="BH14:BH26" si="19">F14*AO14</f>
        <v>0</v>
      </c>
      <c r="BI14" s="28">
        <f t="shared" ref="BI14:BI26" si="20">F14*AP14</f>
        <v>0</v>
      </c>
      <c r="BJ14" s="28">
        <f t="shared" ref="BJ14:BJ26" si="21">F14*G14</f>
        <v>0</v>
      </c>
      <c r="BK14" s="30" t="s">
        <v>61</v>
      </c>
      <c r="BL14" s="28">
        <v>360</v>
      </c>
      <c r="BW14" s="28">
        <v>21</v>
      </c>
      <c r="BX14" s="4" t="s">
        <v>56</v>
      </c>
    </row>
    <row r="15" spans="1:76" x14ac:dyDescent="0.25">
      <c r="A15" s="2" t="s">
        <v>62</v>
      </c>
      <c r="B15" s="3" t="s">
        <v>63</v>
      </c>
      <c r="C15" s="193" t="s">
        <v>64</v>
      </c>
      <c r="D15" s="194"/>
      <c r="E15" s="3" t="s">
        <v>57</v>
      </c>
      <c r="F15" s="28">
        <v>1</v>
      </c>
      <c r="G15" s="299">
        <v>0</v>
      </c>
      <c r="H15" s="28">
        <f t="shared" si="0"/>
        <v>0</v>
      </c>
      <c r="I15" s="28">
        <f t="shared" si="1"/>
        <v>0</v>
      </c>
      <c r="J15" s="28">
        <f t="shared" si="2"/>
        <v>0</v>
      </c>
      <c r="K15" s="29" t="s">
        <v>49</v>
      </c>
      <c r="Z15" s="28">
        <f t="shared" si="3"/>
        <v>0</v>
      </c>
      <c r="AB15" s="28">
        <f t="shared" si="4"/>
        <v>0</v>
      </c>
      <c r="AC15" s="28">
        <f t="shared" si="5"/>
        <v>0</v>
      </c>
      <c r="AD15" s="28">
        <f t="shared" si="6"/>
        <v>0</v>
      </c>
      <c r="AE15" s="28">
        <f t="shared" si="7"/>
        <v>0</v>
      </c>
      <c r="AF15" s="28">
        <f t="shared" si="8"/>
        <v>0</v>
      </c>
      <c r="AG15" s="28">
        <f t="shared" si="9"/>
        <v>0</v>
      </c>
      <c r="AH15" s="28">
        <f t="shared" si="10"/>
        <v>0</v>
      </c>
      <c r="AI15" s="10" t="s">
        <v>53</v>
      </c>
      <c r="AJ15" s="28">
        <f t="shared" si="11"/>
        <v>0</v>
      </c>
      <c r="AK15" s="28">
        <f t="shared" si="12"/>
        <v>0</v>
      </c>
      <c r="AL15" s="28">
        <f t="shared" si="13"/>
        <v>0</v>
      </c>
      <c r="AN15" s="28">
        <v>21</v>
      </c>
      <c r="AO15" s="28">
        <f>G15*0.911846045</f>
        <v>0</v>
      </c>
      <c r="AP15" s="28">
        <f>G15*(1-0.911846045)</f>
        <v>0</v>
      </c>
      <c r="AQ15" s="30" t="s">
        <v>54</v>
      </c>
      <c r="AV15" s="28">
        <f t="shared" si="14"/>
        <v>0</v>
      </c>
      <c r="AW15" s="28">
        <f t="shared" si="15"/>
        <v>0</v>
      </c>
      <c r="AX15" s="28">
        <f t="shared" si="16"/>
        <v>0</v>
      </c>
      <c r="AY15" s="30" t="s">
        <v>58</v>
      </c>
      <c r="AZ15" s="30" t="s">
        <v>59</v>
      </c>
      <c r="BA15" s="10" t="s">
        <v>60</v>
      </c>
      <c r="BC15" s="28">
        <f t="shared" si="17"/>
        <v>0</v>
      </c>
      <c r="BD15" s="28">
        <f t="shared" si="18"/>
        <v>0</v>
      </c>
      <c r="BE15" s="28">
        <v>0</v>
      </c>
      <c r="BF15" s="28">
        <f>15</f>
        <v>15</v>
      </c>
      <c r="BH15" s="28">
        <f t="shared" si="19"/>
        <v>0</v>
      </c>
      <c r="BI15" s="28">
        <f t="shared" si="20"/>
        <v>0</v>
      </c>
      <c r="BJ15" s="28">
        <f t="shared" si="21"/>
        <v>0</v>
      </c>
      <c r="BK15" s="30" t="s">
        <v>61</v>
      </c>
      <c r="BL15" s="28">
        <v>360</v>
      </c>
      <c r="BW15" s="28">
        <v>21</v>
      </c>
      <c r="BX15" s="4" t="s">
        <v>64</v>
      </c>
    </row>
    <row r="16" spans="1:76" x14ac:dyDescent="0.25">
      <c r="A16" s="2" t="s">
        <v>65</v>
      </c>
      <c r="B16" s="3" t="s">
        <v>66</v>
      </c>
      <c r="C16" s="193" t="s">
        <v>67</v>
      </c>
      <c r="D16" s="194"/>
      <c r="E16" s="3" t="s">
        <v>57</v>
      </c>
      <c r="F16" s="28">
        <v>2</v>
      </c>
      <c r="G16" s="299">
        <v>0</v>
      </c>
      <c r="H16" s="28">
        <f t="shared" si="0"/>
        <v>0</v>
      </c>
      <c r="I16" s="28">
        <f t="shared" si="1"/>
        <v>0</v>
      </c>
      <c r="J16" s="28">
        <f t="shared" si="2"/>
        <v>0</v>
      </c>
      <c r="K16" s="29" t="s">
        <v>49</v>
      </c>
      <c r="Z16" s="28">
        <f t="shared" si="3"/>
        <v>0</v>
      </c>
      <c r="AB16" s="28">
        <f t="shared" si="4"/>
        <v>0</v>
      </c>
      <c r="AC16" s="28">
        <f t="shared" si="5"/>
        <v>0</v>
      </c>
      <c r="AD16" s="28">
        <f t="shared" si="6"/>
        <v>0</v>
      </c>
      <c r="AE16" s="28">
        <f t="shared" si="7"/>
        <v>0</v>
      </c>
      <c r="AF16" s="28">
        <f t="shared" si="8"/>
        <v>0</v>
      </c>
      <c r="AG16" s="28">
        <f t="shared" si="9"/>
        <v>0</v>
      </c>
      <c r="AH16" s="28">
        <f t="shared" si="10"/>
        <v>0</v>
      </c>
      <c r="AI16" s="10" t="s">
        <v>53</v>
      </c>
      <c r="AJ16" s="28">
        <f t="shared" si="11"/>
        <v>0</v>
      </c>
      <c r="AK16" s="28">
        <f t="shared" si="12"/>
        <v>0</v>
      </c>
      <c r="AL16" s="28">
        <f t="shared" si="13"/>
        <v>0</v>
      </c>
      <c r="AN16" s="28">
        <v>21</v>
      </c>
      <c r="AO16" s="28">
        <f>G16*0.906291905</f>
        <v>0</v>
      </c>
      <c r="AP16" s="28">
        <f>G16*(1-0.906291905)</f>
        <v>0</v>
      </c>
      <c r="AQ16" s="30" t="s">
        <v>54</v>
      </c>
      <c r="AV16" s="28">
        <f t="shared" si="14"/>
        <v>0</v>
      </c>
      <c r="AW16" s="28">
        <f t="shared" si="15"/>
        <v>0</v>
      </c>
      <c r="AX16" s="28">
        <f t="shared" si="16"/>
        <v>0</v>
      </c>
      <c r="AY16" s="30" t="s">
        <v>58</v>
      </c>
      <c r="AZ16" s="30" t="s">
        <v>59</v>
      </c>
      <c r="BA16" s="10" t="s">
        <v>60</v>
      </c>
      <c r="BC16" s="28">
        <f t="shared" si="17"/>
        <v>0</v>
      </c>
      <c r="BD16" s="28">
        <f t="shared" si="18"/>
        <v>0</v>
      </c>
      <c r="BE16" s="28">
        <v>0</v>
      </c>
      <c r="BF16" s="28">
        <f>16</f>
        <v>16</v>
      </c>
      <c r="BH16" s="28">
        <f t="shared" si="19"/>
        <v>0</v>
      </c>
      <c r="BI16" s="28">
        <f t="shared" si="20"/>
        <v>0</v>
      </c>
      <c r="BJ16" s="28">
        <f t="shared" si="21"/>
        <v>0</v>
      </c>
      <c r="BK16" s="30" t="s">
        <v>61</v>
      </c>
      <c r="BL16" s="28">
        <v>360</v>
      </c>
      <c r="BW16" s="28">
        <v>21</v>
      </c>
      <c r="BX16" s="4" t="s">
        <v>67</v>
      </c>
    </row>
    <row r="17" spans="1:76" ht="25.5" x14ac:dyDescent="0.25">
      <c r="A17" s="2" t="s">
        <v>68</v>
      </c>
      <c r="B17" s="3" t="s">
        <v>69</v>
      </c>
      <c r="C17" s="193" t="s">
        <v>70</v>
      </c>
      <c r="D17" s="194"/>
      <c r="E17" s="3" t="s">
        <v>71</v>
      </c>
      <c r="F17" s="28">
        <v>1</v>
      </c>
      <c r="G17" s="299">
        <v>0</v>
      </c>
      <c r="H17" s="28">
        <f t="shared" si="0"/>
        <v>0</v>
      </c>
      <c r="I17" s="28">
        <f t="shared" si="1"/>
        <v>0</v>
      </c>
      <c r="J17" s="28">
        <f t="shared" si="2"/>
        <v>0</v>
      </c>
      <c r="K17" s="29" t="s">
        <v>49</v>
      </c>
      <c r="Z17" s="28">
        <f t="shared" si="3"/>
        <v>0</v>
      </c>
      <c r="AB17" s="28">
        <f t="shared" si="4"/>
        <v>0</v>
      </c>
      <c r="AC17" s="28">
        <f t="shared" si="5"/>
        <v>0</v>
      </c>
      <c r="AD17" s="28">
        <f t="shared" si="6"/>
        <v>0</v>
      </c>
      <c r="AE17" s="28">
        <f t="shared" si="7"/>
        <v>0</v>
      </c>
      <c r="AF17" s="28">
        <f t="shared" si="8"/>
        <v>0</v>
      </c>
      <c r="AG17" s="28">
        <f t="shared" si="9"/>
        <v>0</v>
      </c>
      <c r="AH17" s="28">
        <f t="shared" si="10"/>
        <v>0</v>
      </c>
      <c r="AI17" s="10" t="s">
        <v>53</v>
      </c>
      <c r="AJ17" s="28">
        <f t="shared" si="11"/>
        <v>0</v>
      </c>
      <c r="AK17" s="28">
        <f t="shared" si="12"/>
        <v>0</v>
      </c>
      <c r="AL17" s="28">
        <f t="shared" si="13"/>
        <v>0</v>
      </c>
      <c r="AN17" s="28">
        <v>21</v>
      </c>
      <c r="AO17" s="28">
        <f>G17*0.623427381</f>
        <v>0</v>
      </c>
      <c r="AP17" s="28">
        <f>G17*(1-0.623427381)</f>
        <v>0</v>
      </c>
      <c r="AQ17" s="30" t="s">
        <v>54</v>
      </c>
      <c r="AV17" s="28">
        <f t="shared" si="14"/>
        <v>0</v>
      </c>
      <c r="AW17" s="28">
        <f t="shared" si="15"/>
        <v>0</v>
      </c>
      <c r="AX17" s="28">
        <f t="shared" si="16"/>
        <v>0</v>
      </c>
      <c r="AY17" s="30" t="s">
        <v>58</v>
      </c>
      <c r="AZ17" s="30" t="s">
        <v>59</v>
      </c>
      <c r="BA17" s="10" t="s">
        <v>60</v>
      </c>
      <c r="BC17" s="28">
        <f t="shared" si="17"/>
        <v>0</v>
      </c>
      <c r="BD17" s="28">
        <f t="shared" si="18"/>
        <v>0</v>
      </c>
      <c r="BE17" s="28">
        <v>0</v>
      </c>
      <c r="BF17" s="28">
        <f>17</f>
        <v>17</v>
      </c>
      <c r="BH17" s="28">
        <f t="shared" si="19"/>
        <v>0</v>
      </c>
      <c r="BI17" s="28">
        <f t="shared" si="20"/>
        <v>0</v>
      </c>
      <c r="BJ17" s="28">
        <f t="shared" si="21"/>
        <v>0</v>
      </c>
      <c r="BK17" s="30" t="s">
        <v>61</v>
      </c>
      <c r="BL17" s="28">
        <v>360</v>
      </c>
      <c r="BW17" s="28">
        <v>21</v>
      </c>
      <c r="BX17" s="4" t="s">
        <v>70</v>
      </c>
    </row>
    <row r="18" spans="1:76" ht="25.5" x14ac:dyDescent="0.25">
      <c r="A18" s="2" t="s">
        <v>72</v>
      </c>
      <c r="B18" s="3" t="s">
        <v>73</v>
      </c>
      <c r="C18" s="193" t="s">
        <v>74</v>
      </c>
      <c r="D18" s="194"/>
      <c r="E18" s="3" t="s">
        <v>71</v>
      </c>
      <c r="F18" s="28">
        <v>1</v>
      </c>
      <c r="G18" s="299">
        <v>0</v>
      </c>
      <c r="H18" s="28">
        <f t="shared" si="0"/>
        <v>0</v>
      </c>
      <c r="I18" s="28">
        <f t="shared" si="1"/>
        <v>0</v>
      </c>
      <c r="J18" s="28">
        <f t="shared" si="2"/>
        <v>0</v>
      </c>
      <c r="K18" s="29" t="s">
        <v>49</v>
      </c>
      <c r="Z18" s="28">
        <f t="shared" si="3"/>
        <v>0</v>
      </c>
      <c r="AB18" s="28">
        <f t="shared" si="4"/>
        <v>0</v>
      </c>
      <c r="AC18" s="28">
        <f t="shared" si="5"/>
        <v>0</v>
      </c>
      <c r="AD18" s="28">
        <f t="shared" si="6"/>
        <v>0</v>
      </c>
      <c r="AE18" s="28">
        <f t="shared" si="7"/>
        <v>0</v>
      </c>
      <c r="AF18" s="28">
        <f t="shared" si="8"/>
        <v>0</v>
      </c>
      <c r="AG18" s="28">
        <f t="shared" si="9"/>
        <v>0</v>
      </c>
      <c r="AH18" s="28">
        <f t="shared" si="10"/>
        <v>0</v>
      </c>
      <c r="AI18" s="10" t="s">
        <v>53</v>
      </c>
      <c r="AJ18" s="28">
        <f t="shared" si="11"/>
        <v>0</v>
      </c>
      <c r="AK18" s="28">
        <f t="shared" si="12"/>
        <v>0</v>
      </c>
      <c r="AL18" s="28">
        <f t="shared" si="13"/>
        <v>0</v>
      </c>
      <c r="AN18" s="28">
        <v>21</v>
      </c>
      <c r="AO18" s="28">
        <f>G18*0.711258047</f>
        <v>0</v>
      </c>
      <c r="AP18" s="28">
        <f>G18*(1-0.711258047)</f>
        <v>0</v>
      </c>
      <c r="AQ18" s="30" t="s">
        <v>54</v>
      </c>
      <c r="AV18" s="28">
        <f t="shared" si="14"/>
        <v>0</v>
      </c>
      <c r="AW18" s="28">
        <f t="shared" si="15"/>
        <v>0</v>
      </c>
      <c r="AX18" s="28">
        <f t="shared" si="16"/>
        <v>0</v>
      </c>
      <c r="AY18" s="30" t="s">
        <v>58</v>
      </c>
      <c r="AZ18" s="30" t="s">
        <v>59</v>
      </c>
      <c r="BA18" s="10" t="s">
        <v>60</v>
      </c>
      <c r="BC18" s="28">
        <f t="shared" si="17"/>
        <v>0</v>
      </c>
      <c r="BD18" s="28">
        <f t="shared" si="18"/>
        <v>0</v>
      </c>
      <c r="BE18" s="28">
        <v>0</v>
      </c>
      <c r="BF18" s="28">
        <f>18</f>
        <v>18</v>
      </c>
      <c r="BH18" s="28">
        <f t="shared" si="19"/>
        <v>0</v>
      </c>
      <c r="BI18" s="28">
        <f t="shared" si="20"/>
        <v>0</v>
      </c>
      <c r="BJ18" s="28">
        <f t="shared" si="21"/>
        <v>0</v>
      </c>
      <c r="BK18" s="30" t="s">
        <v>61</v>
      </c>
      <c r="BL18" s="28">
        <v>360</v>
      </c>
      <c r="BW18" s="28">
        <v>21</v>
      </c>
      <c r="BX18" s="4" t="s">
        <v>74</v>
      </c>
    </row>
    <row r="19" spans="1:76" x14ac:dyDescent="0.25">
      <c r="A19" s="2" t="s">
        <v>75</v>
      </c>
      <c r="B19" s="3" t="s">
        <v>76</v>
      </c>
      <c r="C19" s="193" t="s">
        <v>77</v>
      </c>
      <c r="D19" s="194"/>
      <c r="E19" s="3" t="s">
        <v>71</v>
      </c>
      <c r="F19" s="28">
        <v>1</v>
      </c>
      <c r="G19" s="299">
        <v>0</v>
      </c>
      <c r="H19" s="28">
        <f t="shared" si="0"/>
        <v>0</v>
      </c>
      <c r="I19" s="28">
        <f t="shared" si="1"/>
        <v>0</v>
      </c>
      <c r="J19" s="28">
        <f t="shared" si="2"/>
        <v>0</v>
      </c>
      <c r="K19" s="29" t="s">
        <v>49</v>
      </c>
      <c r="Z19" s="28">
        <f t="shared" si="3"/>
        <v>0</v>
      </c>
      <c r="AB19" s="28">
        <f t="shared" si="4"/>
        <v>0</v>
      </c>
      <c r="AC19" s="28">
        <f t="shared" si="5"/>
        <v>0</v>
      </c>
      <c r="AD19" s="28">
        <f t="shared" si="6"/>
        <v>0</v>
      </c>
      <c r="AE19" s="28">
        <f t="shared" si="7"/>
        <v>0</v>
      </c>
      <c r="AF19" s="28">
        <f t="shared" si="8"/>
        <v>0</v>
      </c>
      <c r="AG19" s="28">
        <f t="shared" si="9"/>
        <v>0</v>
      </c>
      <c r="AH19" s="28">
        <f t="shared" si="10"/>
        <v>0</v>
      </c>
      <c r="AI19" s="10" t="s">
        <v>53</v>
      </c>
      <c r="AJ19" s="28">
        <f t="shared" si="11"/>
        <v>0</v>
      </c>
      <c r="AK19" s="28">
        <f t="shared" si="12"/>
        <v>0</v>
      </c>
      <c r="AL19" s="28">
        <f t="shared" si="13"/>
        <v>0</v>
      </c>
      <c r="AN19" s="28">
        <v>21</v>
      </c>
      <c r="AO19" s="28">
        <f>G19*0.457142857</f>
        <v>0</v>
      </c>
      <c r="AP19" s="28">
        <f>G19*(1-0.457142857)</f>
        <v>0</v>
      </c>
      <c r="AQ19" s="30" t="s">
        <v>54</v>
      </c>
      <c r="AV19" s="28">
        <f t="shared" si="14"/>
        <v>0</v>
      </c>
      <c r="AW19" s="28">
        <f t="shared" si="15"/>
        <v>0</v>
      </c>
      <c r="AX19" s="28">
        <f t="shared" si="16"/>
        <v>0</v>
      </c>
      <c r="AY19" s="30" t="s">
        <v>58</v>
      </c>
      <c r="AZ19" s="30" t="s">
        <v>59</v>
      </c>
      <c r="BA19" s="10" t="s">
        <v>60</v>
      </c>
      <c r="BC19" s="28">
        <f t="shared" si="17"/>
        <v>0</v>
      </c>
      <c r="BD19" s="28">
        <f t="shared" si="18"/>
        <v>0</v>
      </c>
      <c r="BE19" s="28">
        <v>0</v>
      </c>
      <c r="BF19" s="28">
        <f>19</f>
        <v>19</v>
      </c>
      <c r="BH19" s="28">
        <f t="shared" si="19"/>
        <v>0</v>
      </c>
      <c r="BI19" s="28">
        <f t="shared" si="20"/>
        <v>0</v>
      </c>
      <c r="BJ19" s="28">
        <f t="shared" si="21"/>
        <v>0</v>
      </c>
      <c r="BK19" s="30" t="s">
        <v>61</v>
      </c>
      <c r="BL19" s="28">
        <v>360</v>
      </c>
      <c r="BW19" s="28">
        <v>21</v>
      </c>
      <c r="BX19" s="4" t="s">
        <v>77</v>
      </c>
    </row>
    <row r="20" spans="1:76" x14ac:dyDescent="0.25">
      <c r="A20" s="2" t="s">
        <v>78</v>
      </c>
      <c r="B20" s="3" t="s">
        <v>79</v>
      </c>
      <c r="C20" s="193" t="s">
        <v>80</v>
      </c>
      <c r="D20" s="194"/>
      <c r="E20" s="3" t="s">
        <v>71</v>
      </c>
      <c r="F20" s="28">
        <v>1</v>
      </c>
      <c r="G20" s="299">
        <v>0</v>
      </c>
      <c r="H20" s="28">
        <f t="shared" si="0"/>
        <v>0</v>
      </c>
      <c r="I20" s="28">
        <f t="shared" si="1"/>
        <v>0</v>
      </c>
      <c r="J20" s="28">
        <f t="shared" si="2"/>
        <v>0</v>
      </c>
      <c r="K20" s="29" t="s">
        <v>49</v>
      </c>
      <c r="Z20" s="28">
        <f t="shared" si="3"/>
        <v>0</v>
      </c>
      <c r="AB20" s="28">
        <f t="shared" si="4"/>
        <v>0</v>
      </c>
      <c r="AC20" s="28">
        <f t="shared" si="5"/>
        <v>0</v>
      </c>
      <c r="AD20" s="28">
        <f t="shared" si="6"/>
        <v>0</v>
      </c>
      <c r="AE20" s="28">
        <f t="shared" si="7"/>
        <v>0</v>
      </c>
      <c r="AF20" s="28">
        <f t="shared" si="8"/>
        <v>0</v>
      </c>
      <c r="AG20" s="28">
        <f t="shared" si="9"/>
        <v>0</v>
      </c>
      <c r="AH20" s="28">
        <f t="shared" si="10"/>
        <v>0</v>
      </c>
      <c r="AI20" s="10" t="s">
        <v>53</v>
      </c>
      <c r="AJ20" s="28">
        <f t="shared" si="11"/>
        <v>0</v>
      </c>
      <c r="AK20" s="28">
        <f t="shared" si="12"/>
        <v>0</v>
      </c>
      <c r="AL20" s="28">
        <f t="shared" si="13"/>
        <v>0</v>
      </c>
      <c r="AN20" s="28">
        <v>21</v>
      </c>
      <c r="AO20" s="28">
        <f>G20*0.501298108</f>
        <v>0</v>
      </c>
      <c r="AP20" s="28">
        <f>G20*(1-0.501298108)</f>
        <v>0</v>
      </c>
      <c r="AQ20" s="30" t="s">
        <v>54</v>
      </c>
      <c r="AV20" s="28">
        <f t="shared" si="14"/>
        <v>0</v>
      </c>
      <c r="AW20" s="28">
        <f t="shared" si="15"/>
        <v>0</v>
      </c>
      <c r="AX20" s="28">
        <f t="shared" si="16"/>
        <v>0</v>
      </c>
      <c r="AY20" s="30" t="s">
        <v>58</v>
      </c>
      <c r="AZ20" s="30" t="s">
        <v>59</v>
      </c>
      <c r="BA20" s="10" t="s">
        <v>60</v>
      </c>
      <c r="BC20" s="28">
        <f t="shared" si="17"/>
        <v>0</v>
      </c>
      <c r="BD20" s="28">
        <f t="shared" si="18"/>
        <v>0</v>
      </c>
      <c r="BE20" s="28">
        <v>0</v>
      </c>
      <c r="BF20" s="28">
        <f>20</f>
        <v>20</v>
      </c>
      <c r="BH20" s="28">
        <f t="shared" si="19"/>
        <v>0</v>
      </c>
      <c r="BI20" s="28">
        <f t="shared" si="20"/>
        <v>0</v>
      </c>
      <c r="BJ20" s="28">
        <f t="shared" si="21"/>
        <v>0</v>
      </c>
      <c r="BK20" s="30" t="s">
        <v>61</v>
      </c>
      <c r="BL20" s="28">
        <v>360</v>
      </c>
      <c r="BW20" s="28">
        <v>21</v>
      </c>
      <c r="BX20" s="4" t="s">
        <v>80</v>
      </c>
    </row>
    <row r="21" spans="1:76" x14ac:dyDescent="0.25">
      <c r="A21" s="2" t="s">
        <v>81</v>
      </c>
      <c r="B21" s="3" t="s">
        <v>82</v>
      </c>
      <c r="C21" s="193" t="s">
        <v>83</v>
      </c>
      <c r="D21" s="194"/>
      <c r="E21" s="3" t="s">
        <v>57</v>
      </c>
      <c r="F21" s="28">
        <v>1</v>
      </c>
      <c r="G21" s="299">
        <v>0</v>
      </c>
      <c r="H21" s="28">
        <f t="shared" si="0"/>
        <v>0</v>
      </c>
      <c r="I21" s="28">
        <f t="shared" si="1"/>
        <v>0</v>
      </c>
      <c r="J21" s="28">
        <f t="shared" si="2"/>
        <v>0</v>
      </c>
      <c r="K21" s="29" t="s">
        <v>49</v>
      </c>
      <c r="Z21" s="28">
        <f t="shared" si="3"/>
        <v>0</v>
      </c>
      <c r="AB21" s="28">
        <f t="shared" si="4"/>
        <v>0</v>
      </c>
      <c r="AC21" s="28">
        <f t="shared" si="5"/>
        <v>0</v>
      </c>
      <c r="AD21" s="28">
        <f t="shared" si="6"/>
        <v>0</v>
      </c>
      <c r="AE21" s="28">
        <f t="shared" si="7"/>
        <v>0</v>
      </c>
      <c r="AF21" s="28">
        <f t="shared" si="8"/>
        <v>0</v>
      </c>
      <c r="AG21" s="28">
        <f t="shared" si="9"/>
        <v>0</v>
      </c>
      <c r="AH21" s="28">
        <f t="shared" si="10"/>
        <v>0</v>
      </c>
      <c r="AI21" s="10" t="s">
        <v>53</v>
      </c>
      <c r="AJ21" s="28">
        <f t="shared" si="11"/>
        <v>0</v>
      </c>
      <c r="AK21" s="28">
        <f t="shared" si="12"/>
        <v>0</v>
      </c>
      <c r="AL21" s="28">
        <f t="shared" si="13"/>
        <v>0</v>
      </c>
      <c r="AN21" s="28">
        <v>21</v>
      </c>
      <c r="AO21" s="28">
        <f>G21*0.602780536</f>
        <v>0</v>
      </c>
      <c r="AP21" s="28">
        <f>G21*(1-0.602780536)</f>
        <v>0</v>
      </c>
      <c r="AQ21" s="30" t="s">
        <v>54</v>
      </c>
      <c r="AV21" s="28">
        <f t="shared" si="14"/>
        <v>0</v>
      </c>
      <c r="AW21" s="28">
        <f t="shared" si="15"/>
        <v>0</v>
      </c>
      <c r="AX21" s="28">
        <f t="shared" si="16"/>
        <v>0</v>
      </c>
      <c r="AY21" s="30" t="s">
        <v>58</v>
      </c>
      <c r="AZ21" s="30" t="s">
        <v>59</v>
      </c>
      <c r="BA21" s="10" t="s">
        <v>60</v>
      </c>
      <c r="BC21" s="28">
        <f t="shared" si="17"/>
        <v>0</v>
      </c>
      <c r="BD21" s="28">
        <f t="shared" si="18"/>
        <v>0</v>
      </c>
      <c r="BE21" s="28">
        <v>0</v>
      </c>
      <c r="BF21" s="28">
        <f>21</f>
        <v>21</v>
      </c>
      <c r="BH21" s="28">
        <f t="shared" si="19"/>
        <v>0</v>
      </c>
      <c r="BI21" s="28">
        <f t="shared" si="20"/>
        <v>0</v>
      </c>
      <c r="BJ21" s="28">
        <f t="shared" si="21"/>
        <v>0</v>
      </c>
      <c r="BK21" s="30" t="s">
        <v>61</v>
      </c>
      <c r="BL21" s="28">
        <v>360</v>
      </c>
      <c r="BW21" s="28">
        <v>21</v>
      </c>
      <c r="BX21" s="4" t="s">
        <v>83</v>
      </c>
    </row>
    <row r="22" spans="1:76" ht="25.5" x14ac:dyDescent="0.25">
      <c r="A22" s="2" t="s">
        <v>84</v>
      </c>
      <c r="B22" s="3" t="s">
        <v>85</v>
      </c>
      <c r="C22" s="193" t="s">
        <v>86</v>
      </c>
      <c r="D22" s="194"/>
      <c r="E22" s="3" t="s">
        <v>57</v>
      </c>
      <c r="F22" s="28">
        <v>1</v>
      </c>
      <c r="G22" s="299">
        <v>0</v>
      </c>
      <c r="H22" s="28">
        <f t="shared" si="0"/>
        <v>0</v>
      </c>
      <c r="I22" s="28">
        <f t="shared" si="1"/>
        <v>0</v>
      </c>
      <c r="J22" s="28">
        <f t="shared" si="2"/>
        <v>0</v>
      </c>
      <c r="K22" s="29" t="s">
        <v>49</v>
      </c>
      <c r="Z22" s="28">
        <f t="shared" si="3"/>
        <v>0</v>
      </c>
      <c r="AB22" s="28">
        <f t="shared" si="4"/>
        <v>0</v>
      </c>
      <c r="AC22" s="28">
        <f t="shared" si="5"/>
        <v>0</v>
      </c>
      <c r="AD22" s="28">
        <f t="shared" si="6"/>
        <v>0</v>
      </c>
      <c r="AE22" s="28">
        <f t="shared" si="7"/>
        <v>0</v>
      </c>
      <c r="AF22" s="28">
        <f t="shared" si="8"/>
        <v>0</v>
      </c>
      <c r="AG22" s="28">
        <f t="shared" si="9"/>
        <v>0</v>
      </c>
      <c r="AH22" s="28">
        <f t="shared" si="10"/>
        <v>0</v>
      </c>
      <c r="AI22" s="10" t="s">
        <v>53</v>
      </c>
      <c r="AJ22" s="28">
        <f t="shared" si="11"/>
        <v>0</v>
      </c>
      <c r="AK22" s="28">
        <f t="shared" si="12"/>
        <v>0</v>
      </c>
      <c r="AL22" s="28">
        <f t="shared" si="13"/>
        <v>0</v>
      </c>
      <c r="AN22" s="28">
        <v>21</v>
      </c>
      <c r="AO22" s="28">
        <f>G22*0.932606961</f>
        <v>0</v>
      </c>
      <c r="AP22" s="28">
        <f>G22*(1-0.932606961)</f>
        <v>0</v>
      </c>
      <c r="AQ22" s="30" t="s">
        <v>54</v>
      </c>
      <c r="AV22" s="28">
        <f t="shared" si="14"/>
        <v>0</v>
      </c>
      <c r="AW22" s="28">
        <f t="shared" si="15"/>
        <v>0</v>
      </c>
      <c r="AX22" s="28">
        <f t="shared" si="16"/>
        <v>0</v>
      </c>
      <c r="AY22" s="30" t="s">
        <v>58</v>
      </c>
      <c r="AZ22" s="30" t="s">
        <v>59</v>
      </c>
      <c r="BA22" s="10" t="s">
        <v>60</v>
      </c>
      <c r="BC22" s="28">
        <f t="shared" si="17"/>
        <v>0</v>
      </c>
      <c r="BD22" s="28">
        <f t="shared" si="18"/>
        <v>0</v>
      </c>
      <c r="BE22" s="28">
        <v>0</v>
      </c>
      <c r="BF22" s="28">
        <f>22</f>
        <v>22</v>
      </c>
      <c r="BH22" s="28">
        <f t="shared" si="19"/>
        <v>0</v>
      </c>
      <c r="BI22" s="28">
        <f t="shared" si="20"/>
        <v>0</v>
      </c>
      <c r="BJ22" s="28">
        <f t="shared" si="21"/>
        <v>0</v>
      </c>
      <c r="BK22" s="30" t="s">
        <v>61</v>
      </c>
      <c r="BL22" s="28">
        <v>360</v>
      </c>
      <c r="BW22" s="28">
        <v>21</v>
      </c>
      <c r="BX22" s="4" t="s">
        <v>86</v>
      </c>
    </row>
    <row r="23" spans="1:76" x14ac:dyDescent="0.25">
      <c r="A23" s="2" t="s">
        <v>87</v>
      </c>
      <c r="B23" s="3" t="s">
        <v>88</v>
      </c>
      <c r="C23" s="193" t="s">
        <v>89</v>
      </c>
      <c r="D23" s="194"/>
      <c r="E23" s="3" t="s">
        <v>90</v>
      </c>
      <c r="F23" s="28">
        <v>124</v>
      </c>
      <c r="G23" s="299">
        <v>0</v>
      </c>
      <c r="H23" s="28">
        <f t="shared" si="0"/>
        <v>0</v>
      </c>
      <c r="I23" s="28">
        <f t="shared" si="1"/>
        <v>0</v>
      </c>
      <c r="J23" s="28">
        <f t="shared" si="2"/>
        <v>0</v>
      </c>
      <c r="K23" s="29" t="s">
        <v>49</v>
      </c>
      <c r="Z23" s="28">
        <f t="shared" si="3"/>
        <v>0</v>
      </c>
      <c r="AB23" s="28">
        <f t="shared" si="4"/>
        <v>0</v>
      </c>
      <c r="AC23" s="28">
        <f t="shared" si="5"/>
        <v>0</v>
      </c>
      <c r="AD23" s="28">
        <f t="shared" si="6"/>
        <v>0</v>
      </c>
      <c r="AE23" s="28">
        <f t="shared" si="7"/>
        <v>0</v>
      </c>
      <c r="AF23" s="28">
        <f t="shared" si="8"/>
        <v>0</v>
      </c>
      <c r="AG23" s="28">
        <f t="shared" si="9"/>
        <v>0</v>
      </c>
      <c r="AH23" s="28">
        <f t="shared" si="10"/>
        <v>0</v>
      </c>
      <c r="AI23" s="10" t="s">
        <v>53</v>
      </c>
      <c r="AJ23" s="28">
        <f t="shared" si="11"/>
        <v>0</v>
      </c>
      <c r="AK23" s="28">
        <f t="shared" si="12"/>
        <v>0</v>
      </c>
      <c r="AL23" s="28">
        <f t="shared" si="13"/>
        <v>0</v>
      </c>
      <c r="AN23" s="28">
        <v>21</v>
      </c>
      <c r="AO23" s="28">
        <f>G23*0</f>
        <v>0</v>
      </c>
      <c r="AP23" s="28">
        <f>G23*(1-0)</f>
        <v>0</v>
      </c>
      <c r="AQ23" s="30" t="s">
        <v>54</v>
      </c>
      <c r="AV23" s="28">
        <f t="shared" si="14"/>
        <v>0</v>
      </c>
      <c r="AW23" s="28">
        <f t="shared" si="15"/>
        <v>0</v>
      </c>
      <c r="AX23" s="28">
        <f t="shared" si="16"/>
        <v>0</v>
      </c>
      <c r="AY23" s="30" t="s">
        <v>58</v>
      </c>
      <c r="AZ23" s="30" t="s">
        <v>59</v>
      </c>
      <c r="BA23" s="10" t="s">
        <v>60</v>
      </c>
      <c r="BC23" s="28">
        <f t="shared" si="17"/>
        <v>0</v>
      </c>
      <c r="BD23" s="28">
        <f t="shared" si="18"/>
        <v>0</v>
      </c>
      <c r="BE23" s="28">
        <v>0</v>
      </c>
      <c r="BF23" s="28">
        <f>23</f>
        <v>23</v>
      </c>
      <c r="BH23" s="28">
        <f t="shared" si="19"/>
        <v>0</v>
      </c>
      <c r="BI23" s="28">
        <f t="shared" si="20"/>
        <v>0</v>
      </c>
      <c r="BJ23" s="28">
        <f t="shared" si="21"/>
        <v>0</v>
      </c>
      <c r="BK23" s="30" t="s">
        <v>61</v>
      </c>
      <c r="BL23" s="28">
        <v>360</v>
      </c>
      <c r="BW23" s="28">
        <v>21</v>
      </c>
      <c r="BX23" s="4" t="s">
        <v>89</v>
      </c>
    </row>
    <row r="24" spans="1:76" x14ac:dyDescent="0.25">
      <c r="A24" s="2" t="s">
        <v>91</v>
      </c>
      <c r="B24" s="3" t="s">
        <v>92</v>
      </c>
      <c r="C24" s="193" t="s">
        <v>93</v>
      </c>
      <c r="D24" s="194"/>
      <c r="E24" s="3" t="s">
        <v>71</v>
      </c>
      <c r="F24" s="28">
        <v>1</v>
      </c>
      <c r="G24" s="299">
        <v>0</v>
      </c>
      <c r="H24" s="28">
        <f t="shared" si="0"/>
        <v>0</v>
      </c>
      <c r="I24" s="28">
        <f t="shared" si="1"/>
        <v>0</v>
      </c>
      <c r="J24" s="28">
        <f t="shared" si="2"/>
        <v>0</v>
      </c>
      <c r="K24" s="29" t="s">
        <v>49</v>
      </c>
      <c r="Z24" s="28">
        <f t="shared" si="3"/>
        <v>0</v>
      </c>
      <c r="AB24" s="28">
        <f t="shared" si="4"/>
        <v>0</v>
      </c>
      <c r="AC24" s="28">
        <f t="shared" si="5"/>
        <v>0</v>
      </c>
      <c r="AD24" s="28">
        <f t="shared" si="6"/>
        <v>0</v>
      </c>
      <c r="AE24" s="28">
        <f t="shared" si="7"/>
        <v>0</v>
      </c>
      <c r="AF24" s="28">
        <f t="shared" si="8"/>
        <v>0</v>
      </c>
      <c r="AG24" s="28">
        <f t="shared" si="9"/>
        <v>0</v>
      </c>
      <c r="AH24" s="28">
        <f t="shared" si="10"/>
        <v>0</v>
      </c>
      <c r="AI24" s="10" t="s">
        <v>53</v>
      </c>
      <c r="AJ24" s="28">
        <f t="shared" si="11"/>
        <v>0</v>
      </c>
      <c r="AK24" s="28">
        <f t="shared" si="12"/>
        <v>0</v>
      </c>
      <c r="AL24" s="28">
        <f t="shared" si="13"/>
        <v>0</v>
      </c>
      <c r="AN24" s="28">
        <v>21</v>
      </c>
      <c r="AO24" s="28">
        <f>G24*0.351193403</f>
        <v>0</v>
      </c>
      <c r="AP24" s="28">
        <f>G24*(1-0.351193403)</f>
        <v>0</v>
      </c>
      <c r="AQ24" s="30" t="s">
        <v>54</v>
      </c>
      <c r="AV24" s="28">
        <f t="shared" si="14"/>
        <v>0</v>
      </c>
      <c r="AW24" s="28">
        <f t="shared" si="15"/>
        <v>0</v>
      </c>
      <c r="AX24" s="28">
        <f t="shared" si="16"/>
        <v>0</v>
      </c>
      <c r="AY24" s="30" t="s">
        <v>58</v>
      </c>
      <c r="AZ24" s="30" t="s">
        <v>59</v>
      </c>
      <c r="BA24" s="10" t="s">
        <v>60</v>
      </c>
      <c r="BC24" s="28">
        <f t="shared" si="17"/>
        <v>0</v>
      </c>
      <c r="BD24" s="28">
        <f t="shared" si="18"/>
        <v>0</v>
      </c>
      <c r="BE24" s="28">
        <v>0</v>
      </c>
      <c r="BF24" s="28">
        <f>24</f>
        <v>24</v>
      </c>
      <c r="BH24" s="28">
        <f t="shared" si="19"/>
        <v>0</v>
      </c>
      <c r="BI24" s="28">
        <f t="shared" si="20"/>
        <v>0</v>
      </c>
      <c r="BJ24" s="28">
        <f t="shared" si="21"/>
        <v>0</v>
      </c>
      <c r="BK24" s="30" t="s">
        <v>61</v>
      </c>
      <c r="BL24" s="28">
        <v>360</v>
      </c>
      <c r="BW24" s="28">
        <v>21</v>
      </c>
      <c r="BX24" s="4" t="s">
        <v>93</v>
      </c>
    </row>
    <row r="25" spans="1:76" x14ac:dyDescent="0.25">
      <c r="A25" s="2" t="s">
        <v>94</v>
      </c>
      <c r="B25" s="3" t="s">
        <v>95</v>
      </c>
      <c r="C25" s="193" t="s">
        <v>96</v>
      </c>
      <c r="D25" s="194"/>
      <c r="E25" s="3" t="s">
        <v>57</v>
      </c>
      <c r="F25" s="28">
        <v>216</v>
      </c>
      <c r="G25" s="299">
        <v>0</v>
      </c>
      <c r="H25" s="28">
        <f t="shared" si="0"/>
        <v>0</v>
      </c>
      <c r="I25" s="28">
        <f t="shared" si="1"/>
        <v>0</v>
      </c>
      <c r="J25" s="28">
        <f t="shared" si="2"/>
        <v>0</v>
      </c>
      <c r="K25" s="29" t="s">
        <v>49</v>
      </c>
      <c r="Z25" s="28">
        <f t="shared" si="3"/>
        <v>0</v>
      </c>
      <c r="AB25" s="28">
        <f t="shared" si="4"/>
        <v>0</v>
      </c>
      <c r="AC25" s="28">
        <f t="shared" si="5"/>
        <v>0</v>
      </c>
      <c r="AD25" s="28">
        <f t="shared" si="6"/>
        <v>0</v>
      </c>
      <c r="AE25" s="28">
        <f t="shared" si="7"/>
        <v>0</v>
      </c>
      <c r="AF25" s="28">
        <f t="shared" si="8"/>
        <v>0</v>
      </c>
      <c r="AG25" s="28">
        <f t="shared" si="9"/>
        <v>0</v>
      </c>
      <c r="AH25" s="28">
        <f t="shared" si="10"/>
        <v>0</v>
      </c>
      <c r="AI25" s="10" t="s">
        <v>53</v>
      </c>
      <c r="AJ25" s="28">
        <f t="shared" si="11"/>
        <v>0</v>
      </c>
      <c r="AK25" s="28">
        <f t="shared" si="12"/>
        <v>0</v>
      </c>
      <c r="AL25" s="28">
        <f t="shared" si="13"/>
        <v>0</v>
      </c>
      <c r="AN25" s="28">
        <v>21</v>
      </c>
      <c r="AO25" s="28">
        <f>G25*0</f>
        <v>0</v>
      </c>
      <c r="AP25" s="28">
        <f>G25*(1-0)</f>
        <v>0</v>
      </c>
      <c r="AQ25" s="30" t="s">
        <v>54</v>
      </c>
      <c r="AV25" s="28">
        <f t="shared" si="14"/>
        <v>0</v>
      </c>
      <c r="AW25" s="28">
        <f t="shared" si="15"/>
        <v>0</v>
      </c>
      <c r="AX25" s="28">
        <f t="shared" si="16"/>
        <v>0</v>
      </c>
      <c r="AY25" s="30" t="s">
        <v>58</v>
      </c>
      <c r="AZ25" s="30" t="s">
        <v>59</v>
      </c>
      <c r="BA25" s="10" t="s">
        <v>60</v>
      </c>
      <c r="BC25" s="28">
        <f t="shared" si="17"/>
        <v>0</v>
      </c>
      <c r="BD25" s="28">
        <f t="shared" si="18"/>
        <v>0</v>
      </c>
      <c r="BE25" s="28">
        <v>0</v>
      </c>
      <c r="BF25" s="28">
        <f>25</f>
        <v>25</v>
      </c>
      <c r="BH25" s="28">
        <f t="shared" si="19"/>
        <v>0</v>
      </c>
      <c r="BI25" s="28">
        <f t="shared" si="20"/>
        <v>0</v>
      </c>
      <c r="BJ25" s="28">
        <f t="shared" si="21"/>
        <v>0</v>
      </c>
      <c r="BK25" s="30" t="s">
        <v>61</v>
      </c>
      <c r="BL25" s="28">
        <v>360</v>
      </c>
      <c r="BW25" s="28">
        <v>21</v>
      </c>
      <c r="BX25" s="4" t="s">
        <v>96</v>
      </c>
    </row>
    <row r="26" spans="1:76" x14ac:dyDescent="0.25">
      <c r="A26" s="2" t="s">
        <v>97</v>
      </c>
      <c r="B26" s="3" t="s">
        <v>98</v>
      </c>
      <c r="C26" s="193" t="s">
        <v>99</v>
      </c>
      <c r="D26" s="194"/>
      <c r="E26" s="3" t="s">
        <v>71</v>
      </c>
      <c r="F26" s="28">
        <v>1</v>
      </c>
      <c r="G26" s="299">
        <v>0</v>
      </c>
      <c r="H26" s="28">
        <f t="shared" si="0"/>
        <v>0</v>
      </c>
      <c r="I26" s="28">
        <f t="shared" si="1"/>
        <v>0</v>
      </c>
      <c r="J26" s="28">
        <f t="shared" si="2"/>
        <v>0</v>
      </c>
      <c r="K26" s="29" t="s">
        <v>49</v>
      </c>
      <c r="Z26" s="28">
        <f t="shared" si="3"/>
        <v>0</v>
      </c>
      <c r="AB26" s="28">
        <f t="shared" si="4"/>
        <v>0</v>
      </c>
      <c r="AC26" s="28">
        <f t="shared" si="5"/>
        <v>0</v>
      </c>
      <c r="AD26" s="28">
        <f t="shared" si="6"/>
        <v>0</v>
      </c>
      <c r="AE26" s="28">
        <f t="shared" si="7"/>
        <v>0</v>
      </c>
      <c r="AF26" s="28">
        <f t="shared" si="8"/>
        <v>0</v>
      </c>
      <c r="AG26" s="28">
        <f t="shared" si="9"/>
        <v>0</v>
      </c>
      <c r="AH26" s="28">
        <f t="shared" si="10"/>
        <v>0</v>
      </c>
      <c r="AI26" s="10" t="s">
        <v>53</v>
      </c>
      <c r="AJ26" s="28">
        <f t="shared" si="11"/>
        <v>0</v>
      </c>
      <c r="AK26" s="28">
        <f t="shared" si="12"/>
        <v>0</v>
      </c>
      <c r="AL26" s="28">
        <f t="shared" si="13"/>
        <v>0</v>
      </c>
      <c r="AN26" s="28">
        <v>21</v>
      </c>
      <c r="AO26" s="28">
        <f>G26*0.7510554</f>
        <v>0</v>
      </c>
      <c r="AP26" s="28">
        <f>G26*(1-0.7510554)</f>
        <v>0</v>
      </c>
      <c r="AQ26" s="30" t="s">
        <v>54</v>
      </c>
      <c r="AV26" s="28">
        <f t="shared" si="14"/>
        <v>0</v>
      </c>
      <c r="AW26" s="28">
        <f t="shared" si="15"/>
        <v>0</v>
      </c>
      <c r="AX26" s="28">
        <f t="shared" si="16"/>
        <v>0</v>
      </c>
      <c r="AY26" s="30" t="s">
        <v>58</v>
      </c>
      <c r="AZ26" s="30" t="s">
        <v>59</v>
      </c>
      <c r="BA26" s="10" t="s">
        <v>60</v>
      </c>
      <c r="BC26" s="28">
        <f t="shared" si="17"/>
        <v>0</v>
      </c>
      <c r="BD26" s="28">
        <f t="shared" si="18"/>
        <v>0</v>
      </c>
      <c r="BE26" s="28">
        <v>0</v>
      </c>
      <c r="BF26" s="28">
        <f>26</f>
        <v>26</v>
      </c>
      <c r="BH26" s="28">
        <f t="shared" si="19"/>
        <v>0</v>
      </c>
      <c r="BI26" s="28">
        <f t="shared" si="20"/>
        <v>0</v>
      </c>
      <c r="BJ26" s="28">
        <f t="shared" si="21"/>
        <v>0</v>
      </c>
      <c r="BK26" s="30" t="s">
        <v>61</v>
      </c>
      <c r="BL26" s="28">
        <v>360</v>
      </c>
      <c r="BW26" s="28">
        <v>21</v>
      </c>
      <c r="BX26" s="4" t="s">
        <v>99</v>
      </c>
    </row>
    <row r="27" spans="1:76" x14ac:dyDescent="0.25">
      <c r="A27" s="24" t="s">
        <v>49</v>
      </c>
      <c r="B27" s="25" t="s">
        <v>100</v>
      </c>
      <c r="C27" s="247" t="s">
        <v>101</v>
      </c>
      <c r="D27" s="248"/>
      <c r="E27" s="26" t="s">
        <v>4</v>
      </c>
      <c r="F27" s="26" t="s">
        <v>4</v>
      </c>
      <c r="G27" s="26" t="s">
        <v>4</v>
      </c>
      <c r="H27" s="1">
        <f>SUM(H28:H33)</f>
        <v>0</v>
      </c>
      <c r="I27" s="1">
        <f>SUM(I28:I33)</f>
        <v>0</v>
      </c>
      <c r="J27" s="1">
        <f>SUM(J28:J33)</f>
        <v>0</v>
      </c>
      <c r="K27" s="27" t="s">
        <v>49</v>
      </c>
      <c r="AI27" s="10" t="s">
        <v>53</v>
      </c>
      <c r="AS27" s="1">
        <f>SUM(AJ28:AJ33)</f>
        <v>0</v>
      </c>
      <c r="AT27" s="1">
        <f>SUM(AK28:AK33)</f>
        <v>0</v>
      </c>
      <c r="AU27" s="1">
        <f>SUM(AL28:AL33)</f>
        <v>0</v>
      </c>
    </row>
    <row r="28" spans="1:76" x14ac:dyDescent="0.25">
      <c r="A28" s="2" t="s">
        <v>102</v>
      </c>
      <c r="B28" s="3" t="s">
        <v>103</v>
      </c>
      <c r="C28" s="193" t="s">
        <v>104</v>
      </c>
      <c r="D28" s="194"/>
      <c r="E28" s="3" t="s">
        <v>105</v>
      </c>
      <c r="F28" s="28">
        <v>21</v>
      </c>
      <c r="G28" s="299">
        <v>0</v>
      </c>
      <c r="H28" s="28">
        <f t="shared" ref="H28:H33" si="22">ROUND(F28*AO28,2)</f>
        <v>0</v>
      </c>
      <c r="I28" s="28">
        <f t="shared" ref="I28:I33" si="23">ROUND(F28*AP28,2)</f>
        <v>0</v>
      </c>
      <c r="J28" s="28">
        <f t="shared" ref="J28:J33" si="24">ROUND(F28*G28,2)</f>
        <v>0</v>
      </c>
      <c r="K28" s="29" t="s">
        <v>106</v>
      </c>
      <c r="Z28" s="28">
        <f t="shared" ref="Z28:Z33" si="25">ROUND(IF(AQ28="5",BJ28,0),2)</f>
        <v>0</v>
      </c>
      <c r="AB28" s="28">
        <f t="shared" ref="AB28:AB33" si="26">ROUND(IF(AQ28="1",BH28,0),2)</f>
        <v>0</v>
      </c>
      <c r="AC28" s="28">
        <f t="shared" ref="AC28:AC33" si="27">ROUND(IF(AQ28="1",BI28,0),2)</f>
        <v>0</v>
      </c>
      <c r="AD28" s="28">
        <f t="shared" ref="AD28:AD33" si="28">ROUND(IF(AQ28="7",BH28,0),2)</f>
        <v>0</v>
      </c>
      <c r="AE28" s="28">
        <f t="shared" ref="AE28:AE33" si="29">ROUND(IF(AQ28="7",BI28,0),2)</f>
        <v>0</v>
      </c>
      <c r="AF28" s="28">
        <f t="shared" ref="AF28:AF33" si="30">ROUND(IF(AQ28="2",BH28,0),2)</f>
        <v>0</v>
      </c>
      <c r="AG28" s="28">
        <f t="shared" ref="AG28:AG33" si="31">ROUND(IF(AQ28="2",BI28,0),2)</f>
        <v>0</v>
      </c>
      <c r="AH28" s="28">
        <f t="shared" ref="AH28:AH33" si="32">ROUND(IF(AQ28="0",BJ28,0),2)</f>
        <v>0</v>
      </c>
      <c r="AI28" s="10" t="s">
        <v>53</v>
      </c>
      <c r="AJ28" s="28">
        <f t="shared" ref="AJ28:AJ33" si="33">IF(AN28=0,J28,0)</f>
        <v>0</v>
      </c>
      <c r="AK28" s="28">
        <f t="shared" ref="AK28:AK33" si="34">IF(AN28=12,J28,0)</f>
        <v>0</v>
      </c>
      <c r="AL28" s="28">
        <f t="shared" ref="AL28:AL33" si="35">IF(AN28=21,J28,0)</f>
        <v>0</v>
      </c>
      <c r="AN28" s="28">
        <v>21</v>
      </c>
      <c r="AO28" s="28">
        <f>G28*0.691085613</f>
        <v>0</v>
      </c>
      <c r="AP28" s="28">
        <f>G28*(1-0.691085613)</f>
        <v>0</v>
      </c>
      <c r="AQ28" s="30" t="s">
        <v>54</v>
      </c>
      <c r="AV28" s="28">
        <f t="shared" ref="AV28:AV33" si="36">ROUND(AW28+AX28,2)</f>
        <v>0</v>
      </c>
      <c r="AW28" s="28">
        <f t="shared" ref="AW28:AW33" si="37">ROUND(F28*AO28,2)</f>
        <v>0</v>
      </c>
      <c r="AX28" s="28">
        <f t="shared" ref="AX28:AX33" si="38">ROUND(F28*AP28,2)</f>
        <v>0</v>
      </c>
      <c r="AY28" s="30" t="s">
        <v>107</v>
      </c>
      <c r="AZ28" s="30" t="s">
        <v>108</v>
      </c>
      <c r="BA28" s="10" t="s">
        <v>60</v>
      </c>
      <c r="BC28" s="28">
        <f t="shared" ref="BC28:BC33" si="39">AW28+AX28</f>
        <v>0</v>
      </c>
      <c r="BD28" s="28">
        <f t="shared" ref="BD28:BD33" si="40">G28/(100-BE28)*100</f>
        <v>0</v>
      </c>
      <c r="BE28" s="28">
        <v>0</v>
      </c>
      <c r="BF28" s="28">
        <f>28</f>
        <v>28</v>
      </c>
      <c r="BH28" s="28">
        <f t="shared" ref="BH28:BH33" si="41">F28*AO28</f>
        <v>0</v>
      </c>
      <c r="BI28" s="28">
        <f t="shared" ref="BI28:BI33" si="42">F28*AP28</f>
        <v>0</v>
      </c>
      <c r="BJ28" s="28">
        <f t="shared" ref="BJ28:BJ33" si="43">F28*G28</f>
        <v>0</v>
      </c>
      <c r="BK28" s="30" t="s">
        <v>61</v>
      </c>
      <c r="BL28" s="28"/>
      <c r="BW28" s="28">
        <v>21</v>
      </c>
      <c r="BX28" s="4" t="s">
        <v>104</v>
      </c>
    </row>
    <row r="29" spans="1:76" x14ac:dyDescent="0.25">
      <c r="A29" s="2" t="s">
        <v>109</v>
      </c>
      <c r="B29" s="3" t="s">
        <v>110</v>
      </c>
      <c r="C29" s="193" t="s">
        <v>111</v>
      </c>
      <c r="D29" s="194"/>
      <c r="E29" s="3" t="s">
        <v>71</v>
      </c>
      <c r="F29" s="28">
        <v>1</v>
      </c>
      <c r="G29" s="299">
        <v>0</v>
      </c>
      <c r="H29" s="28">
        <f t="shared" si="22"/>
        <v>0</v>
      </c>
      <c r="I29" s="28">
        <f t="shared" si="23"/>
        <v>0</v>
      </c>
      <c r="J29" s="28">
        <f t="shared" si="24"/>
        <v>0</v>
      </c>
      <c r="K29" s="29" t="s">
        <v>49</v>
      </c>
      <c r="Z29" s="28">
        <f t="shared" si="25"/>
        <v>0</v>
      </c>
      <c r="AB29" s="28">
        <f t="shared" si="26"/>
        <v>0</v>
      </c>
      <c r="AC29" s="28">
        <f t="shared" si="27"/>
        <v>0</v>
      </c>
      <c r="AD29" s="28">
        <f t="shared" si="28"/>
        <v>0</v>
      </c>
      <c r="AE29" s="28">
        <f t="shared" si="29"/>
        <v>0</v>
      </c>
      <c r="AF29" s="28">
        <f t="shared" si="30"/>
        <v>0</v>
      </c>
      <c r="AG29" s="28">
        <f t="shared" si="31"/>
        <v>0</v>
      </c>
      <c r="AH29" s="28">
        <f t="shared" si="32"/>
        <v>0</v>
      </c>
      <c r="AI29" s="10" t="s">
        <v>53</v>
      </c>
      <c r="AJ29" s="28">
        <f t="shared" si="33"/>
        <v>0</v>
      </c>
      <c r="AK29" s="28">
        <f t="shared" si="34"/>
        <v>0</v>
      </c>
      <c r="AL29" s="28">
        <f t="shared" si="35"/>
        <v>0</v>
      </c>
      <c r="AN29" s="28">
        <v>21</v>
      </c>
      <c r="AO29" s="28">
        <f>G29*0.376585366</f>
        <v>0</v>
      </c>
      <c r="AP29" s="28">
        <f>G29*(1-0.376585366)</f>
        <v>0</v>
      </c>
      <c r="AQ29" s="30" t="s">
        <v>54</v>
      </c>
      <c r="AV29" s="28">
        <f t="shared" si="36"/>
        <v>0</v>
      </c>
      <c r="AW29" s="28">
        <f t="shared" si="37"/>
        <v>0</v>
      </c>
      <c r="AX29" s="28">
        <f t="shared" si="38"/>
        <v>0</v>
      </c>
      <c r="AY29" s="30" t="s">
        <v>107</v>
      </c>
      <c r="AZ29" s="30" t="s">
        <v>108</v>
      </c>
      <c r="BA29" s="10" t="s">
        <v>60</v>
      </c>
      <c r="BC29" s="28">
        <f t="shared" si="39"/>
        <v>0</v>
      </c>
      <c r="BD29" s="28">
        <f t="shared" si="40"/>
        <v>0</v>
      </c>
      <c r="BE29" s="28">
        <v>0</v>
      </c>
      <c r="BF29" s="28">
        <f>29</f>
        <v>29</v>
      </c>
      <c r="BH29" s="28">
        <f t="shared" si="41"/>
        <v>0</v>
      </c>
      <c r="BI29" s="28">
        <f t="shared" si="42"/>
        <v>0</v>
      </c>
      <c r="BJ29" s="28">
        <f t="shared" si="43"/>
        <v>0</v>
      </c>
      <c r="BK29" s="30" t="s">
        <v>61</v>
      </c>
      <c r="BL29" s="28"/>
      <c r="BW29" s="28">
        <v>21</v>
      </c>
      <c r="BX29" s="4" t="s">
        <v>111</v>
      </c>
    </row>
    <row r="30" spans="1:76" ht="14.45" customHeight="1" x14ac:dyDescent="0.25">
      <c r="A30" s="2" t="s">
        <v>112</v>
      </c>
      <c r="B30" s="3" t="s">
        <v>113</v>
      </c>
      <c r="C30" s="193" t="s">
        <v>292</v>
      </c>
      <c r="D30" s="194"/>
      <c r="E30" s="3" t="s">
        <v>71</v>
      </c>
      <c r="F30" s="28">
        <v>1</v>
      </c>
      <c r="G30" s="299">
        <v>0</v>
      </c>
      <c r="H30" s="28">
        <f t="shared" si="22"/>
        <v>0</v>
      </c>
      <c r="I30" s="28">
        <f t="shared" si="23"/>
        <v>0</v>
      </c>
      <c r="J30" s="28">
        <f t="shared" si="24"/>
        <v>0</v>
      </c>
      <c r="K30" s="29" t="s">
        <v>49</v>
      </c>
      <c r="Z30" s="28">
        <f t="shared" si="25"/>
        <v>0</v>
      </c>
      <c r="AB30" s="28">
        <f t="shared" si="26"/>
        <v>0</v>
      </c>
      <c r="AC30" s="28">
        <f t="shared" si="27"/>
        <v>0</v>
      </c>
      <c r="AD30" s="28">
        <f t="shared" si="28"/>
        <v>0</v>
      </c>
      <c r="AE30" s="28">
        <f t="shared" si="29"/>
        <v>0</v>
      </c>
      <c r="AF30" s="28">
        <f t="shared" si="30"/>
        <v>0</v>
      </c>
      <c r="AG30" s="28">
        <f t="shared" si="31"/>
        <v>0</v>
      </c>
      <c r="AH30" s="28">
        <f t="shared" si="32"/>
        <v>0</v>
      </c>
      <c r="AI30" s="10" t="s">
        <v>53</v>
      </c>
      <c r="AJ30" s="28">
        <f t="shared" si="33"/>
        <v>0</v>
      </c>
      <c r="AK30" s="28">
        <f t="shared" si="34"/>
        <v>0</v>
      </c>
      <c r="AL30" s="28">
        <f t="shared" si="35"/>
        <v>0</v>
      </c>
      <c r="AN30" s="28">
        <v>21</v>
      </c>
      <c r="AO30" s="28">
        <f>G30*0.544864136</f>
        <v>0</v>
      </c>
      <c r="AP30" s="28">
        <f>G30*(1-0.544864136)</f>
        <v>0</v>
      </c>
      <c r="AQ30" s="30" t="s">
        <v>54</v>
      </c>
      <c r="AV30" s="28">
        <f t="shared" si="36"/>
        <v>0</v>
      </c>
      <c r="AW30" s="28">
        <f t="shared" si="37"/>
        <v>0</v>
      </c>
      <c r="AX30" s="28">
        <f t="shared" si="38"/>
        <v>0</v>
      </c>
      <c r="AY30" s="30" t="s">
        <v>107</v>
      </c>
      <c r="AZ30" s="30" t="s">
        <v>108</v>
      </c>
      <c r="BA30" s="10" t="s">
        <v>60</v>
      </c>
      <c r="BC30" s="28">
        <f t="shared" si="39"/>
        <v>0</v>
      </c>
      <c r="BD30" s="28">
        <f t="shared" si="40"/>
        <v>0</v>
      </c>
      <c r="BE30" s="28">
        <v>0</v>
      </c>
      <c r="BF30" s="28">
        <f>30</f>
        <v>30</v>
      </c>
      <c r="BH30" s="28">
        <f t="shared" si="41"/>
        <v>0</v>
      </c>
      <c r="BI30" s="28">
        <f t="shared" si="42"/>
        <v>0</v>
      </c>
      <c r="BJ30" s="28">
        <f t="shared" si="43"/>
        <v>0</v>
      </c>
      <c r="BK30" s="30" t="s">
        <v>61</v>
      </c>
      <c r="BL30" s="28"/>
      <c r="BW30" s="28">
        <v>21</v>
      </c>
      <c r="BX30" s="4" t="s">
        <v>114</v>
      </c>
    </row>
    <row r="31" spans="1:76" x14ac:dyDescent="0.25">
      <c r="A31" s="2" t="s">
        <v>115</v>
      </c>
      <c r="B31" s="3" t="s">
        <v>116</v>
      </c>
      <c r="C31" s="193" t="s">
        <v>117</v>
      </c>
      <c r="D31" s="194"/>
      <c r="E31" s="3" t="s">
        <v>71</v>
      </c>
      <c r="F31" s="28">
        <v>1</v>
      </c>
      <c r="G31" s="299">
        <v>0</v>
      </c>
      <c r="H31" s="28">
        <f t="shared" si="22"/>
        <v>0</v>
      </c>
      <c r="I31" s="28">
        <f t="shared" si="23"/>
        <v>0</v>
      </c>
      <c r="J31" s="28">
        <f t="shared" si="24"/>
        <v>0</v>
      </c>
      <c r="K31" s="29" t="s">
        <v>49</v>
      </c>
      <c r="Z31" s="28">
        <f t="shared" si="25"/>
        <v>0</v>
      </c>
      <c r="AB31" s="28">
        <f t="shared" si="26"/>
        <v>0</v>
      </c>
      <c r="AC31" s="28">
        <f t="shared" si="27"/>
        <v>0</v>
      </c>
      <c r="AD31" s="28">
        <f t="shared" si="28"/>
        <v>0</v>
      </c>
      <c r="AE31" s="28">
        <f t="shared" si="29"/>
        <v>0</v>
      </c>
      <c r="AF31" s="28">
        <f t="shared" si="30"/>
        <v>0</v>
      </c>
      <c r="AG31" s="28">
        <f t="shared" si="31"/>
        <v>0</v>
      </c>
      <c r="AH31" s="28">
        <f t="shared" si="32"/>
        <v>0</v>
      </c>
      <c r="AI31" s="10" t="s">
        <v>53</v>
      </c>
      <c r="AJ31" s="28">
        <f t="shared" si="33"/>
        <v>0</v>
      </c>
      <c r="AK31" s="28">
        <f t="shared" si="34"/>
        <v>0</v>
      </c>
      <c r="AL31" s="28">
        <f t="shared" si="35"/>
        <v>0</v>
      </c>
      <c r="AN31" s="28">
        <v>21</v>
      </c>
      <c r="AO31" s="28">
        <f>G31*0.539682566</f>
        <v>0</v>
      </c>
      <c r="AP31" s="28">
        <f>G31*(1-0.539682566)</f>
        <v>0</v>
      </c>
      <c r="AQ31" s="30" t="s">
        <v>54</v>
      </c>
      <c r="AV31" s="28">
        <f t="shared" si="36"/>
        <v>0</v>
      </c>
      <c r="AW31" s="28">
        <f t="shared" si="37"/>
        <v>0</v>
      </c>
      <c r="AX31" s="28">
        <f t="shared" si="38"/>
        <v>0</v>
      </c>
      <c r="AY31" s="30" t="s">
        <v>107</v>
      </c>
      <c r="AZ31" s="30" t="s">
        <v>108</v>
      </c>
      <c r="BA31" s="10" t="s">
        <v>60</v>
      </c>
      <c r="BC31" s="28">
        <f t="shared" si="39"/>
        <v>0</v>
      </c>
      <c r="BD31" s="28">
        <f t="shared" si="40"/>
        <v>0</v>
      </c>
      <c r="BE31" s="28">
        <v>0</v>
      </c>
      <c r="BF31" s="28">
        <f>31</f>
        <v>31</v>
      </c>
      <c r="BH31" s="28">
        <f t="shared" si="41"/>
        <v>0</v>
      </c>
      <c r="BI31" s="28">
        <f t="shared" si="42"/>
        <v>0</v>
      </c>
      <c r="BJ31" s="28">
        <f t="shared" si="43"/>
        <v>0</v>
      </c>
      <c r="BK31" s="30" t="s">
        <v>61</v>
      </c>
      <c r="BL31" s="28"/>
      <c r="BW31" s="28">
        <v>21</v>
      </c>
      <c r="BX31" s="4" t="s">
        <v>117</v>
      </c>
    </row>
    <row r="32" spans="1:76" x14ac:dyDescent="0.25">
      <c r="A32" s="2" t="s">
        <v>118</v>
      </c>
      <c r="B32" s="3" t="s">
        <v>119</v>
      </c>
      <c r="C32" s="193" t="s">
        <v>120</v>
      </c>
      <c r="D32" s="194"/>
      <c r="E32" s="3" t="s">
        <v>105</v>
      </c>
      <c r="F32" s="28">
        <v>135</v>
      </c>
      <c r="G32" s="299">
        <v>0</v>
      </c>
      <c r="H32" s="28">
        <f t="shared" si="22"/>
        <v>0</v>
      </c>
      <c r="I32" s="28">
        <f t="shared" si="23"/>
        <v>0</v>
      </c>
      <c r="J32" s="28">
        <f t="shared" si="24"/>
        <v>0</v>
      </c>
      <c r="K32" s="29" t="s">
        <v>49</v>
      </c>
      <c r="Z32" s="28">
        <f t="shared" si="25"/>
        <v>0</v>
      </c>
      <c r="AB32" s="28">
        <f t="shared" si="26"/>
        <v>0</v>
      </c>
      <c r="AC32" s="28">
        <f t="shared" si="27"/>
        <v>0</v>
      </c>
      <c r="AD32" s="28">
        <f t="shared" si="28"/>
        <v>0</v>
      </c>
      <c r="AE32" s="28">
        <f t="shared" si="29"/>
        <v>0</v>
      </c>
      <c r="AF32" s="28">
        <f t="shared" si="30"/>
        <v>0</v>
      </c>
      <c r="AG32" s="28">
        <f t="shared" si="31"/>
        <v>0</v>
      </c>
      <c r="AH32" s="28">
        <f t="shared" si="32"/>
        <v>0</v>
      </c>
      <c r="AI32" s="10" t="s">
        <v>53</v>
      </c>
      <c r="AJ32" s="28">
        <f t="shared" si="33"/>
        <v>0</v>
      </c>
      <c r="AK32" s="28">
        <f t="shared" si="34"/>
        <v>0</v>
      </c>
      <c r="AL32" s="28">
        <f t="shared" si="35"/>
        <v>0</v>
      </c>
      <c r="AN32" s="28">
        <v>21</v>
      </c>
      <c r="AO32" s="28">
        <f>G32*0.577547619</f>
        <v>0</v>
      </c>
      <c r="AP32" s="28">
        <f>G32*(1-0.577547619)</f>
        <v>0</v>
      </c>
      <c r="AQ32" s="30" t="s">
        <v>54</v>
      </c>
      <c r="AV32" s="28">
        <f t="shared" si="36"/>
        <v>0</v>
      </c>
      <c r="AW32" s="28">
        <f t="shared" si="37"/>
        <v>0</v>
      </c>
      <c r="AX32" s="28">
        <f t="shared" si="38"/>
        <v>0</v>
      </c>
      <c r="AY32" s="30" t="s">
        <v>107</v>
      </c>
      <c r="AZ32" s="30" t="s">
        <v>108</v>
      </c>
      <c r="BA32" s="10" t="s">
        <v>60</v>
      </c>
      <c r="BC32" s="28">
        <f t="shared" si="39"/>
        <v>0</v>
      </c>
      <c r="BD32" s="28">
        <f t="shared" si="40"/>
        <v>0</v>
      </c>
      <c r="BE32" s="28">
        <v>0</v>
      </c>
      <c r="BF32" s="28">
        <f>32</f>
        <v>32</v>
      </c>
      <c r="BH32" s="28">
        <f t="shared" si="41"/>
        <v>0</v>
      </c>
      <c r="BI32" s="28">
        <f t="shared" si="42"/>
        <v>0</v>
      </c>
      <c r="BJ32" s="28">
        <f t="shared" si="43"/>
        <v>0</v>
      </c>
      <c r="BK32" s="30" t="s">
        <v>61</v>
      </c>
      <c r="BL32" s="28"/>
      <c r="BW32" s="28">
        <v>21</v>
      </c>
      <c r="BX32" s="4" t="s">
        <v>120</v>
      </c>
    </row>
    <row r="33" spans="1:76" x14ac:dyDescent="0.25">
      <c r="A33" s="2" t="s">
        <v>121</v>
      </c>
      <c r="B33" s="3" t="s">
        <v>122</v>
      </c>
      <c r="C33" s="193" t="s">
        <v>123</v>
      </c>
      <c r="D33" s="194"/>
      <c r="E33" s="3" t="s">
        <v>71</v>
      </c>
      <c r="F33" s="28">
        <v>1</v>
      </c>
      <c r="G33" s="299">
        <v>0</v>
      </c>
      <c r="H33" s="28">
        <f t="shared" si="22"/>
        <v>0</v>
      </c>
      <c r="I33" s="28">
        <f t="shared" si="23"/>
        <v>0</v>
      </c>
      <c r="J33" s="28">
        <f t="shared" si="24"/>
        <v>0</v>
      </c>
      <c r="K33" s="29" t="s">
        <v>106</v>
      </c>
      <c r="Z33" s="28">
        <f t="shared" si="25"/>
        <v>0</v>
      </c>
      <c r="AB33" s="28">
        <f t="shared" si="26"/>
        <v>0</v>
      </c>
      <c r="AC33" s="28">
        <f t="shared" si="27"/>
        <v>0</v>
      </c>
      <c r="AD33" s="28">
        <f t="shared" si="28"/>
        <v>0</v>
      </c>
      <c r="AE33" s="28">
        <f t="shared" si="29"/>
        <v>0</v>
      </c>
      <c r="AF33" s="28">
        <f t="shared" si="30"/>
        <v>0</v>
      </c>
      <c r="AG33" s="28">
        <f t="shared" si="31"/>
        <v>0</v>
      </c>
      <c r="AH33" s="28">
        <f t="shared" si="32"/>
        <v>0</v>
      </c>
      <c r="AI33" s="10" t="s">
        <v>53</v>
      </c>
      <c r="AJ33" s="28">
        <f t="shared" si="33"/>
        <v>0</v>
      </c>
      <c r="AK33" s="28">
        <f t="shared" si="34"/>
        <v>0</v>
      </c>
      <c r="AL33" s="28">
        <f t="shared" si="35"/>
        <v>0</v>
      </c>
      <c r="AN33" s="28">
        <v>21</v>
      </c>
      <c r="AO33" s="28">
        <f>G33*0</f>
        <v>0</v>
      </c>
      <c r="AP33" s="28">
        <f>G33*(1-0)</f>
        <v>0</v>
      </c>
      <c r="AQ33" s="30" t="s">
        <v>54</v>
      </c>
      <c r="AV33" s="28">
        <f t="shared" si="36"/>
        <v>0</v>
      </c>
      <c r="AW33" s="28">
        <f t="shared" si="37"/>
        <v>0</v>
      </c>
      <c r="AX33" s="28">
        <f t="shared" si="38"/>
        <v>0</v>
      </c>
      <c r="AY33" s="30" t="s">
        <v>107</v>
      </c>
      <c r="AZ33" s="30" t="s">
        <v>108</v>
      </c>
      <c r="BA33" s="10" t="s">
        <v>60</v>
      </c>
      <c r="BC33" s="28">
        <f t="shared" si="39"/>
        <v>0</v>
      </c>
      <c r="BD33" s="28">
        <f t="shared" si="40"/>
        <v>0</v>
      </c>
      <c r="BE33" s="28">
        <v>0</v>
      </c>
      <c r="BF33" s="28">
        <f>33</f>
        <v>33</v>
      </c>
      <c r="BH33" s="28">
        <f t="shared" si="41"/>
        <v>0</v>
      </c>
      <c r="BI33" s="28">
        <f t="shared" si="42"/>
        <v>0</v>
      </c>
      <c r="BJ33" s="28">
        <f t="shared" si="43"/>
        <v>0</v>
      </c>
      <c r="BK33" s="30" t="s">
        <v>61</v>
      </c>
      <c r="BL33" s="28"/>
      <c r="BW33" s="28">
        <v>21</v>
      </c>
      <c r="BX33" s="4" t="s">
        <v>123</v>
      </c>
    </row>
    <row r="34" spans="1:76" x14ac:dyDescent="0.25">
      <c r="A34" s="24" t="s">
        <v>49</v>
      </c>
      <c r="B34" s="25" t="s">
        <v>124</v>
      </c>
      <c r="C34" s="247" t="s">
        <v>125</v>
      </c>
      <c r="D34" s="248"/>
      <c r="E34" s="26" t="s">
        <v>4</v>
      </c>
      <c r="F34" s="26" t="s">
        <v>4</v>
      </c>
      <c r="G34" s="26" t="s">
        <v>4</v>
      </c>
      <c r="H34" s="1">
        <f>SUM(H35:H37)</f>
        <v>0</v>
      </c>
      <c r="I34" s="1">
        <f>SUM(I35:I37)</f>
        <v>0</v>
      </c>
      <c r="J34" s="1">
        <f>SUM(J35:J37)</f>
        <v>0</v>
      </c>
      <c r="K34" s="27" t="s">
        <v>49</v>
      </c>
      <c r="AI34" s="10" t="s">
        <v>53</v>
      </c>
      <c r="AS34" s="1">
        <f>SUM(AJ35:AJ37)</f>
        <v>0</v>
      </c>
      <c r="AT34" s="1">
        <f>SUM(AK35:AK37)</f>
        <v>0</v>
      </c>
      <c r="AU34" s="1">
        <f>SUM(AL35:AL37)</f>
        <v>0</v>
      </c>
    </row>
    <row r="35" spans="1:76" x14ac:dyDescent="0.25">
      <c r="A35" s="2" t="s">
        <v>126</v>
      </c>
      <c r="B35" s="3" t="s">
        <v>127</v>
      </c>
      <c r="C35" s="193" t="s">
        <v>128</v>
      </c>
      <c r="D35" s="194"/>
      <c r="E35" s="3" t="s">
        <v>105</v>
      </c>
      <c r="F35" s="28">
        <v>320</v>
      </c>
      <c r="G35" s="299">
        <v>0</v>
      </c>
      <c r="H35" s="28">
        <f>ROUND(F35*AO35,2)</f>
        <v>0</v>
      </c>
      <c r="I35" s="28">
        <f>ROUND(F35*AP35,2)</f>
        <v>0</v>
      </c>
      <c r="J35" s="28">
        <f>ROUND(F35*G35,2)</f>
        <v>0</v>
      </c>
      <c r="K35" s="29" t="s">
        <v>129</v>
      </c>
      <c r="Z35" s="28">
        <f>ROUND(IF(AQ35="5",BJ35,0),2)</f>
        <v>0</v>
      </c>
      <c r="AB35" s="28">
        <f>ROUND(IF(AQ35="1",BH35,0),2)</f>
        <v>0</v>
      </c>
      <c r="AC35" s="28">
        <f>ROUND(IF(AQ35="1",BI35,0),2)</f>
        <v>0</v>
      </c>
      <c r="AD35" s="28">
        <f>ROUND(IF(AQ35="7",BH35,0),2)</f>
        <v>0</v>
      </c>
      <c r="AE35" s="28">
        <f>ROUND(IF(AQ35="7",BI35,0),2)</f>
        <v>0</v>
      </c>
      <c r="AF35" s="28">
        <f>ROUND(IF(AQ35="2",BH35,0),2)</f>
        <v>0</v>
      </c>
      <c r="AG35" s="28">
        <f>ROUND(IF(AQ35="2",BI35,0),2)</f>
        <v>0</v>
      </c>
      <c r="AH35" s="28">
        <f>ROUND(IF(AQ35="0",BJ35,0),2)</f>
        <v>0</v>
      </c>
      <c r="AI35" s="10" t="s">
        <v>53</v>
      </c>
      <c r="AJ35" s="28">
        <f>IF(AN35=0,J35,0)</f>
        <v>0</v>
      </c>
      <c r="AK35" s="28">
        <f>IF(AN35=12,J35,0)</f>
        <v>0</v>
      </c>
      <c r="AL35" s="28">
        <f>IF(AN35=21,J35,0)</f>
        <v>0</v>
      </c>
      <c r="AN35" s="28">
        <v>21</v>
      </c>
      <c r="AO35" s="28">
        <f>G35*0.000266667</f>
        <v>0</v>
      </c>
      <c r="AP35" s="28">
        <f>G35*(1-0.000266667)</f>
        <v>0</v>
      </c>
      <c r="AQ35" s="30" t="s">
        <v>54</v>
      </c>
      <c r="AV35" s="28">
        <f>ROUND(AW35+AX35,2)</f>
        <v>0</v>
      </c>
      <c r="AW35" s="28">
        <f>ROUND(F35*AO35,2)</f>
        <v>0</v>
      </c>
      <c r="AX35" s="28">
        <f>ROUND(F35*AP35,2)</f>
        <v>0</v>
      </c>
      <c r="AY35" s="30" t="s">
        <v>130</v>
      </c>
      <c r="AZ35" s="30" t="s">
        <v>108</v>
      </c>
      <c r="BA35" s="10" t="s">
        <v>60</v>
      </c>
      <c r="BC35" s="28">
        <f>AW35+AX35</f>
        <v>0</v>
      </c>
      <c r="BD35" s="28">
        <f>G35/(100-BE35)*100</f>
        <v>0</v>
      </c>
      <c r="BE35" s="28">
        <v>0</v>
      </c>
      <c r="BF35" s="28">
        <f>35</f>
        <v>35</v>
      </c>
      <c r="BH35" s="28">
        <f>F35*AO35</f>
        <v>0</v>
      </c>
      <c r="BI35" s="28">
        <f>F35*AP35</f>
        <v>0</v>
      </c>
      <c r="BJ35" s="28">
        <f>F35*G35</f>
        <v>0</v>
      </c>
      <c r="BK35" s="30" t="s">
        <v>61</v>
      </c>
      <c r="BL35" s="28">
        <v>94</v>
      </c>
      <c r="BW35" s="28">
        <v>21</v>
      </c>
      <c r="BX35" s="4" t="s">
        <v>128</v>
      </c>
    </row>
    <row r="36" spans="1:76" x14ac:dyDescent="0.25">
      <c r="A36" s="2" t="s">
        <v>131</v>
      </c>
      <c r="B36" s="3" t="s">
        <v>132</v>
      </c>
      <c r="C36" s="193" t="s">
        <v>133</v>
      </c>
      <c r="D36" s="194"/>
      <c r="E36" s="3" t="s">
        <v>105</v>
      </c>
      <c r="F36" s="28">
        <v>320</v>
      </c>
      <c r="G36" s="299">
        <v>0</v>
      </c>
      <c r="H36" s="28">
        <f>ROUND(F36*AO36,2)</f>
        <v>0</v>
      </c>
      <c r="I36" s="28">
        <f>ROUND(F36*AP36,2)</f>
        <v>0</v>
      </c>
      <c r="J36" s="28">
        <f>ROUND(F36*G36,2)</f>
        <v>0</v>
      </c>
      <c r="K36" s="29" t="s">
        <v>129</v>
      </c>
      <c r="Z36" s="28">
        <f>ROUND(IF(AQ36="5",BJ36,0),2)</f>
        <v>0</v>
      </c>
      <c r="AB36" s="28">
        <f>ROUND(IF(AQ36="1",BH36,0),2)</f>
        <v>0</v>
      </c>
      <c r="AC36" s="28">
        <f>ROUND(IF(AQ36="1",BI36,0),2)</f>
        <v>0</v>
      </c>
      <c r="AD36" s="28">
        <f>ROUND(IF(AQ36="7",BH36,0),2)</f>
        <v>0</v>
      </c>
      <c r="AE36" s="28">
        <f>ROUND(IF(AQ36="7",BI36,0),2)</f>
        <v>0</v>
      </c>
      <c r="AF36" s="28">
        <f>ROUND(IF(AQ36="2",BH36,0),2)</f>
        <v>0</v>
      </c>
      <c r="AG36" s="28">
        <f>ROUND(IF(AQ36="2",BI36,0),2)</f>
        <v>0</v>
      </c>
      <c r="AH36" s="28">
        <f>ROUND(IF(AQ36="0",BJ36,0),2)</f>
        <v>0</v>
      </c>
      <c r="AI36" s="10" t="s">
        <v>53</v>
      </c>
      <c r="AJ36" s="28">
        <f>IF(AN36=0,J36,0)</f>
        <v>0</v>
      </c>
      <c r="AK36" s="28">
        <f>IF(AN36=12,J36,0)</f>
        <v>0</v>
      </c>
      <c r="AL36" s="28">
        <f>IF(AN36=21,J36,0)</f>
        <v>0</v>
      </c>
      <c r="AN36" s="28">
        <v>21</v>
      </c>
      <c r="AO36" s="28">
        <f>G36*0</f>
        <v>0</v>
      </c>
      <c r="AP36" s="28">
        <f>G36*(1-0)</f>
        <v>0</v>
      </c>
      <c r="AQ36" s="30" t="s">
        <v>54</v>
      </c>
      <c r="AV36" s="28">
        <f>ROUND(AW36+AX36,2)</f>
        <v>0</v>
      </c>
      <c r="AW36" s="28">
        <f>ROUND(F36*AO36,2)</f>
        <v>0</v>
      </c>
      <c r="AX36" s="28">
        <f>ROUND(F36*AP36,2)</f>
        <v>0</v>
      </c>
      <c r="AY36" s="30" t="s">
        <v>130</v>
      </c>
      <c r="AZ36" s="30" t="s">
        <v>108</v>
      </c>
      <c r="BA36" s="10" t="s">
        <v>60</v>
      </c>
      <c r="BC36" s="28">
        <f>AW36+AX36</f>
        <v>0</v>
      </c>
      <c r="BD36" s="28">
        <f>G36/(100-BE36)*100</f>
        <v>0</v>
      </c>
      <c r="BE36" s="28">
        <v>0</v>
      </c>
      <c r="BF36" s="28">
        <f>36</f>
        <v>36</v>
      </c>
      <c r="BH36" s="28">
        <f>F36*AO36</f>
        <v>0</v>
      </c>
      <c r="BI36" s="28">
        <f>F36*AP36</f>
        <v>0</v>
      </c>
      <c r="BJ36" s="28">
        <f>F36*G36</f>
        <v>0</v>
      </c>
      <c r="BK36" s="30" t="s">
        <v>61</v>
      </c>
      <c r="BL36" s="28">
        <v>94</v>
      </c>
      <c r="BW36" s="28">
        <v>21</v>
      </c>
      <c r="BX36" s="4" t="s">
        <v>133</v>
      </c>
    </row>
    <row r="37" spans="1:76" x14ac:dyDescent="0.25">
      <c r="A37" s="2" t="s">
        <v>134</v>
      </c>
      <c r="B37" s="3" t="s">
        <v>135</v>
      </c>
      <c r="C37" s="193" t="s">
        <v>136</v>
      </c>
      <c r="D37" s="194"/>
      <c r="E37" s="3" t="s">
        <v>137</v>
      </c>
      <c r="F37" s="28">
        <v>150</v>
      </c>
      <c r="G37" s="299">
        <v>0</v>
      </c>
      <c r="H37" s="28">
        <f>ROUND(F37*AO37,2)</f>
        <v>0</v>
      </c>
      <c r="I37" s="28">
        <f>ROUND(F37*AP37,2)</f>
        <v>0</v>
      </c>
      <c r="J37" s="28">
        <f>ROUND(F37*G37,2)</f>
        <v>0</v>
      </c>
      <c r="K37" s="29" t="s">
        <v>129</v>
      </c>
      <c r="Z37" s="28">
        <f>ROUND(IF(AQ37="5",BJ37,0),2)</f>
        <v>0</v>
      </c>
      <c r="AB37" s="28">
        <f>ROUND(IF(AQ37="1",BH37,0),2)</f>
        <v>0</v>
      </c>
      <c r="AC37" s="28">
        <f>ROUND(IF(AQ37="1",BI37,0),2)</f>
        <v>0</v>
      </c>
      <c r="AD37" s="28">
        <f>ROUND(IF(AQ37="7",BH37,0),2)</f>
        <v>0</v>
      </c>
      <c r="AE37" s="28">
        <f>ROUND(IF(AQ37="7",BI37,0),2)</f>
        <v>0</v>
      </c>
      <c r="AF37" s="28">
        <f>ROUND(IF(AQ37="2",BH37,0),2)</f>
        <v>0</v>
      </c>
      <c r="AG37" s="28">
        <f>ROUND(IF(AQ37="2",BI37,0),2)</f>
        <v>0</v>
      </c>
      <c r="AH37" s="28">
        <f>ROUND(IF(AQ37="0",BJ37,0),2)</f>
        <v>0</v>
      </c>
      <c r="AI37" s="10" t="s">
        <v>53</v>
      </c>
      <c r="AJ37" s="28">
        <f>IF(AN37=0,J37,0)</f>
        <v>0</v>
      </c>
      <c r="AK37" s="28">
        <f>IF(AN37=12,J37,0)</f>
        <v>0</v>
      </c>
      <c r="AL37" s="28">
        <f>IF(AN37=21,J37,0)</f>
        <v>0</v>
      </c>
      <c r="AN37" s="28">
        <v>21</v>
      </c>
      <c r="AO37" s="28">
        <f>G37*0</f>
        <v>0</v>
      </c>
      <c r="AP37" s="28">
        <f>G37*(1-0)</f>
        <v>0</v>
      </c>
      <c r="AQ37" s="30" t="s">
        <v>54</v>
      </c>
      <c r="AV37" s="28">
        <f>ROUND(AW37+AX37,2)</f>
        <v>0</v>
      </c>
      <c r="AW37" s="28">
        <f>ROUND(F37*AO37,2)</f>
        <v>0</v>
      </c>
      <c r="AX37" s="28">
        <f>ROUND(F37*AP37,2)</f>
        <v>0</v>
      </c>
      <c r="AY37" s="30" t="s">
        <v>130</v>
      </c>
      <c r="AZ37" s="30" t="s">
        <v>108</v>
      </c>
      <c r="BA37" s="10" t="s">
        <v>60</v>
      </c>
      <c r="BC37" s="28">
        <f>AW37+AX37</f>
        <v>0</v>
      </c>
      <c r="BD37" s="28">
        <f>G37/(100-BE37)*100</f>
        <v>0</v>
      </c>
      <c r="BE37" s="28">
        <v>0</v>
      </c>
      <c r="BF37" s="28">
        <f>37</f>
        <v>37</v>
      </c>
      <c r="BH37" s="28">
        <f>F37*AO37</f>
        <v>0</v>
      </c>
      <c r="BI37" s="28">
        <f>F37*AP37</f>
        <v>0</v>
      </c>
      <c r="BJ37" s="28">
        <f>F37*G37</f>
        <v>0</v>
      </c>
      <c r="BK37" s="30" t="s">
        <v>61</v>
      </c>
      <c r="BL37" s="28">
        <v>94</v>
      </c>
      <c r="BW37" s="28">
        <v>21</v>
      </c>
      <c r="BX37" s="4" t="s">
        <v>136</v>
      </c>
    </row>
    <row r="38" spans="1:76" x14ac:dyDescent="0.25">
      <c r="A38" s="24" t="s">
        <v>49</v>
      </c>
      <c r="B38" s="25" t="s">
        <v>138</v>
      </c>
      <c r="C38" s="247" t="s">
        <v>139</v>
      </c>
      <c r="D38" s="248"/>
      <c r="E38" s="26" t="s">
        <v>4</v>
      </c>
      <c r="F38" s="26" t="s">
        <v>4</v>
      </c>
      <c r="G38" s="26" t="s">
        <v>4</v>
      </c>
      <c r="H38" s="1">
        <f>SUM(H39:H43)</f>
        <v>0</v>
      </c>
      <c r="I38" s="1">
        <f>SUM(I39:I43)</f>
        <v>0</v>
      </c>
      <c r="J38" s="1">
        <f>SUM(J39:J43)</f>
        <v>0</v>
      </c>
      <c r="K38" s="27" t="s">
        <v>49</v>
      </c>
      <c r="AI38" s="10" t="s">
        <v>53</v>
      </c>
      <c r="AS38" s="1">
        <f>SUM(AJ39:AJ43)</f>
        <v>0</v>
      </c>
      <c r="AT38" s="1">
        <f>SUM(AK39:AK43)</f>
        <v>0</v>
      </c>
      <c r="AU38" s="1">
        <f>SUM(AL39:AL43)</f>
        <v>0</v>
      </c>
    </row>
    <row r="39" spans="1:76" x14ac:dyDescent="0.25">
      <c r="A39" s="2" t="s">
        <v>140</v>
      </c>
      <c r="B39" s="3" t="s">
        <v>141</v>
      </c>
      <c r="C39" s="193" t="s">
        <v>142</v>
      </c>
      <c r="D39" s="194"/>
      <c r="E39" s="3" t="s">
        <v>143</v>
      </c>
      <c r="F39" s="28">
        <v>8</v>
      </c>
      <c r="G39" s="299">
        <v>0</v>
      </c>
      <c r="H39" s="28">
        <f>ROUND(F39*AO39,2)</f>
        <v>0</v>
      </c>
      <c r="I39" s="28">
        <f>ROUND(F39*AP39,2)</f>
        <v>0</v>
      </c>
      <c r="J39" s="28">
        <f>ROUND(F39*G39,2)</f>
        <v>0</v>
      </c>
      <c r="K39" s="29" t="s">
        <v>129</v>
      </c>
      <c r="Z39" s="28">
        <f>ROUND(IF(AQ39="5",BJ39,0),2)</f>
        <v>0</v>
      </c>
      <c r="AB39" s="28">
        <f>ROUND(IF(AQ39="1",BH39,0),2)</f>
        <v>0</v>
      </c>
      <c r="AC39" s="28">
        <f>ROUND(IF(AQ39="1",BI39,0),2)</f>
        <v>0</v>
      </c>
      <c r="AD39" s="28">
        <f>ROUND(IF(AQ39="7",BH39,0),2)</f>
        <v>0</v>
      </c>
      <c r="AE39" s="28">
        <f>ROUND(IF(AQ39="7",BI39,0),2)</f>
        <v>0</v>
      </c>
      <c r="AF39" s="28">
        <f>ROUND(IF(AQ39="2",BH39,0),2)</f>
        <v>0</v>
      </c>
      <c r="AG39" s="28">
        <f>ROUND(IF(AQ39="2",BI39,0),2)</f>
        <v>0</v>
      </c>
      <c r="AH39" s="28">
        <f>ROUND(IF(AQ39="0",BJ39,0),2)</f>
        <v>0</v>
      </c>
      <c r="AI39" s="10" t="s">
        <v>53</v>
      </c>
      <c r="AJ39" s="28">
        <f>IF(AN39=0,J39,0)</f>
        <v>0</v>
      </c>
      <c r="AK39" s="28">
        <f>IF(AN39=12,J39,0)</f>
        <v>0</v>
      </c>
      <c r="AL39" s="28">
        <f>IF(AN39=21,J39,0)</f>
        <v>0</v>
      </c>
      <c r="AN39" s="28">
        <v>21</v>
      </c>
      <c r="AO39" s="28">
        <f>G39*0.141145374</f>
        <v>0</v>
      </c>
      <c r="AP39" s="28">
        <f>G39*(1-0.141145374)</f>
        <v>0</v>
      </c>
      <c r="AQ39" s="30" t="s">
        <v>54</v>
      </c>
      <c r="AV39" s="28">
        <f>ROUND(AW39+AX39,2)</f>
        <v>0</v>
      </c>
      <c r="AW39" s="28">
        <f>ROUND(F39*AO39,2)</f>
        <v>0</v>
      </c>
      <c r="AX39" s="28">
        <f>ROUND(F39*AP39,2)</f>
        <v>0</v>
      </c>
      <c r="AY39" s="30" t="s">
        <v>144</v>
      </c>
      <c r="AZ39" s="30" t="s">
        <v>108</v>
      </c>
      <c r="BA39" s="10" t="s">
        <v>60</v>
      </c>
      <c r="BC39" s="28">
        <f>AW39+AX39</f>
        <v>0</v>
      </c>
      <c r="BD39" s="28">
        <f>G39/(100-BE39)*100</f>
        <v>0</v>
      </c>
      <c r="BE39" s="28">
        <v>0</v>
      </c>
      <c r="BF39" s="28">
        <f>39</f>
        <v>39</v>
      </c>
      <c r="BH39" s="28">
        <f>F39*AO39</f>
        <v>0</v>
      </c>
      <c r="BI39" s="28">
        <f>F39*AP39</f>
        <v>0</v>
      </c>
      <c r="BJ39" s="28">
        <f>F39*G39</f>
        <v>0</v>
      </c>
      <c r="BK39" s="30" t="s">
        <v>61</v>
      </c>
      <c r="BL39" s="28">
        <v>95</v>
      </c>
      <c r="BW39" s="28">
        <v>21</v>
      </c>
      <c r="BX39" s="4" t="s">
        <v>142</v>
      </c>
    </row>
    <row r="40" spans="1:76" x14ac:dyDescent="0.25">
      <c r="A40" s="2" t="s">
        <v>145</v>
      </c>
      <c r="B40" s="3" t="s">
        <v>146</v>
      </c>
      <c r="C40" s="193" t="s">
        <v>147</v>
      </c>
      <c r="D40" s="194"/>
      <c r="E40" s="3" t="s">
        <v>143</v>
      </c>
      <c r="F40" s="28">
        <v>8</v>
      </c>
      <c r="G40" s="299">
        <v>0</v>
      </c>
      <c r="H40" s="28">
        <f>ROUND(F40*AO40,2)</f>
        <v>0</v>
      </c>
      <c r="I40" s="28">
        <f>ROUND(F40*AP40,2)</f>
        <v>0</v>
      </c>
      <c r="J40" s="28">
        <f>ROUND(F40*G40,2)</f>
        <v>0</v>
      </c>
      <c r="K40" s="29" t="s">
        <v>129</v>
      </c>
      <c r="Z40" s="28">
        <f>ROUND(IF(AQ40="5",BJ40,0),2)</f>
        <v>0</v>
      </c>
      <c r="AB40" s="28">
        <f>ROUND(IF(AQ40="1",BH40,0),2)</f>
        <v>0</v>
      </c>
      <c r="AC40" s="28">
        <f>ROUND(IF(AQ40="1",BI40,0),2)</f>
        <v>0</v>
      </c>
      <c r="AD40" s="28">
        <f>ROUND(IF(AQ40="7",BH40,0),2)</f>
        <v>0</v>
      </c>
      <c r="AE40" s="28">
        <f>ROUND(IF(AQ40="7",BI40,0),2)</f>
        <v>0</v>
      </c>
      <c r="AF40" s="28">
        <f>ROUND(IF(AQ40="2",BH40,0),2)</f>
        <v>0</v>
      </c>
      <c r="AG40" s="28">
        <f>ROUND(IF(AQ40="2",BI40,0),2)</f>
        <v>0</v>
      </c>
      <c r="AH40" s="28">
        <f>ROUND(IF(AQ40="0",BJ40,0),2)</f>
        <v>0</v>
      </c>
      <c r="AI40" s="10" t="s">
        <v>53</v>
      </c>
      <c r="AJ40" s="28">
        <f>IF(AN40=0,J40,0)</f>
        <v>0</v>
      </c>
      <c r="AK40" s="28">
        <f>IF(AN40=12,J40,0)</f>
        <v>0</v>
      </c>
      <c r="AL40" s="28">
        <f>IF(AN40=21,J40,0)</f>
        <v>0</v>
      </c>
      <c r="AN40" s="28">
        <v>21</v>
      </c>
      <c r="AO40" s="28">
        <f>G40*0</f>
        <v>0</v>
      </c>
      <c r="AP40" s="28">
        <f>G40*(1-0)</f>
        <v>0</v>
      </c>
      <c r="AQ40" s="30" t="s">
        <v>54</v>
      </c>
      <c r="AV40" s="28">
        <f>ROUND(AW40+AX40,2)</f>
        <v>0</v>
      </c>
      <c r="AW40" s="28">
        <f>ROUND(F40*AO40,2)</f>
        <v>0</v>
      </c>
      <c r="AX40" s="28">
        <f>ROUND(F40*AP40,2)</f>
        <v>0</v>
      </c>
      <c r="AY40" s="30" t="s">
        <v>144</v>
      </c>
      <c r="AZ40" s="30" t="s">
        <v>108</v>
      </c>
      <c r="BA40" s="10" t="s">
        <v>60</v>
      </c>
      <c r="BC40" s="28">
        <f>AW40+AX40</f>
        <v>0</v>
      </c>
      <c r="BD40" s="28">
        <f>G40/(100-BE40)*100</f>
        <v>0</v>
      </c>
      <c r="BE40" s="28">
        <v>0</v>
      </c>
      <c r="BF40" s="28">
        <f>40</f>
        <v>40</v>
      </c>
      <c r="BH40" s="28">
        <f>F40*AO40</f>
        <v>0</v>
      </c>
      <c r="BI40" s="28">
        <f>F40*AP40</f>
        <v>0</v>
      </c>
      <c r="BJ40" s="28">
        <f>F40*G40</f>
        <v>0</v>
      </c>
      <c r="BK40" s="30" t="s">
        <v>61</v>
      </c>
      <c r="BL40" s="28">
        <v>95</v>
      </c>
      <c r="BW40" s="28">
        <v>21</v>
      </c>
      <c r="BX40" s="4" t="s">
        <v>147</v>
      </c>
    </row>
    <row r="41" spans="1:76" x14ac:dyDescent="0.25">
      <c r="A41" s="2" t="s">
        <v>148</v>
      </c>
      <c r="B41" s="3" t="s">
        <v>149</v>
      </c>
      <c r="C41" s="193" t="s">
        <v>150</v>
      </c>
      <c r="D41" s="194"/>
      <c r="E41" s="3" t="s">
        <v>143</v>
      </c>
      <c r="F41" s="28">
        <v>8</v>
      </c>
      <c r="G41" s="299">
        <v>0</v>
      </c>
      <c r="H41" s="28">
        <f>ROUND(F41*AO41,2)</f>
        <v>0</v>
      </c>
      <c r="I41" s="28">
        <f>ROUND(F41*AP41,2)</f>
        <v>0</v>
      </c>
      <c r="J41" s="28">
        <f>ROUND(F41*G41,2)</f>
        <v>0</v>
      </c>
      <c r="K41" s="29" t="s">
        <v>129</v>
      </c>
      <c r="Z41" s="28">
        <f>ROUND(IF(AQ41="5",BJ41,0),2)</f>
        <v>0</v>
      </c>
      <c r="AB41" s="28">
        <f>ROUND(IF(AQ41="1",BH41,0),2)</f>
        <v>0</v>
      </c>
      <c r="AC41" s="28">
        <f>ROUND(IF(AQ41="1",BI41,0),2)</f>
        <v>0</v>
      </c>
      <c r="AD41" s="28">
        <f>ROUND(IF(AQ41="7",BH41,0),2)</f>
        <v>0</v>
      </c>
      <c r="AE41" s="28">
        <f>ROUND(IF(AQ41="7",BI41,0),2)</f>
        <v>0</v>
      </c>
      <c r="AF41" s="28">
        <f>ROUND(IF(AQ41="2",BH41,0),2)</f>
        <v>0</v>
      </c>
      <c r="AG41" s="28">
        <f>ROUND(IF(AQ41="2",BI41,0),2)</f>
        <v>0</v>
      </c>
      <c r="AH41" s="28">
        <f>ROUND(IF(AQ41="0",BJ41,0),2)</f>
        <v>0</v>
      </c>
      <c r="AI41" s="10" t="s">
        <v>53</v>
      </c>
      <c r="AJ41" s="28">
        <f>IF(AN41=0,J41,0)</f>
        <v>0</v>
      </c>
      <c r="AK41" s="28">
        <f>IF(AN41=12,J41,0)</f>
        <v>0</v>
      </c>
      <c r="AL41" s="28">
        <f>IF(AN41=21,J41,0)</f>
        <v>0</v>
      </c>
      <c r="AN41" s="28">
        <v>21</v>
      </c>
      <c r="AO41" s="28">
        <f>G41*0</f>
        <v>0</v>
      </c>
      <c r="AP41" s="28">
        <f>G41*(1-0)</f>
        <v>0</v>
      </c>
      <c r="AQ41" s="30" t="s">
        <v>54</v>
      </c>
      <c r="AV41" s="28">
        <f>ROUND(AW41+AX41,2)</f>
        <v>0</v>
      </c>
      <c r="AW41" s="28">
        <f>ROUND(F41*AO41,2)</f>
        <v>0</v>
      </c>
      <c r="AX41" s="28">
        <f>ROUND(F41*AP41,2)</f>
        <v>0</v>
      </c>
      <c r="AY41" s="30" t="s">
        <v>144</v>
      </c>
      <c r="AZ41" s="30" t="s">
        <v>108</v>
      </c>
      <c r="BA41" s="10" t="s">
        <v>60</v>
      </c>
      <c r="BC41" s="28">
        <f>AW41+AX41</f>
        <v>0</v>
      </c>
      <c r="BD41" s="28">
        <f>G41/(100-BE41)*100</f>
        <v>0</v>
      </c>
      <c r="BE41" s="28">
        <v>0</v>
      </c>
      <c r="BF41" s="28">
        <f>41</f>
        <v>41</v>
      </c>
      <c r="BH41" s="28">
        <f>F41*AO41</f>
        <v>0</v>
      </c>
      <c r="BI41" s="28">
        <f>F41*AP41</f>
        <v>0</v>
      </c>
      <c r="BJ41" s="28">
        <f>F41*G41</f>
        <v>0</v>
      </c>
      <c r="BK41" s="30" t="s">
        <v>61</v>
      </c>
      <c r="BL41" s="28">
        <v>95</v>
      </c>
      <c r="BW41" s="28">
        <v>21</v>
      </c>
      <c r="BX41" s="4" t="s">
        <v>150</v>
      </c>
    </row>
    <row r="42" spans="1:76" x14ac:dyDescent="0.25">
      <c r="A42" s="2" t="s">
        <v>151</v>
      </c>
      <c r="B42" s="3" t="s">
        <v>152</v>
      </c>
      <c r="C42" s="193" t="s">
        <v>153</v>
      </c>
      <c r="D42" s="194"/>
      <c r="E42" s="3" t="s">
        <v>143</v>
      </c>
      <c r="F42" s="28">
        <v>5</v>
      </c>
      <c r="G42" s="299">
        <v>0</v>
      </c>
      <c r="H42" s="28">
        <f>ROUND(F42*AO42,2)</f>
        <v>0</v>
      </c>
      <c r="I42" s="28">
        <f>ROUND(F42*AP42,2)</f>
        <v>0</v>
      </c>
      <c r="J42" s="28">
        <f>ROUND(F42*G42,2)</f>
        <v>0</v>
      </c>
      <c r="K42" s="29" t="s">
        <v>154</v>
      </c>
      <c r="Z42" s="28">
        <f>ROUND(IF(AQ42="5",BJ42,0),2)</f>
        <v>0</v>
      </c>
      <c r="AB42" s="28">
        <f>ROUND(IF(AQ42="1",BH42,0),2)</f>
        <v>0</v>
      </c>
      <c r="AC42" s="28">
        <f>ROUND(IF(AQ42="1",BI42,0),2)</f>
        <v>0</v>
      </c>
      <c r="AD42" s="28">
        <f>ROUND(IF(AQ42="7",BH42,0),2)</f>
        <v>0</v>
      </c>
      <c r="AE42" s="28">
        <f>ROUND(IF(AQ42="7",BI42,0),2)</f>
        <v>0</v>
      </c>
      <c r="AF42" s="28">
        <f>ROUND(IF(AQ42="2",BH42,0),2)</f>
        <v>0</v>
      </c>
      <c r="AG42" s="28">
        <f>ROUND(IF(AQ42="2",BI42,0),2)</f>
        <v>0</v>
      </c>
      <c r="AH42" s="28">
        <f>ROUND(IF(AQ42="0",BJ42,0),2)</f>
        <v>0</v>
      </c>
      <c r="AI42" s="10" t="s">
        <v>53</v>
      </c>
      <c r="AJ42" s="28">
        <f>IF(AN42=0,J42,0)</f>
        <v>0</v>
      </c>
      <c r="AK42" s="28">
        <f>IF(AN42=12,J42,0)</f>
        <v>0</v>
      </c>
      <c r="AL42" s="28">
        <f>IF(AN42=21,J42,0)</f>
        <v>0</v>
      </c>
      <c r="AN42" s="28">
        <v>21</v>
      </c>
      <c r="AO42" s="28">
        <f>G42*1</f>
        <v>0</v>
      </c>
      <c r="AP42" s="28">
        <f>G42*(1-1)</f>
        <v>0</v>
      </c>
      <c r="AQ42" s="30" t="s">
        <v>54</v>
      </c>
      <c r="AV42" s="28">
        <f>ROUND(AW42+AX42,2)</f>
        <v>0</v>
      </c>
      <c r="AW42" s="28">
        <f>ROUND(F42*AO42,2)</f>
        <v>0</v>
      </c>
      <c r="AX42" s="28">
        <f>ROUND(F42*AP42,2)</f>
        <v>0</v>
      </c>
      <c r="AY42" s="30" t="s">
        <v>144</v>
      </c>
      <c r="AZ42" s="30" t="s">
        <v>108</v>
      </c>
      <c r="BA42" s="10" t="s">
        <v>60</v>
      </c>
      <c r="BC42" s="28">
        <f>AW42+AX42</f>
        <v>0</v>
      </c>
      <c r="BD42" s="28">
        <f>G42/(100-BE42)*100</f>
        <v>0</v>
      </c>
      <c r="BE42" s="28">
        <v>0</v>
      </c>
      <c r="BF42" s="28">
        <f>42</f>
        <v>42</v>
      </c>
      <c r="BH42" s="28">
        <f>F42*AO42</f>
        <v>0</v>
      </c>
      <c r="BI42" s="28">
        <f>F42*AP42</f>
        <v>0</v>
      </c>
      <c r="BJ42" s="28">
        <f>F42*G42</f>
        <v>0</v>
      </c>
      <c r="BK42" s="30" t="s">
        <v>155</v>
      </c>
      <c r="BL42" s="28">
        <v>95</v>
      </c>
      <c r="BW42" s="28">
        <v>21</v>
      </c>
      <c r="BX42" s="4" t="s">
        <v>153</v>
      </c>
    </row>
    <row r="43" spans="1:76" x14ac:dyDescent="0.25">
      <c r="A43" s="2" t="s">
        <v>156</v>
      </c>
      <c r="B43" s="3" t="s">
        <v>157</v>
      </c>
      <c r="C43" s="193" t="s">
        <v>158</v>
      </c>
      <c r="D43" s="194"/>
      <c r="E43" s="3" t="s">
        <v>143</v>
      </c>
      <c r="F43" s="28">
        <v>3</v>
      </c>
      <c r="G43" s="299">
        <v>0</v>
      </c>
      <c r="H43" s="28">
        <f>ROUND(F43*AO43,2)</f>
        <v>0</v>
      </c>
      <c r="I43" s="28">
        <f>ROUND(F43*AP43,2)</f>
        <v>0</v>
      </c>
      <c r="J43" s="28">
        <f>ROUND(F43*G43,2)</f>
        <v>0</v>
      </c>
      <c r="K43" s="29" t="s">
        <v>159</v>
      </c>
      <c r="Z43" s="28">
        <f>ROUND(IF(AQ43="5",BJ43,0),2)</f>
        <v>0</v>
      </c>
      <c r="AB43" s="28">
        <f>ROUND(IF(AQ43="1",BH43,0),2)</f>
        <v>0</v>
      </c>
      <c r="AC43" s="28">
        <f>ROUND(IF(AQ43="1",BI43,0),2)</f>
        <v>0</v>
      </c>
      <c r="AD43" s="28">
        <f>ROUND(IF(AQ43="7",BH43,0),2)</f>
        <v>0</v>
      </c>
      <c r="AE43" s="28">
        <f>ROUND(IF(AQ43="7",BI43,0),2)</f>
        <v>0</v>
      </c>
      <c r="AF43" s="28">
        <f>ROUND(IF(AQ43="2",BH43,0),2)</f>
        <v>0</v>
      </c>
      <c r="AG43" s="28">
        <f>ROUND(IF(AQ43="2",BI43,0),2)</f>
        <v>0</v>
      </c>
      <c r="AH43" s="28">
        <f>ROUND(IF(AQ43="0",BJ43,0),2)</f>
        <v>0</v>
      </c>
      <c r="AI43" s="10" t="s">
        <v>53</v>
      </c>
      <c r="AJ43" s="28">
        <f>IF(AN43=0,J43,0)</f>
        <v>0</v>
      </c>
      <c r="AK43" s="28">
        <f>IF(AN43=12,J43,0)</f>
        <v>0</v>
      </c>
      <c r="AL43" s="28">
        <f>IF(AN43=21,J43,0)</f>
        <v>0</v>
      </c>
      <c r="AN43" s="28">
        <v>21</v>
      </c>
      <c r="AO43" s="28">
        <f>G43*1</f>
        <v>0</v>
      </c>
      <c r="AP43" s="28">
        <f>G43*(1-1)</f>
        <v>0</v>
      </c>
      <c r="AQ43" s="30" t="s">
        <v>54</v>
      </c>
      <c r="AV43" s="28">
        <f>ROUND(AW43+AX43,2)</f>
        <v>0</v>
      </c>
      <c r="AW43" s="28">
        <f>ROUND(F43*AO43,2)</f>
        <v>0</v>
      </c>
      <c r="AX43" s="28">
        <f>ROUND(F43*AP43,2)</f>
        <v>0</v>
      </c>
      <c r="AY43" s="30" t="s">
        <v>144</v>
      </c>
      <c r="AZ43" s="30" t="s">
        <v>108</v>
      </c>
      <c r="BA43" s="10" t="s">
        <v>60</v>
      </c>
      <c r="BC43" s="28">
        <f>AW43+AX43</f>
        <v>0</v>
      </c>
      <c r="BD43" s="28">
        <f>G43/(100-BE43)*100</f>
        <v>0</v>
      </c>
      <c r="BE43" s="28">
        <v>0</v>
      </c>
      <c r="BF43" s="28">
        <f>43</f>
        <v>43</v>
      </c>
      <c r="BH43" s="28">
        <f>F43*AO43</f>
        <v>0</v>
      </c>
      <c r="BI43" s="28">
        <f>F43*AP43</f>
        <v>0</v>
      </c>
      <c r="BJ43" s="28">
        <f>F43*G43</f>
        <v>0</v>
      </c>
      <c r="BK43" s="30" t="s">
        <v>155</v>
      </c>
      <c r="BL43" s="28">
        <v>95</v>
      </c>
      <c r="BW43" s="28">
        <v>21</v>
      </c>
      <c r="BX43" s="4" t="s">
        <v>158</v>
      </c>
    </row>
    <row r="44" spans="1:76" x14ac:dyDescent="0.25">
      <c r="A44" s="24" t="s">
        <v>49</v>
      </c>
      <c r="B44" s="25" t="s">
        <v>160</v>
      </c>
      <c r="C44" s="247" t="s">
        <v>161</v>
      </c>
      <c r="D44" s="248"/>
      <c r="E44" s="26" t="s">
        <v>4</v>
      </c>
      <c r="F44" s="26" t="s">
        <v>4</v>
      </c>
      <c r="G44" s="26" t="s">
        <v>4</v>
      </c>
      <c r="H44" s="1">
        <f>SUM(H45:H49)</f>
        <v>0</v>
      </c>
      <c r="I44" s="1">
        <f>SUM(I45:I49)</f>
        <v>0</v>
      </c>
      <c r="J44" s="1">
        <f>SUM(J45:J49)</f>
        <v>0</v>
      </c>
      <c r="K44" s="27" t="s">
        <v>49</v>
      </c>
      <c r="AI44" s="10" t="s">
        <v>53</v>
      </c>
      <c r="AS44" s="1">
        <f>SUM(AJ45:AJ49)</f>
        <v>0</v>
      </c>
      <c r="AT44" s="1">
        <f>SUM(AK45:AK49)</f>
        <v>0</v>
      </c>
      <c r="AU44" s="1">
        <f>SUM(AL45:AL49)</f>
        <v>0</v>
      </c>
    </row>
    <row r="45" spans="1:76" x14ac:dyDescent="0.25">
      <c r="A45" s="2" t="s">
        <v>162</v>
      </c>
      <c r="B45" s="3" t="s">
        <v>163</v>
      </c>
      <c r="C45" s="193" t="s">
        <v>164</v>
      </c>
      <c r="D45" s="194"/>
      <c r="E45" s="3" t="s">
        <v>57</v>
      </c>
      <c r="F45" s="28">
        <v>14</v>
      </c>
      <c r="G45" s="299">
        <v>0</v>
      </c>
      <c r="H45" s="28">
        <f>ROUND(F45*AO45,2)</f>
        <v>0</v>
      </c>
      <c r="I45" s="28">
        <f>ROUND(F45*AP45,2)</f>
        <v>0</v>
      </c>
      <c r="J45" s="28">
        <f>ROUND(F45*G45,2)</f>
        <v>0</v>
      </c>
      <c r="K45" s="29" t="s">
        <v>49</v>
      </c>
      <c r="Z45" s="28">
        <f>ROUND(IF(AQ45="5",BJ45,0),2)</f>
        <v>0</v>
      </c>
      <c r="AB45" s="28">
        <f>ROUND(IF(AQ45="1",BH45,0),2)</f>
        <v>0</v>
      </c>
      <c r="AC45" s="28">
        <f>ROUND(IF(AQ45="1",BI45,0),2)</f>
        <v>0</v>
      </c>
      <c r="AD45" s="28">
        <f>ROUND(IF(AQ45="7",BH45,0),2)</f>
        <v>0</v>
      </c>
      <c r="AE45" s="28">
        <f>ROUND(IF(AQ45="7",BI45,0),2)</f>
        <v>0</v>
      </c>
      <c r="AF45" s="28">
        <f>ROUND(IF(AQ45="2",BH45,0),2)</f>
        <v>0</v>
      </c>
      <c r="AG45" s="28">
        <f>ROUND(IF(AQ45="2",BI45,0),2)</f>
        <v>0</v>
      </c>
      <c r="AH45" s="28">
        <f>ROUND(IF(AQ45="0",BJ45,0),2)</f>
        <v>0</v>
      </c>
      <c r="AI45" s="10" t="s">
        <v>53</v>
      </c>
      <c r="AJ45" s="28">
        <f>IF(AN45=0,J45,0)</f>
        <v>0</v>
      </c>
      <c r="AK45" s="28">
        <f>IF(AN45=12,J45,0)</f>
        <v>0</v>
      </c>
      <c r="AL45" s="28">
        <f>IF(AN45=21,J45,0)</f>
        <v>0</v>
      </c>
      <c r="AN45" s="28">
        <v>21</v>
      </c>
      <c r="AO45" s="28">
        <f>G45*1</f>
        <v>0</v>
      </c>
      <c r="AP45" s="28">
        <f>G45*(1-1)</f>
        <v>0</v>
      </c>
      <c r="AQ45" s="30" t="s">
        <v>54</v>
      </c>
      <c r="AV45" s="28">
        <f>ROUND(AW45+AX45,2)</f>
        <v>0</v>
      </c>
      <c r="AW45" s="28">
        <f>ROUND(F45*AO45,2)</f>
        <v>0</v>
      </c>
      <c r="AX45" s="28">
        <f>ROUND(F45*AP45,2)</f>
        <v>0</v>
      </c>
      <c r="AY45" s="30" t="s">
        <v>165</v>
      </c>
      <c r="AZ45" s="30" t="s">
        <v>108</v>
      </c>
      <c r="BA45" s="10" t="s">
        <v>60</v>
      </c>
      <c r="BC45" s="28">
        <f>AW45+AX45</f>
        <v>0</v>
      </c>
      <c r="BD45" s="28">
        <f>G45/(100-BE45)*100</f>
        <v>0</v>
      </c>
      <c r="BE45" s="28">
        <v>0</v>
      </c>
      <c r="BF45" s="28">
        <f>45</f>
        <v>45</v>
      </c>
      <c r="BH45" s="28">
        <f>F45*AO45</f>
        <v>0</v>
      </c>
      <c r="BI45" s="28">
        <f>F45*AP45</f>
        <v>0</v>
      </c>
      <c r="BJ45" s="28">
        <f>F45*G45</f>
        <v>0</v>
      </c>
      <c r="BK45" s="30" t="s">
        <v>61</v>
      </c>
      <c r="BL45" s="28">
        <v>952</v>
      </c>
      <c r="BW45" s="28">
        <v>21</v>
      </c>
      <c r="BX45" s="4" t="s">
        <v>164</v>
      </c>
    </row>
    <row r="46" spans="1:76" x14ac:dyDescent="0.25">
      <c r="A46" s="2" t="s">
        <v>166</v>
      </c>
      <c r="B46" s="3" t="s">
        <v>167</v>
      </c>
      <c r="C46" s="193" t="s">
        <v>168</v>
      </c>
      <c r="D46" s="194"/>
      <c r="E46" s="3" t="s">
        <v>57</v>
      </c>
      <c r="F46" s="28">
        <v>14</v>
      </c>
      <c r="G46" s="299">
        <v>0</v>
      </c>
      <c r="H46" s="28">
        <f>ROUND(F46*AO46,2)</f>
        <v>0</v>
      </c>
      <c r="I46" s="28">
        <f>ROUND(F46*AP46,2)</f>
        <v>0</v>
      </c>
      <c r="J46" s="28">
        <f>ROUND(F46*G46,2)</f>
        <v>0</v>
      </c>
      <c r="K46" s="29" t="s">
        <v>49</v>
      </c>
      <c r="Z46" s="28">
        <f>ROUND(IF(AQ46="5",BJ46,0),2)</f>
        <v>0</v>
      </c>
      <c r="AB46" s="28">
        <f>ROUND(IF(AQ46="1",BH46,0),2)</f>
        <v>0</v>
      </c>
      <c r="AC46" s="28">
        <f>ROUND(IF(AQ46="1",BI46,0),2)</f>
        <v>0</v>
      </c>
      <c r="AD46" s="28">
        <f>ROUND(IF(AQ46="7",BH46,0),2)</f>
        <v>0</v>
      </c>
      <c r="AE46" s="28">
        <f>ROUND(IF(AQ46="7",BI46,0),2)</f>
        <v>0</v>
      </c>
      <c r="AF46" s="28">
        <f>ROUND(IF(AQ46="2",BH46,0),2)</f>
        <v>0</v>
      </c>
      <c r="AG46" s="28">
        <f>ROUND(IF(AQ46="2",BI46,0),2)</f>
        <v>0</v>
      </c>
      <c r="AH46" s="28">
        <f>ROUND(IF(AQ46="0",BJ46,0),2)</f>
        <v>0</v>
      </c>
      <c r="AI46" s="10" t="s">
        <v>53</v>
      </c>
      <c r="AJ46" s="28">
        <f>IF(AN46=0,J46,0)</f>
        <v>0</v>
      </c>
      <c r="AK46" s="28">
        <f>IF(AN46=12,J46,0)</f>
        <v>0</v>
      </c>
      <c r="AL46" s="28">
        <f>IF(AN46=21,J46,0)</f>
        <v>0</v>
      </c>
      <c r="AN46" s="28">
        <v>21</v>
      </c>
      <c r="AO46" s="28">
        <f>G46*1</f>
        <v>0</v>
      </c>
      <c r="AP46" s="28">
        <f>G46*(1-1)</f>
        <v>0</v>
      </c>
      <c r="AQ46" s="30" t="s">
        <v>54</v>
      </c>
      <c r="AV46" s="28">
        <f>ROUND(AW46+AX46,2)</f>
        <v>0</v>
      </c>
      <c r="AW46" s="28">
        <f>ROUND(F46*AO46,2)</f>
        <v>0</v>
      </c>
      <c r="AX46" s="28">
        <f>ROUND(F46*AP46,2)</f>
        <v>0</v>
      </c>
      <c r="AY46" s="30" t="s">
        <v>165</v>
      </c>
      <c r="AZ46" s="30" t="s">
        <v>108</v>
      </c>
      <c r="BA46" s="10" t="s">
        <v>60</v>
      </c>
      <c r="BC46" s="28">
        <f>AW46+AX46</f>
        <v>0</v>
      </c>
      <c r="BD46" s="28">
        <f>G46/(100-BE46)*100</f>
        <v>0</v>
      </c>
      <c r="BE46" s="28">
        <v>0</v>
      </c>
      <c r="BF46" s="28">
        <f>46</f>
        <v>46</v>
      </c>
      <c r="BH46" s="28">
        <f>F46*AO46</f>
        <v>0</v>
      </c>
      <c r="BI46" s="28">
        <f>F46*AP46</f>
        <v>0</v>
      </c>
      <c r="BJ46" s="28">
        <f>F46*G46</f>
        <v>0</v>
      </c>
      <c r="BK46" s="30" t="s">
        <v>61</v>
      </c>
      <c r="BL46" s="28">
        <v>952</v>
      </c>
      <c r="BW46" s="28">
        <v>21</v>
      </c>
      <c r="BX46" s="4" t="s">
        <v>168</v>
      </c>
    </row>
    <row r="47" spans="1:76" x14ac:dyDescent="0.25">
      <c r="A47" s="2" t="s">
        <v>169</v>
      </c>
      <c r="B47" s="3" t="s">
        <v>170</v>
      </c>
      <c r="C47" s="193" t="s">
        <v>171</v>
      </c>
      <c r="D47" s="194"/>
      <c r="E47" s="3" t="s">
        <v>57</v>
      </c>
      <c r="F47" s="28">
        <v>9</v>
      </c>
      <c r="G47" s="299">
        <v>0</v>
      </c>
      <c r="H47" s="28">
        <f>ROUND(F47*AO47,2)</f>
        <v>0</v>
      </c>
      <c r="I47" s="28">
        <f>ROUND(F47*AP47,2)</f>
        <v>0</v>
      </c>
      <c r="J47" s="28">
        <f>ROUND(F47*G47,2)</f>
        <v>0</v>
      </c>
      <c r="K47" s="29" t="s">
        <v>49</v>
      </c>
      <c r="Z47" s="28">
        <f>ROUND(IF(AQ47="5",BJ47,0),2)</f>
        <v>0</v>
      </c>
      <c r="AB47" s="28">
        <f>ROUND(IF(AQ47="1",BH47,0),2)</f>
        <v>0</v>
      </c>
      <c r="AC47" s="28">
        <f>ROUND(IF(AQ47="1",BI47,0),2)</f>
        <v>0</v>
      </c>
      <c r="AD47" s="28">
        <f>ROUND(IF(AQ47="7",BH47,0),2)</f>
        <v>0</v>
      </c>
      <c r="AE47" s="28">
        <f>ROUND(IF(AQ47="7",BI47,0),2)</f>
        <v>0</v>
      </c>
      <c r="AF47" s="28">
        <f>ROUND(IF(AQ47="2",BH47,0),2)</f>
        <v>0</v>
      </c>
      <c r="AG47" s="28">
        <f>ROUND(IF(AQ47="2",BI47,0),2)</f>
        <v>0</v>
      </c>
      <c r="AH47" s="28">
        <f>ROUND(IF(AQ47="0",BJ47,0),2)</f>
        <v>0</v>
      </c>
      <c r="AI47" s="10" t="s">
        <v>53</v>
      </c>
      <c r="AJ47" s="28">
        <f>IF(AN47=0,J47,0)</f>
        <v>0</v>
      </c>
      <c r="AK47" s="28">
        <f>IF(AN47=12,J47,0)</f>
        <v>0</v>
      </c>
      <c r="AL47" s="28">
        <f>IF(AN47=21,J47,0)</f>
        <v>0</v>
      </c>
      <c r="AN47" s="28">
        <v>21</v>
      </c>
      <c r="AO47" s="28">
        <f>G47*1</f>
        <v>0</v>
      </c>
      <c r="AP47" s="28">
        <f>G47*(1-1)</f>
        <v>0</v>
      </c>
      <c r="AQ47" s="30" t="s">
        <v>54</v>
      </c>
      <c r="AV47" s="28">
        <f>ROUND(AW47+AX47,2)</f>
        <v>0</v>
      </c>
      <c r="AW47" s="28">
        <f>ROUND(F47*AO47,2)</f>
        <v>0</v>
      </c>
      <c r="AX47" s="28">
        <f>ROUND(F47*AP47,2)</f>
        <v>0</v>
      </c>
      <c r="AY47" s="30" t="s">
        <v>165</v>
      </c>
      <c r="AZ47" s="30" t="s">
        <v>108</v>
      </c>
      <c r="BA47" s="10" t="s">
        <v>60</v>
      </c>
      <c r="BC47" s="28">
        <f>AW47+AX47</f>
        <v>0</v>
      </c>
      <c r="BD47" s="28">
        <f>G47/(100-BE47)*100</f>
        <v>0</v>
      </c>
      <c r="BE47" s="28">
        <v>0</v>
      </c>
      <c r="BF47" s="28">
        <f>47</f>
        <v>47</v>
      </c>
      <c r="BH47" s="28">
        <f>F47*AO47</f>
        <v>0</v>
      </c>
      <c r="BI47" s="28">
        <f>F47*AP47</f>
        <v>0</v>
      </c>
      <c r="BJ47" s="28">
        <f>F47*G47</f>
        <v>0</v>
      </c>
      <c r="BK47" s="30" t="s">
        <v>61</v>
      </c>
      <c r="BL47" s="28">
        <v>952</v>
      </c>
      <c r="BW47" s="28">
        <v>21</v>
      </c>
      <c r="BX47" s="4" t="s">
        <v>171</v>
      </c>
    </row>
    <row r="48" spans="1:76" x14ac:dyDescent="0.25">
      <c r="A48" s="2" t="s">
        <v>172</v>
      </c>
      <c r="B48" s="3" t="s">
        <v>173</v>
      </c>
      <c r="C48" s="193" t="s">
        <v>174</v>
      </c>
      <c r="D48" s="194"/>
      <c r="E48" s="3" t="s">
        <v>57</v>
      </c>
      <c r="F48" s="28">
        <v>23</v>
      </c>
      <c r="G48" s="299">
        <v>0</v>
      </c>
      <c r="H48" s="28">
        <f>ROUND(F48*AO48,2)</f>
        <v>0</v>
      </c>
      <c r="I48" s="28">
        <f>ROUND(F48*AP48,2)</f>
        <v>0</v>
      </c>
      <c r="J48" s="28">
        <f>ROUND(F48*G48,2)</f>
        <v>0</v>
      </c>
      <c r="K48" s="29" t="s">
        <v>49</v>
      </c>
      <c r="Z48" s="28">
        <f>ROUND(IF(AQ48="5",BJ48,0),2)</f>
        <v>0</v>
      </c>
      <c r="AB48" s="28">
        <f>ROUND(IF(AQ48="1",BH48,0),2)</f>
        <v>0</v>
      </c>
      <c r="AC48" s="28">
        <f>ROUND(IF(AQ48="1",BI48,0),2)</f>
        <v>0</v>
      </c>
      <c r="AD48" s="28">
        <f>ROUND(IF(AQ48="7",BH48,0),2)</f>
        <v>0</v>
      </c>
      <c r="AE48" s="28">
        <f>ROUND(IF(AQ48="7",BI48,0),2)</f>
        <v>0</v>
      </c>
      <c r="AF48" s="28">
        <f>ROUND(IF(AQ48="2",BH48,0),2)</f>
        <v>0</v>
      </c>
      <c r="AG48" s="28">
        <f>ROUND(IF(AQ48="2",BI48,0),2)</f>
        <v>0</v>
      </c>
      <c r="AH48" s="28">
        <f>ROUND(IF(AQ48="0",BJ48,0),2)</f>
        <v>0</v>
      </c>
      <c r="AI48" s="10" t="s">
        <v>53</v>
      </c>
      <c r="AJ48" s="28">
        <f>IF(AN48=0,J48,0)</f>
        <v>0</v>
      </c>
      <c r="AK48" s="28">
        <f>IF(AN48=12,J48,0)</f>
        <v>0</v>
      </c>
      <c r="AL48" s="28">
        <f>IF(AN48=21,J48,0)</f>
        <v>0</v>
      </c>
      <c r="AN48" s="28">
        <v>21</v>
      </c>
      <c r="AO48" s="28">
        <f>G48*1</f>
        <v>0</v>
      </c>
      <c r="AP48" s="28">
        <f>G48*(1-1)</f>
        <v>0</v>
      </c>
      <c r="AQ48" s="30" t="s">
        <v>54</v>
      </c>
      <c r="AV48" s="28">
        <f>ROUND(AW48+AX48,2)</f>
        <v>0</v>
      </c>
      <c r="AW48" s="28">
        <f>ROUND(F48*AO48,2)</f>
        <v>0</v>
      </c>
      <c r="AX48" s="28">
        <f>ROUND(F48*AP48,2)</f>
        <v>0</v>
      </c>
      <c r="AY48" s="30" t="s">
        <v>165</v>
      </c>
      <c r="AZ48" s="30" t="s">
        <v>108</v>
      </c>
      <c r="BA48" s="10" t="s">
        <v>60</v>
      </c>
      <c r="BC48" s="28">
        <f>AW48+AX48</f>
        <v>0</v>
      </c>
      <c r="BD48" s="28">
        <f>G48/(100-BE48)*100</f>
        <v>0</v>
      </c>
      <c r="BE48" s="28">
        <v>0</v>
      </c>
      <c r="BF48" s="28">
        <f>48</f>
        <v>48</v>
      </c>
      <c r="BH48" s="28">
        <f>F48*AO48</f>
        <v>0</v>
      </c>
      <c r="BI48" s="28">
        <f>F48*AP48</f>
        <v>0</v>
      </c>
      <c r="BJ48" s="28">
        <f>F48*G48</f>
        <v>0</v>
      </c>
      <c r="BK48" s="30" t="s">
        <v>61</v>
      </c>
      <c r="BL48" s="28">
        <v>952</v>
      </c>
      <c r="BW48" s="28">
        <v>21</v>
      </c>
      <c r="BX48" s="4" t="s">
        <v>174</v>
      </c>
    </row>
    <row r="49" spans="1:76" x14ac:dyDescent="0.25">
      <c r="A49" s="2" t="s">
        <v>175</v>
      </c>
      <c r="B49" s="3" t="s">
        <v>176</v>
      </c>
      <c r="C49" s="193" t="s">
        <v>177</v>
      </c>
      <c r="D49" s="194"/>
      <c r="E49" s="3" t="s">
        <v>57</v>
      </c>
      <c r="F49" s="28">
        <v>14</v>
      </c>
      <c r="G49" s="299">
        <v>0</v>
      </c>
      <c r="H49" s="28">
        <f>ROUND(F49*AO49,2)</f>
        <v>0</v>
      </c>
      <c r="I49" s="28">
        <f>ROUND(F49*AP49,2)</f>
        <v>0</v>
      </c>
      <c r="J49" s="28">
        <f>ROUND(F49*G49,2)</f>
        <v>0</v>
      </c>
      <c r="K49" s="29" t="s">
        <v>49</v>
      </c>
      <c r="Z49" s="28">
        <f>ROUND(IF(AQ49="5",BJ49,0),2)</f>
        <v>0</v>
      </c>
      <c r="AB49" s="28">
        <f>ROUND(IF(AQ49="1",BH49,0),2)</f>
        <v>0</v>
      </c>
      <c r="AC49" s="28">
        <f>ROUND(IF(AQ49="1",BI49,0),2)</f>
        <v>0</v>
      </c>
      <c r="AD49" s="28">
        <f>ROUND(IF(AQ49="7",BH49,0),2)</f>
        <v>0</v>
      </c>
      <c r="AE49" s="28">
        <f>ROUND(IF(AQ49="7",BI49,0),2)</f>
        <v>0</v>
      </c>
      <c r="AF49" s="28">
        <f>ROUND(IF(AQ49="2",BH49,0),2)</f>
        <v>0</v>
      </c>
      <c r="AG49" s="28">
        <f>ROUND(IF(AQ49="2",BI49,0),2)</f>
        <v>0</v>
      </c>
      <c r="AH49" s="28">
        <f>ROUND(IF(AQ49="0",BJ49,0),2)</f>
        <v>0</v>
      </c>
      <c r="AI49" s="10" t="s">
        <v>53</v>
      </c>
      <c r="AJ49" s="28">
        <f>IF(AN49=0,J49,0)</f>
        <v>0</v>
      </c>
      <c r="AK49" s="28">
        <f>IF(AN49=12,J49,0)</f>
        <v>0</v>
      </c>
      <c r="AL49" s="28">
        <f>IF(AN49=21,J49,0)</f>
        <v>0</v>
      </c>
      <c r="AN49" s="28">
        <v>21</v>
      </c>
      <c r="AO49" s="28">
        <f>G49*1</f>
        <v>0</v>
      </c>
      <c r="AP49" s="28">
        <f>G49*(1-1)</f>
        <v>0</v>
      </c>
      <c r="AQ49" s="30" t="s">
        <v>54</v>
      </c>
      <c r="AV49" s="28">
        <f>ROUND(AW49+AX49,2)</f>
        <v>0</v>
      </c>
      <c r="AW49" s="28">
        <f>ROUND(F49*AO49,2)</f>
        <v>0</v>
      </c>
      <c r="AX49" s="28">
        <f>ROUND(F49*AP49,2)</f>
        <v>0</v>
      </c>
      <c r="AY49" s="30" t="s">
        <v>165</v>
      </c>
      <c r="AZ49" s="30" t="s">
        <v>108</v>
      </c>
      <c r="BA49" s="10" t="s">
        <v>60</v>
      </c>
      <c r="BC49" s="28">
        <f>AW49+AX49</f>
        <v>0</v>
      </c>
      <c r="BD49" s="28">
        <f>G49/(100-BE49)*100</f>
        <v>0</v>
      </c>
      <c r="BE49" s="28">
        <v>0</v>
      </c>
      <c r="BF49" s="28">
        <f>49</f>
        <v>49</v>
      </c>
      <c r="BH49" s="28">
        <f>F49*AO49</f>
        <v>0</v>
      </c>
      <c r="BI49" s="28">
        <f>F49*AP49</f>
        <v>0</v>
      </c>
      <c r="BJ49" s="28">
        <f>F49*G49</f>
        <v>0</v>
      </c>
      <c r="BK49" s="30" t="s">
        <v>61</v>
      </c>
      <c r="BL49" s="28">
        <v>952</v>
      </c>
      <c r="BW49" s="28">
        <v>21</v>
      </c>
      <c r="BX49" s="4" t="s">
        <v>177</v>
      </c>
    </row>
    <row r="50" spans="1:76" x14ac:dyDescent="0.25">
      <c r="A50" s="24" t="s">
        <v>49</v>
      </c>
      <c r="B50" s="25" t="s">
        <v>178</v>
      </c>
      <c r="C50" s="247" t="s">
        <v>179</v>
      </c>
      <c r="D50" s="248"/>
      <c r="E50" s="26" t="s">
        <v>4</v>
      </c>
      <c r="F50" s="26" t="s">
        <v>4</v>
      </c>
      <c r="G50" s="26" t="s">
        <v>4</v>
      </c>
      <c r="H50" s="1">
        <f>SUM(H51:H52)</f>
        <v>0</v>
      </c>
      <c r="I50" s="1">
        <f>SUM(I51:I52)</f>
        <v>0</v>
      </c>
      <c r="J50" s="1">
        <f>SUM(J51:J52)</f>
        <v>0</v>
      </c>
      <c r="K50" s="27" t="s">
        <v>49</v>
      </c>
      <c r="AI50" s="10" t="s">
        <v>53</v>
      </c>
      <c r="AS50" s="1">
        <f>SUM(AJ51:AJ52)</f>
        <v>0</v>
      </c>
      <c r="AT50" s="1">
        <f>SUM(AK51:AK52)</f>
        <v>0</v>
      </c>
      <c r="AU50" s="1">
        <f>SUM(AL51:AL52)</f>
        <v>0</v>
      </c>
    </row>
    <row r="51" spans="1:76" x14ac:dyDescent="0.25">
      <c r="A51" s="2" t="s">
        <v>180</v>
      </c>
      <c r="B51" s="3" t="s">
        <v>181</v>
      </c>
      <c r="C51" s="193" t="s">
        <v>182</v>
      </c>
      <c r="D51" s="194"/>
      <c r="E51" s="3" t="s">
        <v>183</v>
      </c>
      <c r="F51" s="28">
        <v>32</v>
      </c>
      <c r="G51" s="299">
        <v>0</v>
      </c>
      <c r="H51" s="28">
        <f>ROUND(F51*AO51,2)</f>
        <v>0</v>
      </c>
      <c r="I51" s="28">
        <f>ROUND(F51*AP51,2)</f>
        <v>0</v>
      </c>
      <c r="J51" s="28">
        <f>ROUND(F51*G51,2)</f>
        <v>0</v>
      </c>
      <c r="K51" s="29" t="s">
        <v>129</v>
      </c>
      <c r="Z51" s="28">
        <f>ROUND(IF(AQ51="5",BJ51,0),2)</f>
        <v>0</v>
      </c>
      <c r="AB51" s="28">
        <f>ROUND(IF(AQ51="1",BH51,0),2)</f>
        <v>0</v>
      </c>
      <c r="AC51" s="28">
        <f>ROUND(IF(AQ51="1",BI51,0),2)</f>
        <v>0</v>
      </c>
      <c r="AD51" s="28">
        <f>ROUND(IF(AQ51="7",BH51,0),2)</f>
        <v>0</v>
      </c>
      <c r="AE51" s="28">
        <f>ROUND(IF(AQ51="7",BI51,0),2)</f>
        <v>0</v>
      </c>
      <c r="AF51" s="28">
        <f>ROUND(IF(AQ51="2",BH51,0),2)</f>
        <v>0</v>
      </c>
      <c r="AG51" s="28">
        <f>ROUND(IF(AQ51="2",BI51,0),2)</f>
        <v>0</v>
      </c>
      <c r="AH51" s="28">
        <f>ROUND(IF(AQ51="0",BJ51,0),2)</f>
        <v>0</v>
      </c>
      <c r="AI51" s="10" t="s">
        <v>53</v>
      </c>
      <c r="AJ51" s="28">
        <f>IF(AN51=0,J51,0)</f>
        <v>0</v>
      </c>
      <c r="AK51" s="28">
        <f>IF(AN51=12,J51,0)</f>
        <v>0</v>
      </c>
      <c r="AL51" s="28">
        <f>IF(AN51=21,J51,0)</f>
        <v>0</v>
      </c>
      <c r="AN51" s="28">
        <v>21</v>
      </c>
      <c r="AO51" s="28">
        <f>G51*0.320499018</f>
        <v>0</v>
      </c>
      <c r="AP51" s="28">
        <f>G51*(1-0.320499018)</f>
        <v>0</v>
      </c>
      <c r="AQ51" s="30" t="s">
        <v>54</v>
      </c>
      <c r="AV51" s="28">
        <f>ROUND(AW51+AX51,2)</f>
        <v>0</v>
      </c>
      <c r="AW51" s="28">
        <f>ROUND(F51*AO51,2)</f>
        <v>0</v>
      </c>
      <c r="AX51" s="28">
        <f>ROUND(F51*AP51,2)</f>
        <v>0</v>
      </c>
      <c r="AY51" s="30" t="s">
        <v>184</v>
      </c>
      <c r="AZ51" s="30" t="s">
        <v>108</v>
      </c>
      <c r="BA51" s="10" t="s">
        <v>60</v>
      </c>
      <c r="BC51" s="28">
        <f>AW51+AX51</f>
        <v>0</v>
      </c>
      <c r="BD51" s="28">
        <f>G51/(100-BE51)*100</f>
        <v>0</v>
      </c>
      <c r="BE51" s="28">
        <v>0</v>
      </c>
      <c r="BF51" s="28">
        <f>51</f>
        <v>51</v>
      </c>
      <c r="BH51" s="28">
        <f>F51*AO51</f>
        <v>0</v>
      </c>
      <c r="BI51" s="28">
        <f>F51*AP51</f>
        <v>0</v>
      </c>
      <c r="BJ51" s="28">
        <f>F51*G51</f>
        <v>0</v>
      </c>
      <c r="BK51" s="30" t="s">
        <v>61</v>
      </c>
      <c r="BL51" s="28">
        <v>97</v>
      </c>
      <c r="BW51" s="28">
        <v>21</v>
      </c>
      <c r="BX51" s="4" t="s">
        <v>182</v>
      </c>
    </row>
    <row r="52" spans="1:76" x14ac:dyDescent="0.25">
      <c r="A52" s="2" t="s">
        <v>185</v>
      </c>
      <c r="B52" s="3" t="s">
        <v>186</v>
      </c>
      <c r="C52" s="193" t="s">
        <v>187</v>
      </c>
      <c r="D52" s="194"/>
      <c r="E52" s="3" t="s">
        <v>183</v>
      </c>
      <c r="F52" s="28">
        <v>11</v>
      </c>
      <c r="G52" s="299">
        <v>0</v>
      </c>
      <c r="H52" s="28">
        <f>ROUND(F52*AO52,2)</f>
        <v>0</v>
      </c>
      <c r="I52" s="28">
        <f>ROUND(F52*AP52,2)</f>
        <v>0</v>
      </c>
      <c r="J52" s="28">
        <f>ROUND(F52*G52,2)</f>
        <v>0</v>
      </c>
      <c r="K52" s="29" t="s">
        <v>129</v>
      </c>
      <c r="Z52" s="28">
        <f>ROUND(IF(AQ52="5",BJ52,0),2)</f>
        <v>0</v>
      </c>
      <c r="AB52" s="28">
        <f>ROUND(IF(AQ52="1",BH52,0),2)</f>
        <v>0</v>
      </c>
      <c r="AC52" s="28">
        <f>ROUND(IF(AQ52="1",BI52,0),2)</f>
        <v>0</v>
      </c>
      <c r="AD52" s="28">
        <f>ROUND(IF(AQ52="7",BH52,0),2)</f>
        <v>0</v>
      </c>
      <c r="AE52" s="28">
        <f>ROUND(IF(AQ52="7",BI52,0),2)</f>
        <v>0</v>
      </c>
      <c r="AF52" s="28">
        <f>ROUND(IF(AQ52="2",BH52,0),2)</f>
        <v>0</v>
      </c>
      <c r="AG52" s="28">
        <f>ROUND(IF(AQ52="2",BI52,0),2)</f>
        <v>0</v>
      </c>
      <c r="AH52" s="28">
        <f>ROUND(IF(AQ52="0",BJ52,0),2)</f>
        <v>0</v>
      </c>
      <c r="AI52" s="10" t="s">
        <v>53</v>
      </c>
      <c r="AJ52" s="28">
        <f>IF(AN52=0,J52,0)</f>
        <v>0</v>
      </c>
      <c r="AK52" s="28">
        <f>IF(AN52=12,J52,0)</f>
        <v>0</v>
      </c>
      <c r="AL52" s="28">
        <f>IF(AN52=21,J52,0)</f>
        <v>0</v>
      </c>
      <c r="AN52" s="28">
        <v>21</v>
      </c>
      <c r="AO52" s="28">
        <f>G52*0.317811594</f>
        <v>0</v>
      </c>
      <c r="AP52" s="28">
        <f>G52*(1-0.317811594)</f>
        <v>0</v>
      </c>
      <c r="AQ52" s="30" t="s">
        <v>54</v>
      </c>
      <c r="AV52" s="28">
        <f>ROUND(AW52+AX52,2)</f>
        <v>0</v>
      </c>
      <c r="AW52" s="28">
        <f>ROUND(F52*AO52,2)</f>
        <v>0</v>
      </c>
      <c r="AX52" s="28">
        <f>ROUND(F52*AP52,2)</f>
        <v>0</v>
      </c>
      <c r="AY52" s="30" t="s">
        <v>184</v>
      </c>
      <c r="AZ52" s="30" t="s">
        <v>108</v>
      </c>
      <c r="BA52" s="10" t="s">
        <v>60</v>
      </c>
      <c r="BC52" s="28">
        <f>AW52+AX52</f>
        <v>0</v>
      </c>
      <c r="BD52" s="28">
        <f>G52/(100-BE52)*100</f>
        <v>0</v>
      </c>
      <c r="BE52" s="28">
        <v>0</v>
      </c>
      <c r="BF52" s="28">
        <f>52</f>
        <v>52</v>
      </c>
      <c r="BH52" s="28">
        <f>F52*AO52</f>
        <v>0</v>
      </c>
      <c r="BI52" s="28">
        <f>F52*AP52</f>
        <v>0</v>
      </c>
      <c r="BJ52" s="28">
        <f>F52*G52</f>
        <v>0</v>
      </c>
      <c r="BK52" s="30" t="s">
        <v>61</v>
      </c>
      <c r="BL52" s="28">
        <v>97</v>
      </c>
      <c r="BW52" s="28">
        <v>21</v>
      </c>
      <c r="BX52" s="4" t="s">
        <v>187</v>
      </c>
    </row>
    <row r="53" spans="1:76" x14ac:dyDescent="0.25">
      <c r="A53" s="24" t="s">
        <v>49</v>
      </c>
      <c r="B53" s="25" t="s">
        <v>188</v>
      </c>
      <c r="C53" s="247" t="s">
        <v>189</v>
      </c>
      <c r="D53" s="248"/>
      <c r="E53" s="26" t="s">
        <v>4</v>
      </c>
      <c r="F53" s="26" t="s">
        <v>4</v>
      </c>
      <c r="G53" s="26" t="s">
        <v>4</v>
      </c>
      <c r="H53" s="1">
        <f>SUM(H54:H54)</f>
        <v>0</v>
      </c>
      <c r="I53" s="1">
        <f>SUM(I54:I54)</f>
        <v>0</v>
      </c>
      <c r="J53" s="1">
        <f>SUM(J54:J54)</f>
        <v>0</v>
      </c>
      <c r="K53" s="27" t="s">
        <v>49</v>
      </c>
      <c r="AI53" s="10" t="s">
        <v>53</v>
      </c>
      <c r="AS53" s="1">
        <f>SUM(AJ54:AJ54)</f>
        <v>0</v>
      </c>
      <c r="AT53" s="1">
        <f>SUM(AK54:AK54)</f>
        <v>0</v>
      </c>
      <c r="AU53" s="1">
        <f>SUM(AL54:AL54)</f>
        <v>0</v>
      </c>
    </row>
    <row r="54" spans="1:76" x14ac:dyDescent="0.25">
      <c r="A54" s="2" t="s">
        <v>190</v>
      </c>
      <c r="B54" s="3" t="s">
        <v>191</v>
      </c>
      <c r="C54" s="193" t="s">
        <v>192</v>
      </c>
      <c r="D54" s="194"/>
      <c r="E54" s="3" t="s">
        <v>193</v>
      </c>
      <c r="F54" s="28">
        <v>31.5</v>
      </c>
      <c r="G54" s="299">
        <v>0</v>
      </c>
      <c r="H54" s="28">
        <f>ROUND(F54*AO54,2)</f>
        <v>0</v>
      </c>
      <c r="I54" s="28">
        <f>ROUND(F54*AP54,2)</f>
        <v>0</v>
      </c>
      <c r="J54" s="28">
        <f>ROUND(F54*G54,2)</f>
        <v>0</v>
      </c>
      <c r="K54" s="29" t="s">
        <v>129</v>
      </c>
      <c r="Z54" s="28">
        <f>ROUND(IF(AQ54="5",BJ54,0),2)</f>
        <v>0</v>
      </c>
      <c r="AB54" s="28">
        <f>ROUND(IF(AQ54="1",BH54,0),2)</f>
        <v>0</v>
      </c>
      <c r="AC54" s="28">
        <f>ROUND(IF(AQ54="1",BI54,0),2)</f>
        <v>0</v>
      </c>
      <c r="AD54" s="28">
        <f>ROUND(IF(AQ54="7",BH54,0),2)</f>
        <v>0</v>
      </c>
      <c r="AE54" s="28">
        <f>ROUND(IF(AQ54="7",BI54,0),2)</f>
        <v>0</v>
      </c>
      <c r="AF54" s="28">
        <f>ROUND(IF(AQ54="2",BH54,0),2)</f>
        <v>0</v>
      </c>
      <c r="AG54" s="28">
        <f>ROUND(IF(AQ54="2",BI54,0),2)</f>
        <v>0</v>
      </c>
      <c r="AH54" s="28">
        <f>ROUND(IF(AQ54="0",BJ54,0),2)</f>
        <v>0</v>
      </c>
      <c r="AI54" s="10" t="s">
        <v>53</v>
      </c>
      <c r="AJ54" s="28">
        <f>IF(AN54=0,J54,0)</f>
        <v>0</v>
      </c>
      <c r="AK54" s="28">
        <f>IF(AN54=12,J54,0)</f>
        <v>0</v>
      </c>
      <c r="AL54" s="28">
        <f>IF(AN54=21,J54,0)</f>
        <v>0</v>
      </c>
      <c r="AN54" s="28">
        <v>21</v>
      </c>
      <c r="AO54" s="28">
        <f>G54*0</f>
        <v>0</v>
      </c>
      <c r="AP54" s="28">
        <f>G54*(1-0)</f>
        <v>0</v>
      </c>
      <c r="AQ54" s="30" t="s">
        <v>72</v>
      </c>
      <c r="AV54" s="28">
        <f>ROUND(AW54+AX54,2)</f>
        <v>0</v>
      </c>
      <c r="AW54" s="28">
        <f>ROUND(F54*AO54,2)</f>
        <v>0</v>
      </c>
      <c r="AX54" s="28">
        <f>ROUND(F54*AP54,2)</f>
        <v>0</v>
      </c>
      <c r="AY54" s="30" t="s">
        <v>194</v>
      </c>
      <c r="AZ54" s="30" t="s">
        <v>108</v>
      </c>
      <c r="BA54" s="10" t="s">
        <v>60</v>
      </c>
      <c r="BC54" s="28">
        <f>AW54+AX54</f>
        <v>0</v>
      </c>
      <c r="BD54" s="28">
        <f>G54/(100-BE54)*100</f>
        <v>0</v>
      </c>
      <c r="BE54" s="28">
        <v>0</v>
      </c>
      <c r="BF54" s="28">
        <f>54</f>
        <v>54</v>
      </c>
      <c r="BH54" s="28">
        <f>F54*AO54</f>
        <v>0</v>
      </c>
      <c r="BI54" s="28">
        <f>F54*AP54</f>
        <v>0</v>
      </c>
      <c r="BJ54" s="28">
        <f>F54*G54</f>
        <v>0</v>
      </c>
      <c r="BK54" s="30" t="s">
        <v>61</v>
      </c>
      <c r="BL54" s="28"/>
      <c r="BW54" s="28">
        <v>21</v>
      </c>
      <c r="BX54" s="4" t="s">
        <v>192</v>
      </c>
    </row>
    <row r="55" spans="1:76" x14ac:dyDescent="0.25">
      <c r="A55" s="24" t="s">
        <v>49</v>
      </c>
      <c r="B55" s="25" t="s">
        <v>195</v>
      </c>
      <c r="C55" s="247" t="s">
        <v>196</v>
      </c>
      <c r="D55" s="248"/>
      <c r="E55" s="26" t="s">
        <v>4</v>
      </c>
      <c r="F55" s="26" t="s">
        <v>4</v>
      </c>
      <c r="G55" s="26" t="s">
        <v>4</v>
      </c>
      <c r="H55" s="1">
        <f>H56</f>
        <v>0</v>
      </c>
      <c r="I55" s="1">
        <f>I56</f>
        <v>0</v>
      </c>
      <c r="J55" s="1">
        <f>J56</f>
        <v>0</v>
      </c>
      <c r="K55" s="27" t="s">
        <v>49</v>
      </c>
      <c r="AI55" s="10" t="s">
        <v>53</v>
      </c>
    </row>
    <row r="56" spans="1:76" x14ac:dyDescent="0.25">
      <c r="A56" s="24" t="s">
        <v>49</v>
      </c>
      <c r="B56" s="25" t="s">
        <v>197</v>
      </c>
      <c r="C56" s="247" t="s">
        <v>198</v>
      </c>
      <c r="D56" s="248"/>
      <c r="E56" s="26" t="s">
        <v>4</v>
      </c>
      <c r="F56" s="26" t="s">
        <v>4</v>
      </c>
      <c r="G56" s="26" t="s">
        <v>4</v>
      </c>
      <c r="H56" s="1">
        <f>SUM(H57:H57)</f>
        <v>0</v>
      </c>
      <c r="I56" s="1">
        <f>SUM(I57:I57)</f>
        <v>0</v>
      </c>
      <c r="J56" s="1">
        <f>SUM(J57:J57)</f>
        <v>0</v>
      </c>
      <c r="K56" s="27" t="s">
        <v>49</v>
      </c>
      <c r="AI56" s="10" t="s">
        <v>53</v>
      </c>
      <c r="AS56" s="1">
        <f>SUM(AJ57:AJ57)</f>
        <v>0</v>
      </c>
      <c r="AT56" s="1">
        <f>SUM(AK57:AK57)</f>
        <v>0</v>
      </c>
      <c r="AU56" s="1">
        <f>SUM(AL57:AL57)</f>
        <v>0</v>
      </c>
    </row>
    <row r="57" spans="1:76" x14ac:dyDescent="0.25">
      <c r="A57" s="2" t="s">
        <v>199</v>
      </c>
      <c r="B57" s="3" t="s">
        <v>200</v>
      </c>
      <c r="C57" s="193" t="s">
        <v>201</v>
      </c>
      <c r="D57" s="194"/>
      <c r="E57" s="3" t="s">
        <v>202</v>
      </c>
      <c r="F57" s="28">
        <v>25</v>
      </c>
      <c r="G57" s="299">
        <v>0</v>
      </c>
      <c r="H57" s="28">
        <f>ROUND(F57*AO57,2)</f>
        <v>0</v>
      </c>
      <c r="I57" s="28">
        <f>ROUND(F57*AP57,2)</f>
        <v>0</v>
      </c>
      <c r="J57" s="28">
        <f>ROUND(F57*G57,2)</f>
        <v>0</v>
      </c>
      <c r="K57" s="29" t="s">
        <v>129</v>
      </c>
      <c r="Z57" s="28">
        <f>ROUND(IF(AQ57="5",BJ57,0),2)</f>
        <v>0</v>
      </c>
      <c r="AB57" s="28">
        <f>ROUND(IF(AQ57="1",BH57,0),2)</f>
        <v>0</v>
      </c>
      <c r="AC57" s="28">
        <f>ROUND(IF(AQ57="1",BI57,0),2)</f>
        <v>0</v>
      </c>
      <c r="AD57" s="28">
        <f>ROUND(IF(AQ57="7",BH57,0),2)</f>
        <v>0</v>
      </c>
      <c r="AE57" s="28">
        <f>ROUND(IF(AQ57="7",BI57,0),2)</f>
        <v>0</v>
      </c>
      <c r="AF57" s="28">
        <f>ROUND(IF(AQ57="2",BH57,0),2)</f>
        <v>0</v>
      </c>
      <c r="AG57" s="28">
        <f>ROUND(IF(AQ57="2",BI57,0),2)</f>
        <v>0</v>
      </c>
      <c r="AH57" s="28">
        <f>ROUND(IF(AQ57="0",BJ57,0),2)</f>
        <v>0</v>
      </c>
      <c r="AI57" s="10" t="s">
        <v>53</v>
      </c>
      <c r="AJ57" s="28">
        <f>IF(AN57=0,J57,0)</f>
        <v>0</v>
      </c>
      <c r="AK57" s="28">
        <f>IF(AN57=12,J57,0)</f>
        <v>0</v>
      </c>
      <c r="AL57" s="28">
        <f>IF(AN57=21,J57,0)</f>
        <v>0</v>
      </c>
      <c r="AN57" s="28">
        <v>21</v>
      </c>
      <c r="AO57" s="28">
        <f>G57*0</f>
        <v>0</v>
      </c>
      <c r="AP57" s="28">
        <f>G57*(1-0)</f>
        <v>0</v>
      </c>
      <c r="AQ57" s="30" t="s">
        <v>203</v>
      </c>
      <c r="AV57" s="28">
        <f>ROUND(AW57+AX57,2)</f>
        <v>0</v>
      </c>
      <c r="AW57" s="28">
        <f>ROUND(F57*AO57,2)</f>
        <v>0</v>
      </c>
      <c r="AX57" s="28">
        <f>ROUND(F57*AP57,2)</f>
        <v>0</v>
      </c>
      <c r="AY57" s="30" t="s">
        <v>204</v>
      </c>
      <c r="AZ57" s="30" t="s">
        <v>205</v>
      </c>
      <c r="BA57" s="10" t="s">
        <v>60</v>
      </c>
      <c r="BC57" s="28">
        <f>AW57+AX57</f>
        <v>0</v>
      </c>
      <c r="BD57" s="28">
        <f>G57/(100-BE57)*100</f>
        <v>0</v>
      </c>
      <c r="BE57" s="28">
        <v>0</v>
      </c>
      <c r="BF57" s="28">
        <f>57</f>
        <v>57</v>
      </c>
      <c r="BH57" s="28">
        <f>F57*AO57</f>
        <v>0</v>
      </c>
      <c r="BI57" s="28">
        <f>F57*AP57</f>
        <v>0</v>
      </c>
      <c r="BJ57" s="28">
        <f>F57*G57</f>
        <v>0</v>
      </c>
      <c r="BK57" s="30" t="s">
        <v>61</v>
      </c>
      <c r="BL57" s="28"/>
      <c r="BO57" s="28">
        <f>F57*G57</f>
        <v>0</v>
      </c>
      <c r="BW57" s="28">
        <v>21</v>
      </c>
      <c r="BX57" s="4" t="s">
        <v>201</v>
      </c>
    </row>
    <row r="58" spans="1:76" x14ac:dyDescent="0.25">
      <c r="A58" s="24" t="s">
        <v>49</v>
      </c>
      <c r="B58" s="25" t="s">
        <v>49</v>
      </c>
      <c r="C58" s="247" t="s">
        <v>206</v>
      </c>
      <c r="D58" s="248"/>
      <c r="E58" s="26" t="s">
        <v>4</v>
      </c>
      <c r="F58" s="26" t="s">
        <v>4</v>
      </c>
      <c r="G58" s="26" t="s">
        <v>4</v>
      </c>
      <c r="H58" s="1">
        <f>H59</f>
        <v>0</v>
      </c>
      <c r="I58" s="1">
        <f>I59</f>
        <v>0</v>
      </c>
      <c r="J58" s="1">
        <f>J59</f>
        <v>0</v>
      </c>
      <c r="K58" s="27" t="s">
        <v>49</v>
      </c>
    </row>
    <row r="59" spans="1:76" x14ac:dyDescent="0.25">
      <c r="A59" s="24" t="s">
        <v>49</v>
      </c>
      <c r="B59" s="25" t="s">
        <v>207</v>
      </c>
      <c r="C59" s="247" t="s">
        <v>208</v>
      </c>
      <c r="D59" s="248"/>
      <c r="E59" s="26" t="s">
        <v>4</v>
      </c>
      <c r="F59" s="26" t="s">
        <v>4</v>
      </c>
      <c r="G59" s="26" t="s">
        <v>4</v>
      </c>
      <c r="H59" s="1">
        <f>SUM(H60:H64)</f>
        <v>0</v>
      </c>
      <c r="I59" s="1">
        <f>SUM(I60:I64)</f>
        <v>0</v>
      </c>
      <c r="J59" s="1">
        <f>SUM(J60:J64)</f>
        <v>0</v>
      </c>
      <c r="K59" s="27" t="s">
        <v>49</v>
      </c>
      <c r="AI59" s="10" t="s">
        <v>209</v>
      </c>
      <c r="AS59" s="1">
        <f>SUM(AJ60:AJ64)</f>
        <v>0</v>
      </c>
      <c r="AT59" s="1">
        <f>SUM(AK60:AK64)</f>
        <v>0</v>
      </c>
      <c r="AU59" s="1">
        <f>SUM(AL60:AL64)</f>
        <v>0</v>
      </c>
    </row>
    <row r="60" spans="1:76" x14ac:dyDescent="0.25">
      <c r="A60" s="2" t="s">
        <v>210</v>
      </c>
      <c r="B60" s="3" t="s">
        <v>211</v>
      </c>
      <c r="C60" s="193" t="s">
        <v>212</v>
      </c>
      <c r="D60" s="194"/>
      <c r="E60" s="3" t="s">
        <v>71</v>
      </c>
      <c r="F60" s="28">
        <v>1</v>
      </c>
      <c r="G60" s="299">
        <v>0</v>
      </c>
      <c r="H60" s="28">
        <f>ROUND(F60*AO60,2)</f>
        <v>0</v>
      </c>
      <c r="I60" s="28">
        <f>ROUND(F60*AP60,2)</f>
        <v>0</v>
      </c>
      <c r="J60" s="28">
        <f>ROUND(F60*G60,2)</f>
        <v>0</v>
      </c>
      <c r="K60" s="29" t="s">
        <v>49</v>
      </c>
      <c r="Z60" s="28">
        <f>ROUND(IF(AQ60="5",BJ60,0),2)</f>
        <v>0</v>
      </c>
      <c r="AB60" s="28">
        <f>ROUND(IF(AQ60="1",BH60,0),2)</f>
        <v>0</v>
      </c>
      <c r="AC60" s="28">
        <f>ROUND(IF(AQ60="1",BI60,0),2)</f>
        <v>0</v>
      </c>
      <c r="AD60" s="28">
        <f>ROUND(IF(AQ60="7",BH60,0),2)</f>
        <v>0</v>
      </c>
      <c r="AE60" s="28">
        <f>ROUND(IF(AQ60="7",BI60,0),2)</f>
        <v>0</v>
      </c>
      <c r="AF60" s="28">
        <f>ROUND(IF(AQ60="2",BH60,0),2)</f>
        <v>0</v>
      </c>
      <c r="AG60" s="28">
        <f>ROUND(IF(AQ60="2",BI60,0),2)</f>
        <v>0</v>
      </c>
      <c r="AH60" s="28">
        <f>ROUND(IF(AQ60="0",BJ60,0),2)</f>
        <v>0</v>
      </c>
      <c r="AI60" s="10" t="s">
        <v>209</v>
      </c>
      <c r="AJ60" s="28">
        <f>IF(AN60=0,J60,0)</f>
        <v>0</v>
      </c>
      <c r="AK60" s="28">
        <f>IF(AN60=12,J60,0)</f>
        <v>0</v>
      </c>
      <c r="AL60" s="28">
        <f>IF(AN60=21,J60,0)</f>
        <v>0</v>
      </c>
      <c r="AN60" s="28">
        <v>21</v>
      </c>
      <c r="AO60" s="28">
        <f>G60*0</f>
        <v>0</v>
      </c>
      <c r="AP60" s="28">
        <f>G60*(1-0)</f>
        <v>0</v>
      </c>
      <c r="AQ60" s="30" t="s">
        <v>54</v>
      </c>
      <c r="AV60" s="28">
        <f>ROUND(AW60+AX60,2)</f>
        <v>0</v>
      </c>
      <c r="AW60" s="28">
        <f>ROUND(F60*AO60,2)</f>
        <v>0</v>
      </c>
      <c r="AX60" s="28">
        <f>ROUND(F60*AP60,2)</f>
        <v>0</v>
      </c>
      <c r="AY60" s="30" t="s">
        <v>213</v>
      </c>
      <c r="AZ60" s="30" t="s">
        <v>214</v>
      </c>
      <c r="BA60" s="10" t="s">
        <v>215</v>
      </c>
      <c r="BC60" s="28">
        <f>AW60+AX60</f>
        <v>0</v>
      </c>
      <c r="BD60" s="28">
        <f>G60/(100-BE60)*100</f>
        <v>0</v>
      </c>
      <c r="BE60" s="28">
        <v>0</v>
      </c>
      <c r="BF60" s="28">
        <f>60</f>
        <v>60</v>
      </c>
      <c r="BH60" s="28">
        <f>F60*AO60</f>
        <v>0</v>
      </c>
      <c r="BI60" s="28">
        <f>F60*AP60</f>
        <v>0</v>
      </c>
      <c r="BJ60" s="28">
        <f>F60*G60</f>
        <v>0</v>
      </c>
      <c r="BK60" s="30" t="s">
        <v>61</v>
      </c>
      <c r="BL60" s="28"/>
      <c r="BW60" s="28">
        <v>21</v>
      </c>
      <c r="BX60" s="4" t="s">
        <v>212</v>
      </c>
    </row>
    <row r="61" spans="1:76" x14ac:dyDescent="0.25">
      <c r="A61" s="2" t="s">
        <v>216</v>
      </c>
      <c r="B61" s="3" t="s">
        <v>217</v>
      </c>
      <c r="C61" s="193" t="s">
        <v>218</v>
      </c>
      <c r="D61" s="194"/>
      <c r="E61" s="3" t="s">
        <v>71</v>
      </c>
      <c r="F61" s="28">
        <v>1</v>
      </c>
      <c r="G61" s="299">
        <v>0</v>
      </c>
      <c r="H61" s="28">
        <f>ROUND(F61*AO61,2)</f>
        <v>0</v>
      </c>
      <c r="I61" s="28">
        <f>ROUND(F61*AP61,2)</f>
        <v>0</v>
      </c>
      <c r="J61" s="28">
        <f>ROUND(F61*G61,2)</f>
        <v>0</v>
      </c>
      <c r="K61" s="29" t="s">
        <v>106</v>
      </c>
      <c r="Z61" s="28">
        <f>ROUND(IF(AQ61="5",BJ61,0),2)</f>
        <v>0</v>
      </c>
      <c r="AB61" s="28">
        <f>ROUND(IF(AQ61="1",BH61,0),2)</f>
        <v>0</v>
      </c>
      <c r="AC61" s="28">
        <f>ROUND(IF(AQ61="1",BI61,0),2)</f>
        <v>0</v>
      </c>
      <c r="AD61" s="28">
        <f>ROUND(IF(AQ61="7",BH61,0),2)</f>
        <v>0</v>
      </c>
      <c r="AE61" s="28">
        <f>ROUND(IF(AQ61="7",BI61,0),2)</f>
        <v>0</v>
      </c>
      <c r="AF61" s="28">
        <f>ROUND(IF(AQ61="2",BH61,0),2)</f>
        <v>0</v>
      </c>
      <c r="AG61" s="28">
        <f>ROUND(IF(AQ61="2",BI61,0),2)</f>
        <v>0</v>
      </c>
      <c r="AH61" s="28">
        <f>ROUND(IF(AQ61="0",BJ61,0),2)</f>
        <v>0</v>
      </c>
      <c r="AI61" s="10" t="s">
        <v>209</v>
      </c>
      <c r="AJ61" s="28">
        <f>IF(AN61=0,J61,0)</f>
        <v>0</v>
      </c>
      <c r="AK61" s="28">
        <f>IF(AN61=12,J61,0)</f>
        <v>0</v>
      </c>
      <c r="AL61" s="28">
        <f>IF(AN61=21,J61,0)</f>
        <v>0</v>
      </c>
      <c r="AN61" s="28">
        <v>21</v>
      </c>
      <c r="AO61" s="28">
        <f>G61*0</f>
        <v>0</v>
      </c>
      <c r="AP61" s="28">
        <f>G61*(1-0)</f>
        <v>0</v>
      </c>
      <c r="AQ61" s="30" t="s">
        <v>54</v>
      </c>
      <c r="AV61" s="28">
        <f>ROUND(AW61+AX61,2)</f>
        <v>0</v>
      </c>
      <c r="AW61" s="28">
        <f>ROUND(F61*AO61,2)</f>
        <v>0</v>
      </c>
      <c r="AX61" s="28">
        <f>ROUND(F61*AP61,2)</f>
        <v>0</v>
      </c>
      <c r="AY61" s="30" t="s">
        <v>213</v>
      </c>
      <c r="AZ61" s="30" t="s">
        <v>214</v>
      </c>
      <c r="BA61" s="10" t="s">
        <v>215</v>
      </c>
      <c r="BC61" s="28">
        <f>AW61+AX61</f>
        <v>0</v>
      </c>
      <c r="BD61" s="28">
        <f>G61/(100-BE61)*100</f>
        <v>0</v>
      </c>
      <c r="BE61" s="28">
        <v>0</v>
      </c>
      <c r="BF61" s="28">
        <f>61</f>
        <v>61</v>
      </c>
      <c r="BH61" s="28">
        <f>F61*AO61</f>
        <v>0</v>
      </c>
      <c r="BI61" s="28">
        <f>F61*AP61</f>
        <v>0</v>
      </c>
      <c r="BJ61" s="28">
        <f>F61*G61</f>
        <v>0</v>
      </c>
      <c r="BK61" s="30" t="s">
        <v>61</v>
      </c>
      <c r="BL61" s="28"/>
      <c r="BW61" s="28">
        <v>21</v>
      </c>
      <c r="BX61" s="4" t="s">
        <v>218</v>
      </c>
    </row>
    <row r="62" spans="1:76" x14ac:dyDescent="0.25">
      <c r="A62" s="2" t="s">
        <v>219</v>
      </c>
      <c r="B62" s="3" t="s">
        <v>220</v>
      </c>
      <c r="C62" s="193" t="s">
        <v>221</v>
      </c>
      <c r="D62" s="194"/>
      <c r="E62" s="3" t="s">
        <v>71</v>
      </c>
      <c r="F62" s="28">
        <v>3</v>
      </c>
      <c r="G62" s="299">
        <v>0</v>
      </c>
      <c r="H62" s="28">
        <f>ROUND(F62*AO62,2)</f>
        <v>0</v>
      </c>
      <c r="I62" s="28">
        <f>ROUND(F62*AP62,2)</f>
        <v>0</v>
      </c>
      <c r="J62" s="28">
        <f>ROUND(F62*G62,2)</f>
        <v>0</v>
      </c>
      <c r="K62" s="29" t="s">
        <v>49</v>
      </c>
      <c r="Z62" s="28">
        <f>ROUND(IF(AQ62="5",BJ62,0),2)</f>
        <v>0</v>
      </c>
      <c r="AB62" s="28">
        <f>ROUND(IF(AQ62="1",BH62,0),2)</f>
        <v>0</v>
      </c>
      <c r="AC62" s="28">
        <f>ROUND(IF(AQ62="1",BI62,0),2)</f>
        <v>0</v>
      </c>
      <c r="AD62" s="28">
        <f>ROUND(IF(AQ62="7",BH62,0),2)</f>
        <v>0</v>
      </c>
      <c r="AE62" s="28">
        <f>ROUND(IF(AQ62="7",BI62,0),2)</f>
        <v>0</v>
      </c>
      <c r="AF62" s="28">
        <f>ROUND(IF(AQ62="2",BH62,0),2)</f>
        <v>0</v>
      </c>
      <c r="AG62" s="28">
        <f>ROUND(IF(AQ62="2",BI62,0),2)</f>
        <v>0</v>
      </c>
      <c r="AH62" s="28">
        <f>ROUND(IF(AQ62="0",BJ62,0),2)</f>
        <v>0</v>
      </c>
      <c r="AI62" s="10" t="s">
        <v>209</v>
      </c>
      <c r="AJ62" s="28">
        <f>IF(AN62=0,J62,0)</f>
        <v>0</v>
      </c>
      <c r="AK62" s="28">
        <f>IF(AN62=12,J62,0)</f>
        <v>0</v>
      </c>
      <c r="AL62" s="28">
        <f>IF(AN62=21,J62,0)</f>
        <v>0</v>
      </c>
      <c r="AN62" s="28">
        <v>21</v>
      </c>
      <c r="AO62" s="28">
        <f>G62*0</f>
        <v>0</v>
      </c>
      <c r="AP62" s="28">
        <f>G62*(1-0)</f>
        <v>0</v>
      </c>
      <c r="AQ62" s="30" t="s">
        <v>54</v>
      </c>
      <c r="AV62" s="28">
        <f>ROUND(AW62+AX62,2)</f>
        <v>0</v>
      </c>
      <c r="AW62" s="28">
        <f>ROUND(F62*AO62,2)</f>
        <v>0</v>
      </c>
      <c r="AX62" s="28">
        <f>ROUND(F62*AP62,2)</f>
        <v>0</v>
      </c>
      <c r="AY62" s="30" t="s">
        <v>213</v>
      </c>
      <c r="AZ62" s="30" t="s">
        <v>214</v>
      </c>
      <c r="BA62" s="10" t="s">
        <v>215</v>
      </c>
      <c r="BC62" s="28">
        <f>AW62+AX62</f>
        <v>0</v>
      </c>
      <c r="BD62" s="28">
        <f>G62/(100-BE62)*100</f>
        <v>0</v>
      </c>
      <c r="BE62" s="28">
        <v>0</v>
      </c>
      <c r="BF62" s="28">
        <f>62</f>
        <v>62</v>
      </c>
      <c r="BH62" s="28">
        <f>F62*AO62</f>
        <v>0</v>
      </c>
      <c r="BI62" s="28">
        <f>F62*AP62</f>
        <v>0</v>
      </c>
      <c r="BJ62" s="28">
        <f>F62*G62</f>
        <v>0</v>
      </c>
      <c r="BK62" s="30" t="s">
        <v>61</v>
      </c>
      <c r="BL62" s="28"/>
      <c r="BW62" s="28">
        <v>21</v>
      </c>
      <c r="BX62" s="4" t="s">
        <v>221</v>
      </c>
    </row>
    <row r="63" spans="1:76" x14ac:dyDescent="0.25">
      <c r="A63" s="2" t="s">
        <v>222</v>
      </c>
      <c r="B63" s="3" t="s">
        <v>223</v>
      </c>
      <c r="C63" s="193" t="s">
        <v>224</v>
      </c>
      <c r="D63" s="194"/>
      <c r="E63" s="3" t="s">
        <v>71</v>
      </c>
      <c r="F63" s="28">
        <v>1</v>
      </c>
      <c r="G63" s="299">
        <v>0</v>
      </c>
      <c r="H63" s="28">
        <f>ROUND(F63*AO63,2)</f>
        <v>0</v>
      </c>
      <c r="I63" s="28">
        <f>ROUND(F63*AP63,2)</f>
        <v>0</v>
      </c>
      <c r="J63" s="28">
        <f>ROUND(F63*G63,2)</f>
        <v>0</v>
      </c>
      <c r="K63" s="29" t="s">
        <v>106</v>
      </c>
      <c r="Z63" s="28">
        <f>ROUND(IF(AQ63="5",BJ63,0),2)</f>
        <v>0</v>
      </c>
      <c r="AB63" s="28">
        <f>ROUND(IF(AQ63="1",BH63,0),2)</f>
        <v>0</v>
      </c>
      <c r="AC63" s="28">
        <f>ROUND(IF(AQ63="1",BI63,0),2)</f>
        <v>0</v>
      </c>
      <c r="AD63" s="28">
        <f>ROUND(IF(AQ63="7",BH63,0),2)</f>
        <v>0</v>
      </c>
      <c r="AE63" s="28">
        <f>ROUND(IF(AQ63="7",BI63,0),2)</f>
        <v>0</v>
      </c>
      <c r="AF63" s="28">
        <f>ROUND(IF(AQ63="2",BH63,0),2)</f>
        <v>0</v>
      </c>
      <c r="AG63" s="28">
        <f>ROUND(IF(AQ63="2",BI63,0),2)</f>
        <v>0</v>
      </c>
      <c r="AH63" s="28">
        <f>ROUND(IF(AQ63="0",BJ63,0),2)</f>
        <v>0</v>
      </c>
      <c r="AI63" s="10" t="s">
        <v>209</v>
      </c>
      <c r="AJ63" s="28">
        <f>IF(AN63=0,J63,0)</f>
        <v>0</v>
      </c>
      <c r="AK63" s="28">
        <f>IF(AN63=12,J63,0)</f>
        <v>0</v>
      </c>
      <c r="AL63" s="28">
        <f>IF(AN63=21,J63,0)</f>
        <v>0</v>
      </c>
      <c r="AN63" s="28">
        <v>21</v>
      </c>
      <c r="AO63" s="28">
        <f>G63*0</f>
        <v>0</v>
      </c>
      <c r="AP63" s="28">
        <f>G63*(1-0)</f>
        <v>0</v>
      </c>
      <c r="AQ63" s="30" t="s">
        <v>54</v>
      </c>
      <c r="AV63" s="28">
        <f>ROUND(AW63+AX63,2)</f>
        <v>0</v>
      </c>
      <c r="AW63" s="28">
        <f>ROUND(F63*AO63,2)</f>
        <v>0</v>
      </c>
      <c r="AX63" s="28">
        <f>ROUND(F63*AP63,2)</f>
        <v>0</v>
      </c>
      <c r="AY63" s="30" t="s">
        <v>213</v>
      </c>
      <c r="AZ63" s="30" t="s">
        <v>214</v>
      </c>
      <c r="BA63" s="10" t="s">
        <v>215</v>
      </c>
      <c r="BC63" s="28">
        <f>AW63+AX63</f>
        <v>0</v>
      </c>
      <c r="BD63" s="28">
        <f>G63/(100-BE63)*100</f>
        <v>0</v>
      </c>
      <c r="BE63" s="28">
        <v>0</v>
      </c>
      <c r="BF63" s="28">
        <f>63</f>
        <v>63</v>
      </c>
      <c r="BH63" s="28">
        <f>F63*AO63</f>
        <v>0</v>
      </c>
      <c r="BI63" s="28">
        <f>F63*AP63</f>
        <v>0</v>
      </c>
      <c r="BJ63" s="28">
        <f>F63*G63</f>
        <v>0</v>
      </c>
      <c r="BK63" s="30" t="s">
        <v>61</v>
      </c>
      <c r="BL63" s="28"/>
      <c r="BW63" s="28">
        <v>21</v>
      </c>
      <c r="BX63" s="4" t="s">
        <v>224</v>
      </c>
    </row>
    <row r="64" spans="1:76" x14ac:dyDescent="0.25">
      <c r="A64" s="31" t="s">
        <v>225</v>
      </c>
      <c r="B64" s="32" t="s">
        <v>226</v>
      </c>
      <c r="C64" s="246" t="s">
        <v>227</v>
      </c>
      <c r="D64" s="230"/>
      <c r="E64" s="32" t="s">
        <v>71</v>
      </c>
      <c r="F64" s="33">
        <v>1</v>
      </c>
      <c r="G64" s="300">
        <v>0</v>
      </c>
      <c r="H64" s="33">
        <f>ROUND(F64*AO64,2)</f>
        <v>0</v>
      </c>
      <c r="I64" s="33">
        <f>ROUND(F64*AP64,2)</f>
        <v>0</v>
      </c>
      <c r="J64" s="33">
        <f>ROUND(F64*G64,2)</f>
        <v>0</v>
      </c>
      <c r="K64" s="34" t="s">
        <v>49</v>
      </c>
      <c r="Z64" s="28">
        <f>ROUND(IF(AQ64="5",BJ64,0),2)</f>
        <v>0</v>
      </c>
      <c r="AB64" s="28">
        <f>ROUND(IF(AQ64="1",BH64,0),2)</f>
        <v>0</v>
      </c>
      <c r="AC64" s="28">
        <f>ROUND(IF(AQ64="1",BI64,0),2)</f>
        <v>0</v>
      </c>
      <c r="AD64" s="28">
        <f>ROUND(IF(AQ64="7",BH64,0),2)</f>
        <v>0</v>
      </c>
      <c r="AE64" s="28">
        <f>ROUND(IF(AQ64="7",BI64,0),2)</f>
        <v>0</v>
      </c>
      <c r="AF64" s="28">
        <f>ROUND(IF(AQ64="2",BH64,0),2)</f>
        <v>0</v>
      </c>
      <c r="AG64" s="28">
        <f>ROUND(IF(AQ64="2",BI64,0),2)</f>
        <v>0</v>
      </c>
      <c r="AH64" s="28">
        <f>ROUND(IF(AQ64="0",BJ64,0),2)</f>
        <v>0</v>
      </c>
      <c r="AI64" s="10" t="s">
        <v>209</v>
      </c>
      <c r="AJ64" s="28">
        <f>IF(AN64=0,J64,0)</f>
        <v>0</v>
      </c>
      <c r="AK64" s="28">
        <f>IF(AN64=12,J64,0)</f>
        <v>0</v>
      </c>
      <c r="AL64" s="28">
        <f>IF(AN64=21,J64,0)</f>
        <v>0</v>
      </c>
      <c r="AN64" s="28">
        <v>21</v>
      </c>
      <c r="AO64" s="28">
        <f>G64*0</f>
        <v>0</v>
      </c>
      <c r="AP64" s="28">
        <f>G64*(1-0)</f>
        <v>0</v>
      </c>
      <c r="AQ64" s="30" t="s">
        <v>54</v>
      </c>
      <c r="AV64" s="28">
        <f>ROUND(AW64+AX64,2)</f>
        <v>0</v>
      </c>
      <c r="AW64" s="28">
        <f>ROUND(F64*AO64,2)</f>
        <v>0</v>
      </c>
      <c r="AX64" s="28">
        <f>ROUND(F64*AP64,2)</f>
        <v>0</v>
      </c>
      <c r="AY64" s="30" t="s">
        <v>213</v>
      </c>
      <c r="AZ64" s="30" t="s">
        <v>214</v>
      </c>
      <c r="BA64" s="10" t="s">
        <v>215</v>
      </c>
      <c r="BC64" s="28">
        <f>AW64+AX64</f>
        <v>0</v>
      </c>
      <c r="BD64" s="28">
        <f>G64/(100-BE64)*100</f>
        <v>0</v>
      </c>
      <c r="BE64" s="28">
        <v>0</v>
      </c>
      <c r="BF64" s="28">
        <f>64</f>
        <v>64</v>
      </c>
      <c r="BH64" s="28">
        <f>F64*AO64</f>
        <v>0</v>
      </c>
      <c r="BI64" s="28">
        <f>F64*AP64</f>
        <v>0</v>
      </c>
      <c r="BJ64" s="28">
        <f>F64*G64</f>
        <v>0</v>
      </c>
      <c r="BK64" s="30" t="s">
        <v>61</v>
      </c>
      <c r="BL64" s="28"/>
      <c r="BW64" s="28">
        <v>21</v>
      </c>
      <c r="BX64" s="4" t="s">
        <v>227</v>
      </c>
    </row>
    <row r="65" spans="1:11" x14ac:dyDescent="0.25">
      <c r="H65" s="245" t="s">
        <v>228</v>
      </c>
      <c r="I65" s="245"/>
      <c r="J65" s="35">
        <f>ROUND(J13+J27+J34+J38+J44+J50+J53+J56+J59,2)</f>
        <v>0</v>
      </c>
    </row>
    <row r="66" spans="1:11" x14ac:dyDescent="0.25">
      <c r="A66" s="36" t="s">
        <v>229</v>
      </c>
    </row>
    <row r="67" spans="1:11" ht="12.75" customHeight="1" x14ac:dyDescent="0.25">
      <c r="A67" s="193" t="s">
        <v>49</v>
      </c>
      <c r="B67" s="194"/>
      <c r="C67" s="194"/>
      <c r="D67" s="194"/>
      <c r="E67" s="194"/>
      <c r="F67" s="194"/>
      <c r="G67" s="194"/>
      <c r="H67" s="194"/>
      <c r="I67" s="194"/>
      <c r="J67" s="194"/>
      <c r="K67" s="194"/>
    </row>
  </sheetData>
  <sheetProtection algorithmName="SHA-512" hashValue="oEKbyH4Gst2ButE7FF4WTMy6xayx+rpfWLq0al1VbV2Scux07z5X0J/f4kD1AecXDayX63cCPLdX5/CcjbQGYw==" saltValue="iF8ILxCNP8r1Ss5U7Wg6+w==" spinCount="100000" sheet="1" objects="1" scenarios="1"/>
  <mergeCells count="83"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C11:D11"/>
    <mergeCell ref="H10:J10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H65:I65"/>
    <mergeCell ref="A67:K67"/>
    <mergeCell ref="C60:D60"/>
    <mergeCell ref="C61:D61"/>
    <mergeCell ref="C62:D62"/>
    <mergeCell ref="C63:D63"/>
    <mergeCell ref="C64:D64"/>
  </mergeCells>
  <printOptions horizontalCentered="1"/>
  <pageMargins left="0.39370078740157483" right="0.39370078740157483" top="0.59055118110236227" bottom="0.59055118110236227" header="0" footer="0"/>
  <pageSetup paperSize="9" scale="7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06A9B-5222-4378-8959-8D65019ADBC6}">
  <sheetPr>
    <pageSetUpPr fitToPage="1"/>
  </sheetPr>
  <dimension ref="A1:BX76"/>
  <sheetViews>
    <sheetView workbookViewId="0">
      <selection activeCell="C25" sqref="C25:D25"/>
    </sheetView>
  </sheetViews>
  <sheetFormatPr defaultColWidth="12.140625" defaultRowHeight="15" x14ac:dyDescent="0.25"/>
  <cols>
    <col min="1" max="1" width="4" customWidth="1"/>
    <col min="2" max="2" width="17.85546875" customWidth="1"/>
    <col min="3" max="3" width="42.85546875" customWidth="1"/>
    <col min="4" max="4" width="35.7109375" customWidth="1"/>
    <col min="5" max="5" width="4.42578125" customWidth="1"/>
    <col min="6" max="6" width="12.85546875" customWidth="1"/>
    <col min="7" max="7" width="12" customWidth="1"/>
    <col min="8" max="10" width="15.7109375" customWidth="1"/>
    <col min="11" max="11" width="14" customWidth="1"/>
    <col min="76" max="76" width="78.5703125" hidden="1" customWidth="1"/>
  </cols>
  <sheetData>
    <row r="1" spans="1:76" ht="54.75" customHeight="1" x14ac:dyDescent="0.25">
      <c r="A1" s="275" t="s">
        <v>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236" t="s">
        <v>1</v>
      </c>
      <c r="B2" s="237"/>
      <c r="C2" s="242" t="s">
        <v>2</v>
      </c>
      <c r="D2" s="243"/>
      <c r="E2" s="237" t="s">
        <v>3</v>
      </c>
      <c r="F2" s="237"/>
      <c r="G2" s="237" t="s">
        <v>4</v>
      </c>
      <c r="H2" s="233" t="s">
        <v>5</v>
      </c>
      <c r="I2" s="237" t="s">
        <v>6</v>
      </c>
      <c r="J2" s="237"/>
      <c r="K2" s="239"/>
    </row>
    <row r="3" spans="1:76" x14ac:dyDescent="0.25">
      <c r="A3" s="274"/>
      <c r="B3" s="194"/>
      <c r="C3" s="244"/>
      <c r="D3" s="244"/>
      <c r="E3" s="194"/>
      <c r="F3" s="194"/>
      <c r="G3" s="194"/>
      <c r="H3" s="194"/>
      <c r="I3" s="194"/>
      <c r="J3" s="194"/>
      <c r="K3" s="271"/>
    </row>
    <row r="4" spans="1:76" x14ac:dyDescent="0.25">
      <c r="A4" s="273" t="s">
        <v>7</v>
      </c>
      <c r="B4" s="194"/>
      <c r="C4" s="193" t="s">
        <v>593</v>
      </c>
      <c r="D4" s="194"/>
      <c r="E4" s="194" t="s">
        <v>8</v>
      </c>
      <c r="F4" s="194"/>
      <c r="G4" s="194" t="s">
        <v>4</v>
      </c>
      <c r="H4" s="193" t="s">
        <v>9</v>
      </c>
      <c r="I4" s="193" t="s">
        <v>10</v>
      </c>
      <c r="J4" s="194"/>
      <c r="K4" s="271"/>
    </row>
    <row r="5" spans="1:76" x14ac:dyDescent="0.25">
      <c r="A5" s="274"/>
      <c r="B5" s="194"/>
      <c r="C5" s="194"/>
      <c r="D5" s="194"/>
      <c r="E5" s="194"/>
      <c r="F5" s="194"/>
      <c r="G5" s="194"/>
      <c r="H5" s="194"/>
      <c r="I5" s="194"/>
      <c r="J5" s="194"/>
      <c r="K5" s="271"/>
    </row>
    <row r="6" spans="1:76" x14ac:dyDescent="0.25">
      <c r="A6" s="273" t="s">
        <v>11</v>
      </c>
      <c r="B6" s="194"/>
      <c r="C6" s="193" t="s">
        <v>12</v>
      </c>
      <c r="D6" s="194"/>
      <c r="E6" s="194" t="s">
        <v>13</v>
      </c>
      <c r="F6" s="194"/>
      <c r="G6" s="297" t="s">
        <v>4</v>
      </c>
      <c r="H6" s="193" t="s">
        <v>14</v>
      </c>
      <c r="I6" s="297" t="s">
        <v>6</v>
      </c>
      <c r="J6" s="297"/>
      <c r="K6" s="302"/>
    </row>
    <row r="7" spans="1:76" x14ac:dyDescent="0.25">
      <c r="A7" s="274"/>
      <c r="B7" s="194"/>
      <c r="C7" s="194"/>
      <c r="D7" s="194"/>
      <c r="E7" s="194"/>
      <c r="F7" s="194"/>
      <c r="G7" s="297"/>
      <c r="H7" s="194"/>
      <c r="I7" s="297"/>
      <c r="J7" s="297"/>
      <c r="K7" s="302"/>
    </row>
    <row r="8" spans="1:76" x14ac:dyDescent="0.25">
      <c r="A8" s="273" t="s">
        <v>15</v>
      </c>
      <c r="B8" s="194"/>
      <c r="C8" s="193" t="s">
        <v>4</v>
      </c>
      <c r="D8" s="194"/>
      <c r="E8" s="194" t="s">
        <v>16</v>
      </c>
      <c r="F8" s="194"/>
      <c r="G8" s="194" t="s">
        <v>17</v>
      </c>
      <c r="H8" s="193" t="s">
        <v>18</v>
      </c>
      <c r="I8" s="193" t="s">
        <v>19</v>
      </c>
      <c r="J8" s="194"/>
      <c r="K8" s="271"/>
    </row>
    <row r="9" spans="1:76" ht="15.75" thickBot="1" x14ac:dyDescent="0.3">
      <c r="A9" s="274"/>
      <c r="B9" s="272"/>
      <c r="C9" s="272"/>
      <c r="D9" s="272"/>
      <c r="E9" s="272"/>
      <c r="F9" s="272"/>
      <c r="G9" s="272"/>
      <c r="H9" s="272"/>
      <c r="I9" s="272"/>
      <c r="J9" s="272"/>
      <c r="K9" s="271"/>
    </row>
    <row r="10" spans="1:76" x14ac:dyDescent="0.25">
      <c r="A10" s="5" t="s">
        <v>20</v>
      </c>
      <c r="B10" s="178" t="s">
        <v>21</v>
      </c>
      <c r="C10" s="264" t="s">
        <v>22</v>
      </c>
      <c r="D10" s="265"/>
      <c r="E10" s="178" t="s">
        <v>23</v>
      </c>
      <c r="F10" s="9" t="s">
        <v>24</v>
      </c>
      <c r="G10" s="179" t="s">
        <v>25</v>
      </c>
      <c r="H10" s="251" t="s">
        <v>26</v>
      </c>
      <c r="I10" s="252"/>
      <c r="J10" s="266"/>
      <c r="K10" s="9" t="s">
        <v>27</v>
      </c>
      <c r="BK10" s="10" t="s">
        <v>28</v>
      </c>
      <c r="BL10" s="11" t="s">
        <v>29</v>
      </c>
      <c r="BW10" s="11" t="s">
        <v>30</v>
      </c>
    </row>
    <row r="11" spans="1:76" ht="15.75" thickBot="1" x14ac:dyDescent="0.3">
      <c r="A11" s="12" t="s">
        <v>4</v>
      </c>
      <c r="B11" s="180" t="s">
        <v>4</v>
      </c>
      <c r="C11" s="267" t="s">
        <v>31</v>
      </c>
      <c r="D11" s="268"/>
      <c r="E11" s="180" t="s">
        <v>4</v>
      </c>
      <c r="F11" s="180" t="s">
        <v>4</v>
      </c>
      <c r="G11" s="181" t="s">
        <v>32</v>
      </c>
      <c r="H11" s="15" t="s">
        <v>33</v>
      </c>
      <c r="I11" s="18" t="s">
        <v>34</v>
      </c>
      <c r="J11" s="182" t="s">
        <v>35</v>
      </c>
      <c r="K11" s="18" t="s">
        <v>36</v>
      </c>
      <c r="Z11" s="10" t="s">
        <v>37</v>
      </c>
      <c r="AA11" s="10" t="s">
        <v>38</v>
      </c>
      <c r="AB11" s="10" t="s">
        <v>39</v>
      </c>
      <c r="AC11" s="10" t="s">
        <v>40</v>
      </c>
      <c r="AD11" s="10" t="s">
        <v>41</v>
      </c>
      <c r="AE11" s="10" t="s">
        <v>42</v>
      </c>
      <c r="AF11" s="10" t="s">
        <v>43</v>
      </c>
      <c r="AG11" s="10" t="s">
        <v>44</v>
      </c>
      <c r="AH11" s="10" t="s">
        <v>45</v>
      </c>
      <c r="BH11" s="10" t="s">
        <v>46</v>
      </c>
      <c r="BI11" s="10" t="s">
        <v>47</v>
      </c>
      <c r="BJ11" s="10" t="s">
        <v>48</v>
      </c>
    </row>
    <row r="12" spans="1:76" x14ac:dyDescent="0.25">
      <c r="A12" s="183" t="s">
        <v>49</v>
      </c>
      <c r="B12" s="184" t="s">
        <v>49</v>
      </c>
      <c r="C12" s="269" t="s">
        <v>50</v>
      </c>
      <c r="D12" s="270"/>
      <c r="E12" s="185" t="s">
        <v>4</v>
      </c>
      <c r="F12" s="185" t="s">
        <v>4</v>
      </c>
      <c r="G12" s="185" t="s">
        <v>4</v>
      </c>
      <c r="H12" s="186">
        <f>H13+H15+H17+H19+H22+H24+H26+H28+H30+H32+H35+H37+H39+H41+H43+H45+H47+H49+H51+H53+H55+H61</f>
        <v>0</v>
      </c>
      <c r="I12" s="186">
        <f>I13+I15+I17+I19+I22+I24+I26+I28+I30+I32+I35+I37+I39+I41+I43+I45+I47+I49+I51+I53+I55+I61</f>
        <v>0</v>
      </c>
      <c r="J12" s="186">
        <f>J13+J15+J17+J19+J22+J24+J26+J28+J30+J32+J35+J37+J39+J41+J43+J45+J47+J49+J51+J53+J55+J61</f>
        <v>0</v>
      </c>
      <c r="K12" s="187" t="s">
        <v>49</v>
      </c>
    </row>
    <row r="13" spans="1:76" x14ac:dyDescent="0.25">
      <c r="A13" s="183" t="s">
        <v>49</v>
      </c>
      <c r="B13" s="25" t="s">
        <v>172</v>
      </c>
      <c r="C13" s="247" t="s">
        <v>450</v>
      </c>
      <c r="D13" s="248"/>
      <c r="E13" s="26" t="s">
        <v>4</v>
      </c>
      <c r="F13" s="26" t="s">
        <v>4</v>
      </c>
      <c r="G13" s="26" t="s">
        <v>4</v>
      </c>
      <c r="H13" s="1">
        <f>SUM(H14:H14)</f>
        <v>0</v>
      </c>
      <c r="I13" s="1">
        <f>SUM(I14:I14)</f>
        <v>0</v>
      </c>
      <c r="J13" s="1">
        <f>SUM(J14:J14)</f>
        <v>0</v>
      </c>
      <c r="K13" s="187" t="s">
        <v>49</v>
      </c>
      <c r="AI13" s="10" t="s">
        <v>53</v>
      </c>
      <c r="AS13" s="1">
        <f>SUM(AJ14:AJ14)</f>
        <v>0</v>
      </c>
      <c r="AT13" s="1">
        <f>SUM(AK14:AK14)</f>
        <v>0</v>
      </c>
      <c r="AU13" s="1">
        <f>SUM(AL14:AL14)</f>
        <v>0</v>
      </c>
    </row>
    <row r="14" spans="1:76" x14ac:dyDescent="0.25">
      <c r="A14" s="56" t="s">
        <v>54</v>
      </c>
      <c r="B14" s="3" t="s">
        <v>451</v>
      </c>
      <c r="C14" s="193" t="s">
        <v>452</v>
      </c>
      <c r="D14" s="194"/>
      <c r="E14" s="3" t="s">
        <v>105</v>
      </c>
      <c r="F14" s="28">
        <v>1.35</v>
      </c>
      <c r="G14" s="299">
        <v>0</v>
      </c>
      <c r="H14" s="28">
        <f>ROUND(F14*AO14,2)</f>
        <v>0</v>
      </c>
      <c r="I14" s="28">
        <f>ROUND(F14*AP14,2)</f>
        <v>0</v>
      </c>
      <c r="J14" s="28">
        <f>ROUND(F14*G14,2)</f>
        <v>0</v>
      </c>
      <c r="K14" s="188" t="s">
        <v>129</v>
      </c>
      <c r="Z14" s="28">
        <f>ROUND(IF(AQ14="5",BJ14,0),2)</f>
        <v>0</v>
      </c>
      <c r="AB14" s="28">
        <f>ROUND(IF(AQ14="1",BH14,0),2)</f>
        <v>0</v>
      </c>
      <c r="AC14" s="28">
        <f>ROUND(IF(AQ14="1",BI14,0),2)</f>
        <v>0</v>
      </c>
      <c r="AD14" s="28">
        <f>ROUND(IF(AQ14="7",BH14,0),2)</f>
        <v>0</v>
      </c>
      <c r="AE14" s="28">
        <f>ROUND(IF(AQ14="7",BI14,0),2)</f>
        <v>0</v>
      </c>
      <c r="AF14" s="28">
        <f>ROUND(IF(AQ14="2",BH14,0),2)</f>
        <v>0</v>
      </c>
      <c r="AG14" s="28">
        <f>ROUND(IF(AQ14="2",BI14,0),2)</f>
        <v>0</v>
      </c>
      <c r="AH14" s="28">
        <f>ROUND(IF(AQ14="0",BJ14,0),2)</f>
        <v>0</v>
      </c>
      <c r="AI14" s="10" t="s">
        <v>53</v>
      </c>
      <c r="AJ14" s="28">
        <f>IF(AN14=0,J14,0)</f>
        <v>0</v>
      </c>
      <c r="AK14" s="28">
        <f>IF(AN14=12,J14,0)</f>
        <v>0</v>
      </c>
      <c r="AL14" s="28">
        <f>IF(AN14=21,J14,0)</f>
        <v>0</v>
      </c>
      <c r="AN14" s="28">
        <v>21</v>
      </c>
      <c r="AO14" s="28">
        <f>G14*0.81483871</f>
        <v>0</v>
      </c>
      <c r="AP14" s="28">
        <f>G14*(1-0.81483871)</f>
        <v>0</v>
      </c>
      <c r="AQ14" s="30" t="s">
        <v>54</v>
      </c>
      <c r="AV14" s="28">
        <f>ROUND(AW14+AX14,2)</f>
        <v>0</v>
      </c>
      <c r="AW14" s="28">
        <f>ROUND(F14*AO14,2)</f>
        <v>0</v>
      </c>
      <c r="AX14" s="28">
        <f>ROUND(F14*AP14,2)</f>
        <v>0</v>
      </c>
      <c r="AY14" s="30" t="s">
        <v>453</v>
      </c>
      <c r="AZ14" s="30" t="s">
        <v>59</v>
      </c>
      <c r="BA14" s="10" t="s">
        <v>60</v>
      </c>
      <c r="BC14" s="28">
        <f>AW14+AX14</f>
        <v>0</v>
      </c>
      <c r="BD14" s="28">
        <f>G14/(100-BE14)*100</f>
        <v>0</v>
      </c>
      <c r="BE14" s="28">
        <v>0</v>
      </c>
      <c r="BF14" s="28">
        <f>14</f>
        <v>14</v>
      </c>
      <c r="BH14" s="28">
        <f>F14*AO14</f>
        <v>0</v>
      </c>
      <c r="BI14" s="28">
        <f>F14*AP14</f>
        <v>0</v>
      </c>
      <c r="BJ14" s="28">
        <f>F14*G14</f>
        <v>0</v>
      </c>
      <c r="BK14" s="30" t="s">
        <v>61</v>
      </c>
      <c r="BL14" s="28">
        <v>31</v>
      </c>
      <c r="BW14" s="28">
        <v>21</v>
      </c>
      <c r="BX14" s="4" t="s">
        <v>452</v>
      </c>
    </row>
    <row r="15" spans="1:76" x14ac:dyDescent="0.25">
      <c r="A15" s="183" t="s">
        <v>49</v>
      </c>
      <c r="B15" s="25" t="s">
        <v>185</v>
      </c>
      <c r="C15" s="247" t="s">
        <v>454</v>
      </c>
      <c r="D15" s="248"/>
      <c r="E15" s="26" t="s">
        <v>4</v>
      </c>
      <c r="F15" s="26" t="s">
        <v>4</v>
      </c>
      <c r="G15" s="26" t="s">
        <v>4</v>
      </c>
      <c r="H15" s="1">
        <f>SUM(H16:H16)</f>
        <v>0</v>
      </c>
      <c r="I15" s="1">
        <f>SUM(I16:I16)</f>
        <v>0</v>
      </c>
      <c r="J15" s="1">
        <f>SUM(J16:J16)</f>
        <v>0</v>
      </c>
      <c r="K15" s="187" t="s">
        <v>49</v>
      </c>
      <c r="AI15" s="10" t="s">
        <v>53</v>
      </c>
      <c r="AS15" s="1">
        <f>SUM(AJ16:AJ16)</f>
        <v>0</v>
      </c>
      <c r="AT15" s="1">
        <f>SUM(AK16:AK16)</f>
        <v>0</v>
      </c>
      <c r="AU15" s="1">
        <f>SUM(AL16:AL16)</f>
        <v>0</v>
      </c>
    </row>
    <row r="16" spans="1:76" x14ac:dyDescent="0.25">
      <c r="A16" s="56" t="s">
        <v>62</v>
      </c>
      <c r="B16" s="3" t="s">
        <v>455</v>
      </c>
      <c r="C16" s="193" t="s">
        <v>456</v>
      </c>
      <c r="D16" s="194"/>
      <c r="E16" s="3" t="s">
        <v>457</v>
      </c>
      <c r="F16" s="28">
        <v>0.12</v>
      </c>
      <c r="G16" s="299">
        <v>0</v>
      </c>
      <c r="H16" s="28">
        <f>ROUND(F16*AO16,2)</f>
        <v>0</v>
      </c>
      <c r="I16" s="28">
        <f>ROUND(F16*AP16,2)</f>
        <v>0</v>
      </c>
      <c r="J16" s="28">
        <f>ROUND(F16*G16,2)</f>
        <v>0</v>
      </c>
      <c r="K16" s="188" t="s">
        <v>129</v>
      </c>
      <c r="Z16" s="28">
        <f>ROUND(IF(AQ16="5",BJ16,0),2)</f>
        <v>0</v>
      </c>
      <c r="AB16" s="28">
        <f>ROUND(IF(AQ16="1",BH16,0),2)</f>
        <v>0</v>
      </c>
      <c r="AC16" s="28">
        <f>ROUND(IF(AQ16="1",BI16,0),2)</f>
        <v>0</v>
      </c>
      <c r="AD16" s="28">
        <f>ROUND(IF(AQ16="7",BH16,0),2)</f>
        <v>0</v>
      </c>
      <c r="AE16" s="28">
        <f>ROUND(IF(AQ16="7",BI16,0),2)</f>
        <v>0</v>
      </c>
      <c r="AF16" s="28">
        <f>ROUND(IF(AQ16="2",BH16,0),2)</f>
        <v>0</v>
      </c>
      <c r="AG16" s="28">
        <f>ROUND(IF(AQ16="2",BI16,0),2)</f>
        <v>0</v>
      </c>
      <c r="AH16" s="28">
        <f>ROUND(IF(AQ16="0",BJ16,0),2)</f>
        <v>0</v>
      </c>
      <c r="AI16" s="10" t="s">
        <v>53</v>
      </c>
      <c r="AJ16" s="28">
        <f>IF(AN16=0,J16,0)</f>
        <v>0</v>
      </c>
      <c r="AK16" s="28">
        <f>IF(AN16=12,J16,0)</f>
        <v>0</v>
      </c>
      <c r="AL16" s="28">
        <f>IF(AN16=21,J16,0)</f>
        <v>0</v>
      </c>
      <c r="AN16" s="28">
        <v>21</v>
      </c>
      <c r="AO16" s="28">
        <f>G16*0.22775543</f>
        <v>0</v>
      </c>
      <c r="AP16" s="28">
        <f>G16*(1-0.22775543)</f>
        <v>0</v>
      </c>
      <c r="AQ16" s="30" t="s">
        <v>54</v>
      </c>
      <c r="AV16" s="28">
        <f>ROUND(AW16+AX16,2)</f>
        <v>0</v>
      </c>
      <c r="AW16" s="28">
        <f>ROUND(F16*AO16,2)</f>
        <v>0</v>
      </c>
      <c r="AX16" s="28">
        <f>ROUND(F16*AP16,2)</f>
        <v>0</v>
      </c>
      <c r="AY16" s="30" t="s">
        <v>458</v>
      </c>
      <c r="AZ16" s="30" t="s">
        <v>59</v>
      </c>
      <c r="BA16" s="10" t="s">
        <v>60</v>
      </c>
      <c r="BC16" s="28">
        <f>AW16+AX16</f>
        <v>0</v>
      </c>
      <c r="BD16" s="28">
        <f>G16/(100-BE16)*100</f>
        <v>0</v>
      </c>
      <c r="BE16" s="28">
        <v>0</v>
      </c>
      <c r="BF16" s="28">
        <f>16</f>
        <v>16</v>
      </c>
      <c r="BH16" s="28">
        <f>F16*AO16</f>
        <v>0</v>
      </c>
      <c r="BI16" s="28">
        <f>F16*AP16</f>
        <v>0</v>
      </c>
      <c r="BJ16" s="28">
        <f>F16*G16</f>
        <v>0</v>
      </c>
      <c r="BK16" s="30" t="s">
        <v>61</v>
      </c>
      <c r="BL16" s="28">
        <v>34</v>
      </c>
      <c r="BW16" s="28">
        <v>21</v>
      </c>
      <c r="BX16" s="4" t="s">
        <v>456</v>
      </c>
    </row>
    <row r="17" spans="1:76" x14ac:dyDescent="0.25">
      <c r="A17" s="183" t="s">
        <v>49</v>
      </c>
      <c r="B17" s="25" t="s">
        <v>459</v>
      </c>
      <c r="C17" s="247" t="s">
        <v>460</v>
      </c>
      <c r="D17" s="248"/>
      <c r="E17" s="26" t="s">
        <v>4</v>
      </c>
      <c r="F17" s="26" t="s">
        <v>4</v>
      </c>
      <c r="G17" s="26" t="s">
        <v>4</v>
      </c>
      <c r="H17" s="1">
        <f>SUM(H18:H18)</f>
        <v>0</v>
      </c>
      <c r="I17" s="1">
        <f>SUM(I18:I18)</f>
        <v>0</v>
      </c>
      <c r="J17" s="1">
        <f>SUM(J18:J18)</f>
        <v>0</v>
      </c>
      <c r="K17" s="187" t="s">
        <v>49</v>
      </c>
      <c r="AI17" s="10" t="s">
        <v>53</v>
      </c>
      <c r="AS17" s="1">
        <f>SUM(AJ18:AJ18)</f>
        <v>0</v>
      </c>
      <c r="AT17" s="1">
        <f>SUM(AK18:AK18)</f>
        <v>0</v>
      </c>
      <c r="AU17" s="1">
        <f>SUM(AL18:AL18)</f>
        <v>0</v>
      </c>
    </row>
    <row r="18" spans="1:76" x14ac:dyDescent="0.25">
      <c r="A18" s="56" t="s">
        <v>65</v>
      </c>
      <c r="B18" s="3" t="s">
        <v>461</v>
      </c>
      <c r="C18" s="193" t="s">
        <v>462</v>
      </c>
      <c r="D18" s="194"/>
      <c r="E18" s="3" t="s">
        <v>105</v>
      </c>
      <c r="F18" s="28">
        <v>14</v>
      </c>
      <c r="G18" s="299">
        <v>0</v>
      </c>
      <c r="H18" s="28">
        <f>ROUND(F18*AO18,2)</f>
        <v>0</v>
      </c>
      <c r="I18" s="28">
        <f>ROUND(F18*AP18,2)</f>
        <v>0</v>
      </c>
      <c r="J18" s="28">
        <f>ROUND(F18*G18,2)</f>
        <v>0</v>
      </c>
      <c r="K18" s="188" t="s">
        <v>129</v>
      </c>
      <c r="Z18" s="28">
        <f>ROUND(IF(AQ18="5",BJ18,0),2)</f>
        <v>0</v>
      </c>
      <c r="AB18" s="28">
        <f>ROUND(IF(AQ18="1",BH18,0),2)</f>
        <v>0</v>
      </c>
      <c r="AC18" s="28">
        <f>ROUND(IF(AQ18="1",BI18,0),2)</f>
        <v>0</v>
      </c>
      <c r="AD18" s="28">
        <f>ROUND(IF(AQ18="7",BH18,0),2)</f>
        <v>0</v>
      </c>
      <c r="AE18" s="28">
        <f>ROUND(IF(AQ18="7",BI18,0),2)</f>
        <v>0</v>
      </c>
      <c r="AF18" s="28">
        <f>ROUND(IF(AQ18="2",BH18,0),2)</f>
        <v>0</v>
      </c>
      <c r="AG18" s="28">
        <f>ROUND(IF(AQ18="2",BI18,0),2)</f>
        <v>0</v>
      </c>
      <c r="AH18" s="28">
        <f>ROUND(IF(AQ18="0",BJ18,0),2)</f>
        <v>0</v>
      </c>
      <c r="AI18" s="10" t="s">
        <v>53</v>
      </c>
      <c r="AJ18" s="28">
        <f>IF(AN18=0,J18,0)</f>
        <v>0</v>
      </c>
      <c r="AK18" s="28">
        <f>IF(AN18=12,J18,0)</f>
        <v>0</v>
      </c>
      <c r="AL18" s="28">
        <f>IF(AN18=21,J18,0)</f>
        <v>0</v>
      </c>
      <c r="AN18" s="28">
        <v>21</v>
      </c>
      <c r="AO18" s="28">
        <f>G18*0.553431953</f>
        <v>0</v>
      </c>
      <c r="AP18" s="28">
        <f>G18*(1-0.553431953)</f>
        <v>0</v>
      </c>
      <c r="AQ18" s="30" t="s">
        <v>54</v>
      </c>
      <c r="AV18" s="28">
        <f>ROUND(AW18+AX18,2)</f>
        <v>0</v>
      </c>
      <c r="AW18" s="28">
        <f>ROUND(F18*AO18,2)</f>
        <v>0</v>
      </c>
      <c r="AX18" s="28">
        <f>ROUND(F18*AP18,2)</f>
        <v>0</v>
      </c>
      <c r="AY18" s="30" t="s">
        <v>463</v>
      </c>
      <c r="AZ18" s="30" t="s">
        <v>464</v>
      </c>
      <c r="BA18" s="10" t="s">
        <v>60</v>
      </c>
      <c r="BC18" s="28">
        <f>AW18+AX18</f>
        <v>0</v>
      </c>
      <c r="BD18" s="28">
        <f>G18/(100-BE18)*100</f>
        <v>0</v>
      </c>
      <c r="BE18" s="28">
        <v>0</v>
      </c>
      <c r="BF18" s="28">
        <f>18</f>
        <v>18</v>
      </c>
      <c r="BH18" s="28">
        <f>F18*AO18</f>
        <v>0</v>
      </c>
      <c r="BI18" s="28">
        <f>F18*AP18</f>
        <v>0</v>
      </c>
      <c r="BJ18" s="28">
        <f>F18*G18</f>
        <v>0</v>
      </c>
      <c r="BK18" s="30" t="s">
        <v>61</v>
      </c>
      <c r="BL18" s="28">
        <v>45</v>
      </c>
      <c r="BW18" s="28">
        <v>21</v>
      </c>
      <c r="BX18" s="4" t="s">
        <v>462</v>
      </c>
    </row>
    <row r="19" spans="1:76" x14ac:dyDescent="0.25">
      <c r="A19" s="183" t="s">
        <v>49</v>
      </c>
      <c r="B19" s="25" t="s">
        <v>465</v>
      </c>
      <c r="C19" s="247" t="s">
        <v>466</v>
      </c>
      <c r="D19" s="248"/>
      <c r="E19" s="26" t="s">
        <v>4</v>
      </c>
      <c r="F19" s="26" t="s">
        <v>4</v>
      </c>
      <c r="G19" s="26" t="s">
        <v>4</v>
      </c>
      <c r="H19" s="1">
        <f>SUM(H20:H21)</f>
        <v>0</v>
      </c>
      <c r="I19" s="1">
        <f>SUM(I20:I21)</f>
        <v>0</v>
      </c>
      <c r="J19" s="1">
        <f>SUM(J20:J21)</f>
        <v>0</v>
      </c>
      <c r="K19" s="187" t="s">
        <v>49</v>
      </c>
      <c r="AI19" s="10" t="s">
        <v>53</v>
      </c>
      <c r="AS19" s="1">
        <f>SUM(AJ20:AJ21)</f>
        <v>0</v>
      </c>
      <c r="AT19" s="1">
        <f>SUM(AK20:AK21)</f>
        <v>0</v>
      </c>
      <c r="AU19" s="1">
        <f>SUM(AL20:AL21)</f>
        <v>0</v>
      </c>
    </row>
    <row r="20" spans="1:76" x14ac:dyDescent="0.25">
      <c r="A20" s="56" t="s">
        <v>68</v>
      </c>
      <c r="B20" s="3" t="s">
        <v>467</v>
      </c>
      <c r="C20" s="193" t="s">
        <v>468</v>
      </c>
      <c r="D20" s="194"/>
      <c r="E20" s="3" t="s">
        <v>105</v>
      </c>
      <c r="F20" s="28">
        <v>12</v>
      </c>
      <c r="G20" s="299">
        <v>0</v>
      </c>
      <c r="H20" s="28">
        <f>ROUND(F20*AO20,2)</f>
        <v>0</v>
      </c>
      <c r="I20" s="28">
        <f>ROUND(F20*AP20,2)</f>
        <v>0</v>
      </c>
      <c r="J20" s="28">
        <f>ROUND(F20*G20,2)</f>
        <v>0</v>
      </c>
      <c r="K20" s="188" t="s">
        <v>129</v>
      </c>
      <c r="Z20" s="28">
        <f>ROUND(IF(AQ20="5",BJ20,0),2)</f>
        <v>0</v>
      </c>
      <c r="AB20" s="28">
        <f>ROUND(IF(AQ20="1",BH20,0),2)</f>
        <v>0</v>
      </c>
      <c r="AC20" s="28">
        <f>ROUND(IF(AQ20="1",BI20,0),2)</f>
        <v>0</v>
      </c>
      <c r="AD20" s="28">
        <f>ROUND(IF(AQ20="7",BH20,0),2)</f>
        <v>0</v>
      </c>
      <c r="AE20" s="28">
        <f>ROUND(IF(AQ20="7",BI20,0),2)</f>
        <v>0</v>
      </c>
      <c r="AF20" s="28">
        <f>ROUND(IF(AQ20="2",BH20,0),2)</f>
        <v>0</v>
      </c>
      <c r="AG20" s="28">
        <f>ROUND(IF(AQ20="2",BI20,0),2)</f>
        <v>0</v>
      </c>
      <c r="AH20" s="28">
        <f>ROUND(IF(AQ20="0",BJ20,0),2)</f>
        <v>0</v>
      </c>
      <c r="AI20" s="10" t="s">
        <v>53</v>
      </c>
      <c r="AJ20" s="28">
        <f>IF(AN20=0,J20,0)</f>
        <v>0</v>
      </c>
      <c r="AK20" s="28">
        <f>IF(AN20=12,J20,0)</f>
        <v>0</v>
      </c>
      <c r="AL20" s="28">
        <f>IF(AN20=21,J20,0)</f>
        <v>0</v>
      </c>
      <c r="AN20" s="28">
        <v>21</v>
      </c>
      <c r="AO20" s="28">
        <f>G20*0.066394052</f>
        <v>0</v>
      </c>
      <c r="AP20" s="28">
        <f>G20*(1-0.066394052)</f>
        <v>0</v>
      </c>
      <c r="AQ20" s="30" t="s">
        <v>54</v>
      </c>
      <c r="AV20" s="28">
        <f>ROUND(AW20+AX20,2)</f>
        <v>0</v>
      </c>
      <c r="AW20" s="28">
        <f>ROUND(F20*AO20,2)</f>
        <v>0</v>
      </c>
      <c r="AX20" s="28">
        <f>ROUND(F20*AP20,2)</f>
        <v>0</v>
      </c>
      <c r="AY20" s="30" t="s">
        <v>469</v>
      </c>
      <c r="AZ20" s="30" t="s">
        <v>470</v>
      </c>
      <c r="BA20" s="10" t="s">
        <v>60</v>
      </c>
      <c r="BC20" s="28">
        <f>AW20+AX20</f>
        <v>0</v>
      </c>
      <c r="BD20" s="28">
        <f>G20/(100-BE20)*100</f>
        <v>0</v>
      </c>
      <c r="BE20" s="28">
        <v>0</v>
      </c>
      <c r="BF20" s="28">
        <f>20</f>
        <v>20</v>
      </c>
      <c r="BH20" s="28">
        <f>F20*AO20</f>
        <v>0</v>
      </c>
      <c r="BI20" s="28">
        <f>F20*AP20</f>
        <v>0</v>
      </c>
      <c r="BJ20" s="28">
        <f>F20*G20</f>
        <v>0</v>
      </c>
      <c r="BK20" s="30" t="s">
        <v>61</v>
      </c>
      <c r="BL20" s="28">
        <v>56</v>
      </c>
      <c r="BW20" s="28">
        <v>21</v>
      </c>
      <c r="BX20" s="4" t="s">
        <v>468</v>
      </c>
    </row>
    <row r="21" spans="1:76" x14ac:dyDescent="0.25">
      <c r="A21" s="56" t="s">
        <v>72</v>
      </c>
      <c r="B21" s="3" t="s">
        <v>471</v>
      </c>
      <c r="C21" s="193" t="s">
        <v>472</v>
      </c>
      <c r="D21" s="194"/>
      <c r="E21" s="3" t="s">
        <v>105</v>
      </c>
      <c r="F21" s="28">
        <v>12.19</v>
      </c>
      <c r="G21" s="299">
        <v>0</v>
      </c>
      <c r="H21" s="28">
        <f>ROUND(F21*AO21,2)</f>
        <v>0</v>
      </c>
      <c r="I21" s="28">
        <f>ROUND(F21*AP21,2)</f>
        <v>0</v>
      </c>
      <c r="J21" s="28">
        <f>ROUND(F21*G21,2)</f>
        <v>0</v>
      </c>
      <c r="K21" s="188" t="s">
        <v>129</v>
      </c>
      <c r="Z21" s="28">
        <f>ROUND(IF(AQ21="5",BJ21,0),2)</f>
        <v>0</v>
      </c>
      <c r="AB21" s="28">
        <f>ROUND(IF(AQ21="1",BH21,0),2)</f>
        <v>0</v>
      </c>
      <c r="AC21" s="28">
        <f>ROUND(IF(AQ21="1",BI21,0),2)</f>
        <v>0</v>
      </c>
      <c r="AD21" s="28">
        <f>ROUND(IF(AQ21="7",BH21,0),2)</f>
        <v>0</v>
      </c>
      <c r="AE21" s="28">
        <f>ROUND(IF(AQ21="7",BI21,0),2)</f>
        <v>0</v>
      </c>
      <c r="AF21" s="28">
        <f>ROUND(IF(AQ21="2",BH21,0),2)</f>
        <v>0</v>
      </c>
      <c r="AG21" s="28">
        <f>ROUND(IF(AQ21="2",BI21,0),2)</f>
        <v>0</v>
      </c>
      <c r="AH21" s="28">
        <f>ROUND(IF(AQ21="0",BJ21,0),2)</f>
        <v>0</v>
      </c>
      <c r="AI21" s="10" t="s">
        <v>53</v>
      </c>
      <c r="AJ21" s="28">
        <f>IF(AN21=0,J21,0)</f>
        <v>0</v>
      </c>
      <c r="AK21" s="28">
        <f>IF(AN21=12,J21,0)</f>
        <v>0</v>
      </c>
      <c r="AL21" s="28">
        <f>IF(AN21=21,J21,0)</f>
        <v>0</v>
      </c>
      <c r="AN21" s="28">
        <v>21</v>
      </c>
      <c r="AO21" s="28">
        <f>G21*0.838715741</f>
        <v>0</v>
      </c>
      <c r="AP21" s="28">
        <f>G21*(1-0.838715741)</f>
        <v>0</v>
      </c>
      <c r="AQ21" s="30" t="s">
        <v>54</v>
      </c>
      <c r="AV21" s="28">
        <f>ROUND(AW21+AX21,2)</f>
        <v>0</v>
      </c>
      <c r="AW21" s="28">
        <f>ROUND(F21*AO21,2)</f>
        <v>0</v>
      </c>
      <c r="AX21" s="28">
        <f>ROUND(F21*AP21,2)</f>
        <v>0</v>
      </c>
      <c r="AY21" s="30" t="s">
        <v>469</v>
      </c>
      <c r="AZ21" s="30" t="s">
        <v>470</v>
      </c>
      <c r="BA21" s="10" t="s">
        <v>60</v>
      </c>
      <c r="BC21" s="28">
        <f>AW21+AX21</f>
        <v>0</v>
      </c>
      <c r="BD21" s="28">
        <f>G21/(100-BE21)*100</f>
        <v>0</v>
      </c>
      <c r="BE21" s="28">
        <v>0</v>
      </c>
      <c r="BF21" s="28">
        <f>21</f>
        <v>21</v>
      </c>
      <c r="BH21" s="28">
        <f>F21*AO21</f>
        <v>0</v>
      </c>
      <c r="BI21" s="28">
        <f>F21*AP21</f>
        <v>0</v>
      </c>
      <c r="BJ21" s="28">
        <f>F21*G21</f>
        <v>0</v>
      </c>
      <c r="BK21" s="30" t="s">
        <v>61</v>
      </c>
      <c r="BL21" s="28">
        <v>56</v>
      </c>
      <c r="BW21" s="28">
        <v>21</v>
      </c>
      <c r="BX21" s="4" t="s">
        <v>472</v>
      </c>
    </row>
    <row r="22" spans="1:76" x14ac:dyDescent="0.25">
      <c r="A22" s="183" t="s">
        <v>49</v>
      </c>
      <c r="B22" s="25" t="s">
        <v>473</v>
      </c>
      <c r="C22" s="247" t="s">
        <v>474</v>
      </c>
      <c r="D22" s="248"/>
      <c r="E22" s="26" t="s">
        <v>4</v>
      </c>
      <c r="F22" s="26" t="s">
        <v>4</v>
      </c>
      <c r="G22" s="26" t="s">
        <v>4</v>
      </c>
      <c r="H22" s="1">
        <f>SUM(H23:H23)</f>
        <v>0</v>
      </c>
      <c r="I22" s="1">
        <f>SUM(I23:I23)</f>
        <v>0</v>
      </c>
      <c r="J22" s="1">
        <f>SUM(J23:J23)</f>
        <v>0</v>
      </c>
      <c r="K22" s="187" t="s">
        <v>49</v>
      </c>
      <c r="AI22" s="10" t="s">
        <v>53</v>
      </c>
      <c r="AS22" s="1">
        <f>SUM(AJ23:AJ23)</f>
        <v>0</v>
      </c>
      <c r="AT22" s="1">
        <f>SUM(AK23:AK23)</f>
        <v>0</v>
      </c>
      <c r="AU22" s="1">
        <f>SUM(AL23:AL23)</f>
        <v>0</v>
      </c>
    </row>
    <row r="23" spans="1:76" x14ac:dyDescent="0.25">
      <c r="A23" s="56" t="s">
        <v>75</v>
      </c>
      <c r="B23" s="3" t="s">
        <v>475</v>
      </c>
      <c r="C23" s="193" t="s">
        <v>476</v>
      </c>
      <c r="D23" s="194"/>
      <c r="E23" s="3" t="s">
        <v>105</v>
      </c>
      <c r="F23" s="28">
        <v>3</v>
      </c>
      <c r="G23" s="299">
        <v>0</v>
      </c>
      <c r="H23" s="28">
        <f>ROUND(F23*AO23,2)</f>
        <v>0</v>
      </c>
      <c r="I23" s="28">
        <f>ROUND(F23*AP23,2)</f>
        <v>0</v>
      </c>
      <c r="J23" s="28">
        <f>ROUND(F23*G23,2)</f>
        <v>0</v>
      </c>
      <c r="K23" s="188" t="s">
        <v>129</v>
      </c>
      <c r="Z23" s="28">
        <f>ROUND(IF(AQ23="5",BJ23,0),2)</f>
        <v>0</v>
      </c>
      <c r="AB23" s="28">
        <f>ROUND(IF(AQ23="1",BH23,0),2)</f>
        <v>0</v>
      </c>
      <c r="AC23" s="28">
        <f>ROUND(IF(AQ23="1",BI23,0),2)</f>
        <v>0</v>
      </c>
      <c r="AD23" s="28">
        <f>ROUND(IF(AQ23="7",BH23,0),2)</f>
        <v>0</v>
      </c>
      <c r="AE23" s="28">
        <f>ROUND(IF(AQ23="7",BI23,0),2)</f>
        <v>0</v>
      </c>
      <c r="AF23" s="28">
        <f>ROUND(IF(AQ23="2",BH23,0),2)</f>
        <v>0</v>
      </c>
      <c r="AG23" s="28">
        <f>ROUND(IF(AQ23="2",BI23,0),2)</f>
        <v>0</v>
      </c>
      <c r="AH23" s="28">
        <f>ROUND(IF(AQ23="0",BJ23,0),2)</f>
        <v>0</v>
      </c>
      <c r="AI23" s="10" t="s">
        <v>53</v>
      </c>
      <c r="AJ23" s="28">
        <f>IF(AN23=0,J23,0)</f>
        <v>0</v>
      </c>
      <c r="AK23" s="28">
        <f>IF(AN23=12,J23,0)</f>
        <v>0</v>
      </c>
      <c r="AL23" s="28">
        <f>IF(AN23=21,J23,0)</f>
        <v>0</v>
      </c>
      <c r="AN23" s="28">
        <v>21</v>
      </c>
      <c r="AO23" s="28">
        <f>G23*0.265978756</f>
        <v>0</v>
      </c>
      <c r="AP23" s="28">
        <f>G23*(1-0.265978756)</f>
        <v>0</v>
      </c>
      <c r="AQ23" s="30" t="s">
        <v>54</v>
      </c>
      <c r="AV23" s="28">
        <f>ROUND(AW23+AX23,2)</f>
        <v>0</v>
      </c>
      <c r="AW23" s="28">
        <f>ROUND(F23*AO23,2)</f>
        <v>0</v>
      </c>
      <c r="AX23" s="28">
        <f>ROUND(F23*AP23,2)</f>
        <v>0</v>
      </c>
      <c r="AY23" s="30" t="s">
        <v>477</v>
      </c>
      <c r="AZ23" s="30" t="s">
        <v>478</v>
      </c>
      <c r="BA23" s="10" t="s">
        <v>60</v>
      </c>
      <c r="BC23" s="28">
        <f>AW23+AX23</f>
        <v>0</v>
      </c>
      <c r="BD23" s="28">
        <f>G23/(100-BE23)*100</f>
        <v>0</v>
      </c>
      <c r="BE23" s="28">
        <v>0</v>
      </c>
      <c r="BF23" s="28">
        <f>23</f>
        <v>23</v>
      </c>
      <c r="BH23" s="28">
        <f>F23*AO23</f>
        <v>0</v>
      </c>
      <c r="BI23" s="28">
        <f>F23*AP23</f>
        <v>0</v>
      </c>
      <c r="BJ23" s="28">
        <f>F23*G23</f>
        <v>0</v>
      </c>
      <c r="BK23" s="30" t="s">
        <v>61</v>
      </c>
      <c r="BL23" s="28">
        <v>60</v>
      </c>
      <c r="BW23" s="28">
        <v>21</v>
      </c>
      <c r="BX23" s="4" t="s">
        <v>476</v>
      </c>
    </row>
    <row r="24" spans="1:76" x14ac:dyDescent="0.25">
      <c r="A24" s="183" t="s">
        <v>49</v>
      </c>
      <c r="B24" s="25" t="s">
        <v>479</v>
      </c>
      <c r="C24" s="247" t="s">
        <v>480</v>
      </c>
      <c r="D24" s="248"/>
      <c r="E24" s="26" t="s">
        <v>4</v>
      </c>
      <c r="F24" s="26" t="s">
        <v>4</v>
      </c>
      <c r="G24" s="26" t="s">
        <v>4</v>
      </c>
      <c r="H24" s="1">
        <f>SUM(H25:H25)</f>
        <v>0</v>
      </c>
      <c r="I24" s="1">
        <f>SUM(I25:I25)</f>
        <v>0</v>
      </c>
      <c r="J24" s="1">
        <f>SUM(J25:J25)</f>
        <v>0</v>
      </c>
      <c r="K24" s="187" t="s">
        <v>49</v>
      </c>
      <c r="AI24" s="10" t="s">
        <v>53</v>
      </c>
      <c r="AS24" s="1">
        <f>SUM(AJ25:AJ25)</f>
        <v>0</v>
      </c>
      <c r="AT24" s="1">
        <f>SUM(AK25:AK25)</f>
        <v>0</v>
      </c>
      <c r="AU24" s="1">
        <f>SUM(AL25:AL25)</f>
        <v>0</v>
      </c>
    </row>
    <row r="25" spans="1:76" x14ac:dyDescent="0.25">
      <c r="A25" s="56" t="s">
        <v>78</v>
      </c>
      <c r="B25" s="3" t="s">
        <v>481</v>
      </c>
      <c r="C25" s="193" t="s">
        <v>482</v>
      </c>
      <c r="D25" s="194"/>
      <c r="E25" s="3" t="s">
        <v>105</v>
      </c>
      <c r="F25" s="28">
        <v>3</v>
      </c>
      <c r="G25" s="299">
        <v>0</v>
      </c>
      <c r="H25" s="28">
        <f>ROUND(F25*AO25,2)</f>
        <v>0</v>
      </c>
      <c r="I25" s="28">
        <f>ROUND(F25*AP25,2)</f>
        <v>0</v>
      </c>
      <c r="J25" s="28">
        <f>ROUND(F25*G25,2)</f>
        <v>0</v>
      </c>
      <c r="K25" s="188" t="s">
        <v>129</v>
      </c>
      <c r="Z25" s="28">
        <f>ROUND(IF(AQ25="5",BJ25,0),2)</f>
        <v>0</v>
      </c>
      <c r="AB25" s="28">
        <f>ROUND(IF(AQ25="1",BH25,0),2)</f>
        <v>0</v>
      </c>
      <c r="AC25" s="28">
        <f>ROUND(IF(AQ25="1",BI25,0),2)</f>
        <v>0</v>
      </c>
      <c r="AD25" s="28">
        <f>ROUND(IF(AQ25="7",BH25,0),2)</f>
        <v>0</v>
      </c>
      <c r="AE25" s="28">
        <f>ROUND(IF(AQ25="7",BI25,0),2)</f>
        <v>0</v>
      </c>
      <c r="AF25" s="28">
        <f>ROUND(IF(AQ25="2",BH25,0),2)</f>
        <v>0</v>
      </c>
      <c r="AG25" s="28">
        <f>ROUND(IF(AQ25="2",BI25,0),2)</f>
        <v>0</v>
      </c>
      <c r="AH25" s="28">
        <f>ROUND(IF(AQ25="0",BJ25,0),2)</f>
        <v>0</v>
      </c>
      <c r="AI25" s="10" t="s">
        <v>53</v>
      </c>
      <c r="AJ25" s="28">
        <f>IF(AN25=0,J25,0)</f>
        <v>0</v>
      </c>
      <c r="AK25" s="28">
        <f>IF(AN25=12,J25,0)</f>
        <v>0</v>
      </c>
      <c r="AL25" s="28">
        <f>IF(AN25=21,J25,0)</f>
        <v>0</v>
      </c>
      <c r="AN25" s="28">
        <v>21</v>
      </c>
      <c r="AO25" s="28">
        <f>G25*0.467806336</f>
        <v>0</v>
      </c>
      <c r="AP25" s="28">
        <f>G25*(1-0.467806336)</f>
        <v>0</v>
      </c>
      <c r="AQ25" s="30" t="s">
        <v>54</v>
      </c>
      <c r="AV25" s="28">
        <f>ROUND(AW25+AX25,2)</f>
        <v>0</v>
      </c>
      <c r="AW25" s="28">
        <f>ROUND(F25*AO25,2)</f>
        <v>0</v>
      </c>
      <c r="AX25" s="28">
        <f>ROUND(F25*AP25,2)</f>
        <v>0</v>
      </c>
      <c r="AY25" s="30" t="s">
        <v>483</v>
      </c>
      <c r="AZ25" s="30" t="s">
        <v>478</v>
      </c>
      <c r="BA25" s="10" t="s">
        <v>60</v>
      </c>
      <c r="BC25" s="28">
        <f>AW25+AX25</f>
        <v>0</v>
      </c>
      <c r="BD25" s="28">
        <f>G25/(100-BE25)*100</f>
        <v>0</v>
      </c>
      <c r="BE25" s="28">
        <v>0</v>
      </c>
      <c r="BF25" s="28">
        <f>25</f>
        <v>25</v>
      </c>
      <c r="BH25" s="28">
        <f>F25*AO25</f>
        <v>0</v>
      </c>
      <c r="BI25" s="28">
        <f>F25*AP25</f>
        <v>0</v>
      </c>
      <c r="BJ25" s="28">
        <f>F25*G25</f>
        <v>0</v>
      </c>
      <c r="BK25" s="30" t="s">
        <v>61</v>
      </c>
      <c r="BL25" s="28">
        <v>62</v>
      </c>
      <c r="BW25" s="28">
        <v>21</v>
      </c>
      <c r="BX25" s="4" t="s">
        <v>482</v>
      </c>
    </row>
    <row r="26" spans="1:76" x14ac:dyDescent="0.25">
      <c r="A26" s="183" t="s">
        <v>49</v>
      </c>
      <c r="B26" s="25" t="s">
        <v>484</v>
      </c>
      <c r="C26" s="247" t="s">
        <v>485</v>
      </c>
      <c r="D26" s="248"/>
      <c r="E26" s="26" t="s">
        <v>4</v>
      </c>
      <c r="F26" s="26" t="s">
        <v>4</v>
      </c>
      <c r="G26" s="26" t="s">
        <v>4</v>
      </c>
      <c r="H26" s="1">
        <f>SUM(H27:H27)</f>
        <v>0</v>
      </c>
      <c r="I26" s="1">
        <f>SUM(I27:I27)</f>
        <v>0</v>
      </c>
      <c r="J26" s="1">
        <f>SUM(J27:J27)</f>
        <v>0</v>
      </c>
      <c r="K26" s="187" t="s">
        <v>49</v>
      </c>
      <c r="AI26" s="10" t="s">
        <v>53</v>
      </c>
      <c r="AS26" s="1">
        <f>SUM(AJ27:AJ27)</f>
        <v>0</v>
      </c>
      <c r="AT26" s="1">
        <f>SUM(AK27:AK27)</f>
        <v>0</v>
      </c>
      <c r="AU26" s="1">
        <f>SUM(AL27:AL27)</f>
        <v>0</v>
      </c>
    </row>
    <row r="27" spans="1:76" x14ac:dyDescent="0.25">
      <c r="A27" s="56" t="s">
        <v>81</v>
      </c>
      <c r="B27" s="3" t="s">
        <v>486</v>
      </c>
      <c r="C27" s="193" t="s">
        <v>487</v>
      </c>
      <c r="D27" s="194"/>
      <c r="E27" s="3" t="s">
        <v>143</v>
      </c>
      <c r="F27" s="28">
        <v>1</v>
      </c>
      <c r="G27" s="299">
        <v>0</v>
      </c>
      <c r="H27" s="28">
        <f>ROUND(F27*AO27,2)</f>
        <v>0</v>
      </c>
      <c r="I27" s="28">
        <f>ROUND(F27*AP27,2)</f>
        <v>0</v>
      </c>
      <c r="J27" s="28">
        <f>ROUND(F27*G27,2)</f>
        <v>0</v>
      </c>
      <c r="K27" s="188" t="s">
        <v>129</v>
      </c>
      <c r="Z27" s="28">
        <f>ROUND(IF(AQ27="5",BJ27,0),2)</f>
        <v>0</v>
      </c>
      <c r="AB27" s="28">
        <f>ROUND(IF(AQ27="1",BH27,0),2)</f>
        <v>0</v>
      </c>
      <c r="AC27" s="28">
        <f>ROUND(IF(AQ27="1",BI27,0),2)</f>
        <v>0</v>
      </c>
      <c r="AD27" s="28">
        <f>ROUND(IF(AQ27="7",BH27,0),2)</f>
        <v>0</v>
      </c>
      <c r="AE27" s="28">
        <f>ROUND(IF(AQ27="7",BI27,0),2)</f>
        <v>0</v>
      </c>
      <c r="AF27" s="28">
        <f>ROUND(IF(AQ27="2",BH27,0),2)</f>
        <v>0</v>
      </c>
      <c r="AG27" s="28">
        <f>ROUND(IF(AQ27="2",BI27,0),2)</f>
        <v>0</v>
      </c>
      <c r="AH27" s="28">
        <f>ROUND(IF(AQ27="0",BJ27,0),2)</f>
        <v>0</v>
      </c>
      <c r="AI27" s="10" t="s">
        <v>53</v>
      </c>
      <c r="AJ27" s="28">
        <f>IF(AN27=0,J27,0)</f>
        <v>0</v>
      </c>
      <c r="AK27" s="28">
        <f>IF(AN27=12,J27,0)</f>
        <v>0</v>
      </c>
      <c r="AL27" s="28">
        <f>IF(AN27=21,J27,0)</f>
        <v>0</v>
      </c>
      <c r="AN27" s="28">
        <v>21</v>
      </c>
      <c r="AO27" s="28">
        <f>G27*0.015316623</f>
        <v>0</v>
      </c>
      <c r="AP27" s="28">
        <f>G27*(1-0.015316623)</f>
        <v>0</v>
      </c>
      <c r="AQ27" s="30" t="s">
        <v>78</v>
      </c>
      <c r="AV27" s="28">
        <f>ROUND(AW27+AX27,2)</f>
        <v>0</v>
      </c>
      <c r="AW27" s="28">
        <f>ROUND(F27*AO27,2)</f>
        <v>0</v>
      </c>
      <c r="AX27" s="28">
        <f>ROUND(F27*AP27,2)</f>
        <v>0</v>
      </c>
      <c r="AY27" s="30" t="s">
        <v>488</v>
      </c>
      <c r="AZ27" s="30" t="s">
        <v>489</v>
      </c>
      <c r="BA27" s="10" t="s">
        <v>60</v>
      </c>
      <c r="BC27" s="28">
        <f>AW27+AX27</f>
        <v>0</v>
      </c>
      <c r="BD27" s="28">
        <f>G27/(100-BE27)*100</f>
        <v>0</v>
      </c>
      <c r="BE27" s="28">
        <v>0</v>
      </c>
      <c r="BF27" s="28">
        <f>27</f>
        <v>27</v>
      </c>
      <c r="BH27" s="28">
        <f>F27*AO27</f>
        <v>0</v>
      </c>
      <c r="BI27" s="28">
        <f>F27*AP27</f>
        <v>0</v>
      </c>
      <c r="BJ27" s="28">
        <f>F27*G27</f>
        <v>0</v>
      </c>
      <c r="BK27" s="30" t="s">
        <v>61</v>
      </c>
      <c r="BL27" s="28">
        <v>763</v>
      </c>
      <c r="BW27" s="28">
        <v>21</v>
      </c>
      <c r="BX27" s="4" t="s">
        <v>487</v>
      </c>
    </row>
    <row r="28" spans="1:76" x14ac:dyDescent="0.25">
      <c r="A28" s="183" t="s">
        <v>49</v>
      </c>
      <c r="B28" s="25" t="s">
        <v>490</v>
      </c>
      <c r="C28" s="247" t="s">
        <v>491</v>
      </c>
      <c r="D28" s="248"/>
      <c r="E28" s="26" t="s">
        <v>4</v>
      </c>
      <c r="F28" s="26" t="s">
        <v>4</v>
      </c>
      <c r="G28" s="26" t="s">
        <v>4</v>
      </c>
      <c r="H28" s="1">
        <f>SUM(H29:H29)</f>
        <v>0</v>
      </c>
      <c r="I28" s="1">
        <f>SUM(I29:I29)</f>
        <v>0</v>
      </c>
      <c r="J28" s="1">
        <f>SUM(J29:J29)</f>
        <v>0</v>
      </c>
      <c r="K28" s="187" t="s">
        <v>49</v>
      </c>
      <c r="AI28" s="10" t="s">
        <v>53</v>
      </c>
      <c r="AS28" s="1">
        <f>SUM(AJ29:AJ29)</f>
        <v>0</v>
      </c>
      <c r="AT28" s="1">
        <f>SUM(AK29:AK29)</f>
        <v>0</v>
      </c>
      <c r="AU28" s="1">
        <f>SUM(AL29:AL29)</f>
        <v>0</v>
      </c>
    </row>
    <row r="29" spans="1:76" x14ac:dyDescent="0.25">
      <c r="A29" s="56" t="s">
        <v>84</v>
      </c>
      <c r="B29" s="3" t="s">
        <v>492</v>
      </c>
      <c r="C29" s="193" t="s">
        <v>493</v>
      </c>
      <c r="D29" s="194"/>
      <c r="E29" s="3" t="s">
        <v>143</v>
      </c>
      <c r="F29" s="28">
        <v>1</v>
      </c>
      <c r="G29" s="299">
        <v>0</v>
      </c>
      <c r="H29" s="28">
        <f>ROUND(F29*AO29,2)</f>
        <v>0</v>
      </c>
      <c r="I29" s="28">
        <f>ROUND(F29*AP29,2)</f>
        <v>0</v>
      </c>
      <c r="J29" s="28">
        <f>ROUND(F29*G29,2)</f>
        <v>0</v>
      </c>
      <c r="K29" s="188" t="s">
        <v>129</v>
      </c>
      <c r="Z29" s="28">
        <f>ROUND(IF(AQ29="5",BJ29,0),2)</f>
        <v>0</v>
      </c>
      <c r="AB29" s="28">
        <f>ROUND(IF(AQ29="1",BH29,0),2)</f>
        <v>0</v>
      </c>
      <c r="AC29" s="28">
        <f>ROUND(IF(AQ29="1",BI29,0),2)</f>
        <v>0</v>
      </c>
      <c r="AD29" s="28">
        <f>ROUND(IF(AQ29="7",BH29,0),2)</f>
        <v>0</v>
      </c>
      <c r="AE29" s="28">
        <f>ROUND(IF(AQ29="7",BI29,0),2)</f>
        <v>0</v>
      </c>
      <c r="AF29" s="28">
        <f>ROUND(IF(AQ29="2",BH29,0),2)</f>
        <v>0</v>
      </c>
      <c r="AG29" s="28">
        <f>ROUND(IF(AQ29="2",BI29,0),2)</f>
        <v>0</v>
      </c>
      <c r="AH29" s="28">
        <f>ROUND(IF(AQ29="0",BJ29,0),2)</f>
        <v>0</v>
      </c>
      <c r="AI29" s="10" t="s">
        <v>53</v>
      </c>
      <c r="AJ29" s="28">
        <f>IF(AN29=0,J29,0)</f>
        <v>0</v>
      </c>
      <c r="AK29" s="28">
        <f>IF(AN29=12,J29,0)</f>
        <v>0</v>
      </c>
      <c r="AL29" s="28">
        <f>IF(AN29=21,J29,0)</f>
        <v>0</v>
      </c>
      <c r="AN29" s="28">
        <v>21</v>
      </c>
      <c r="AO29" s="28">
        <f>G29*0.870911306</f>
        <v>0</v>
      </c>
      <c r="AP29" s="28">
        <f>G29*(1-0.870911306)</f>
        <v>0</v>
      </c>
      <c r="AQ29" s="30" t="s">
        <v>78</v>
      </c>
      <c r="AV29" s="28">
        <f>ROUND(AW29+AX29,2)</f>
        <v>0</v>
      </c>
      <c r="AW29" s="28">
        <f>ROUND(F29*AO29,2)</f>
        <v>0</v>
      </c>
      <c r="AX29" s="28">
        <f>ROUND(F29*AP29,2)</f>
        <v>0</v>
      </c>
      <c r="AY29" s="30" t="s">
        <v>494</v>
      </c>
      <c r="AZ29" s="30" t="s">
        <v>489</v>
      </c>
      <c r="BA29" s="10" t="s">
        <v>60</v>
      </c>
      <c r="BC29" s="28">
        <f>AW29+AX29</f>
        <v>0</v>
      </c>
      <c r="BD29" s="28">
        <f>G29/(100-BE29)*100</f>
        <v>0</v>
      </c>
      <c r="BE29" s="28">
        <v>0</v>
      </c>
      <c r="BF29" s="28">
        <f>29</f>
        <v>29</v>
      </c>
      <c r="BH29" s="28">
        <f>F29*AO29</f>
        <v>0</v>
      </c>
      <c r="BI29" s="28">
        <f>F29*AP29</f>
        <v>0</v>
      </c>
      <c r="BJ29" s="28">
        <f>F29*G29</f>
        <v>0</v>
      </c>
      <c r="BK29" s="30" t="s">
        <v>61</v>
      </c>
      <c r="BL29" s="28">
        <v>764</v>
      </c>
      <c r="BW29" s="28">
        <v>21</v>
      </c>
      <c r="BX29" s="4" t="s">
        <v>493</v>
      </c>
    </row>
    <row r="30" spans="1:76" x14ac:dyDescent="0.25">
      <c r="A30" s="183" t="s">
        <v>49</v>
      </c>
      <c r="B30" s="25" t="s">
        <v>495</v>
      </c>
      <c r="C30" s="247" t="s">
        <v>496</v>
      </c>
      <c r="D30" s="248"/>
      <c r="E30" s="26" t="s">
        <v>4</v>
      </c>
      <c r="F30" s="26" t="s">
        <v>4</v>
      </c>
      <c r="G30" s="26" t="s">
        <v>4</v>
      </c>
      <c r="H30" s="1">
        <f>SUM(H31:H31)</f>
        <v>0</v>
      </c>
      <c r="I30" s="1">
        <f>SUM(I31:I31)</f>
        <v>0</v>
      </c>
      <c r="J30" s="1">
        <f>SUM(J31:J31)</f>
        <v>0</v>
      </c>
      <c r="K30" s="187" t="s">
        <v>49</v>
      </c>
      <c r="AI30" s="10" t="s">
        <v>53</v>
      </c>
      <c r="AS30" s="1">
        <f>SUM(AJ31:AJ31)</f>
        <v>0</v>
      </c>
      <c r="AT30" s="1">
        <f>SUM(AK31:AK31)</f>
        <v>0</v>
      </c>
      <c r="AU30" s="1">
        <f>SUM(AL31:AL31)</f>
        <v>0</v>
      </c>
    </row>
    <row r="31" spans="1:76" x14ac:dyDescent="0.25">
      <c r="A31" s="56" t="s">
        <v>87</v>
      </c>
      <c r="B31" s="3" t="s">
        <v>497</v>
      </c>
      <c r="C31" s="193" t="s">
        <v>498</v>
      </c>
      <c r="D31" s="194"/>
      <c r="E31" s="3" t="s">
        <v>143</v>
      </c>
      <c r="F31" s="28">
        <v>1</v>
      </c>
      <c r="G31" s="299">
        <v>0</v>
      </c>
      <c r="H31" s="28">
        <f>ROUND(F31*AO31,2)</f>
        <v>0</v>
      </c>
      <c r="I31" s="28">
        <f>ROUND(F31*AP31,2)</f>
        <v>0</v>
      </c>
      <c r="J31" s="28">
        <f>ROUND(F31*G31,2)</f>
        <v>0</v>
      </c>
      <c r="K31" s="188" t="s">
        <v>129</v>
      </c>
      <c r="Z31" s="28">
        <f>ROUND(IF(AQ31="5",BJ31,0),2)</f>
        <v>0</v>
      </c>
      <c r="AB31" s="28">
        <f>ROUND(IF(AQ31="1",BH31,0),2)</f>
        <v>0</v>
      </c>
      <c r="AC31" s="28">
        <f>ROUND(IF(AQ31="1",BI31,0),2)</f>
        <v>0</v>
      </c>
      <c r="AD31" s="28">
        <f>ROUND(IF(AQ31="7",BH31,0),2)</f>
        <v>0</v>
      </c>
      <c r="AE31" s="28">
        <f>ROUND(IF(AQ31="7",BI31,0),2)</f>
        <v>0</v>
      </c>
      <c r="AF31" s="28">
        <f>ROUND(IF(AQ31="2",BH31,0),2)</f>
        <v>0</v>
      </c>
      <c r="AG31" s="28">
        <f>ROUND(IF(AQ31="2",BI31,0),2)</f>
        <v>0</v>
      </c>
      <c r="AH31" s="28">
        <f>ROUND(IF(AQ31="0",BJ31,0),2)</f>
        <v>0</v>
      </c>
      <c r="AI31" s="10" t="s">
        <v>53</v>
      </c>
      <c r="AJ31" s="28">
        <f>IF(AN31=0,J31,0)</f>
        <v>0</v>
      </c>
      <c r="AK31" s="28">
        <f>IF(AN31=12,J31,0)</f>
        <v>0</v>
      </c>
      <c r="AL31" s="28">
        <f>IF(AN31=21,J31,0)</f>
        <v>0</v>
      </c>
      <c r="AN31" s="28">
        <v>21</v>
      </c>
      <c r="AO31" s="28">
        <f>G31*0.972012407</f>
        <v>0</v>
      </c>
      <c r="AP31" s="28">
        <f>G31*(1-0.972012407)</f>
        <v>0</v>
      </c>
      <c r="AQ31" s="30" t="s">
        <v>78</v>
      </c>
      <c r="AV31" s="28">
        <f>ROUND(AW31+AX31,2)</f>
        <v>0</v>
      </c>
      <c r="AW31" s="28">
        <f>ROUND(F31*AO31,2)</f>
        <v>0</v>
      </c>
      <c r="AX31" s="28">
        <f>ROUND(F31*AP31,2)</f>
        <v>0</v>
      </c>
      <c r="AY31" s="30" t="s">
        <v>499</v>
      </c>
      <c r="AZ31" s="30" t="s">
        <v>489</v>
      </c>
      <c r="BA31" s="10" t="s">
        <v>60</v>
      </c>
      <c r="BC31" s="28">
        <f>AW31+AX31</f>
        <v>0</v>
      </c>
      <c r="BD31" s="28">
        <f>G31/(100-BE31)*100</f>
        <v>0</v>
      </c>
      <c r="BE31" s="28">
        <v>0</v>
      </c>
      <c r="BF31" s="28">
        <f>31</f>
        <v>31</v>
      </c>
      <c r="BH31" s="28">
        <f>F31*AO31</f>
        <v>0</v>
      </c>
      <c r="BI31" s="28">
        <f>F31*AP31</f>
        <v>0</v>
      </c>
      <c r="BJ31" s="28">
        <f>F31*G31</f>
        <v>0</v>
      </c>
      <c r="BK31" s="30" t="s">
        <v>61</v>
      </c>
      <c r="BL31" s="28">
        <v>765</v>
      </c>
      <c r="BW31" s="28">
        <v>21</v>
      </c>
      <c r="BX31" s="4" t="s">
        <v>498</v>
      </c>
    </row>
    <row r="32" spans="1:76" x14ac:dyDescent="0.25">
      <c r="A32" s="183" t="s">
        <v>49</v>
      </c>
      <c r="B32" s="25" t="s">
        <v>500</v>
      </c>
      <c r="C32" s="247" t="s">
        <v>501</v>
      </c>
      <c r="D32" s="248"/>
      <c r="E32" s="26" t="s">
        <v>4</v>
      </c>
      <c r="F32" s="26" t="s">
        <v>4</v>
      </c>
      <c r="G32" s="26" t="s">
        <v>4</v>
      </c>
      <c r="H32" s="1">
        <f>SUM(H33:H34)</f>
        <v>0</v>
      </c>
      <c r="I32" s="1">
        <f>SUM(I33:I34)</f>
        <v>0</v>
      </c>
      <c r="J32" s="1">
        <f>SUM(J33:J34)</f>
        <v>0</v>
      </c>
      <c r="K32" s="187" t="s">
        <v>49</v>
      </c>
      <c r="AI32" s="10" t="s">
        <v>53</v>
      </c>
      <c r="AS32" s="1">
        <f>SUM(AJ33:AJ34)</f>
        <v>0</v>
      </c>
      <c r="AT32" s="1">
        <f>SUM(AK33:AK34)</f>
        <v>0</v>
      </c>
      <c r="AU32" s="1">
        <f>SUM(AL33:AL34)</f>
        <v>0</v>
      </c>
    </row>
    <row r="33" spans="1:76" x14ac:dyDescent="0.25">
      <c r="A33" s="56" t="s">
        <v>91</v>
      </c>
      <c r="B33" s="3" t="s">
        <v>502</v>
      </c>
      <c r="C33" s="193" t="s">
        <v>503</v>
      </c>
      <c r="D33" s="194"/>
      <c r="E33" s="3" t="s">
        <v>143</v>
      </c>
      <c r="F33" s="28">
        <v>1</v>
      </c>
      <c r="G33" s="299">
        <v>0</v>
      </c>
      <c r="H33" s="28">
        <f>ROUND(F33*AO33,2)</f>
        <v>0</v>
      </c>
      <c r="I33" s="28">
        <f>ROUND(F33*AP33,2)</f>
        <v>0</v>
      </c>
      <c r="J33" s="28">
        <f>ROUND(F33*G33,2)</f>
        <v>0</v>
      </c>
      <c r="K33" s="188" t="s">
        <v>129</v>
      </c>
      <c r="Z33" s="28">
        <f>ROUND(IF(AQ33="5",BJ33,0),2)</f>
        <v>0</v>
      </c>
      <c r="AB33" s="28">
        <f>ROUND(IF(AQ33="1",BH33,0),2)</f>
        <v>0</v>
      </c>
      <c r="AC33" s="28">
        <f>ROUND(IF(AQ33="1",BI33,0),2)</f>
        <v>0</v>
      </c>
      <c r="AD33" s="28">
        <f>ROUND(IF(AQ33="7",BH33,0),2)</f>
        <v>0</v>
      </c>
      <c r="AE33" s="28">
        <f>ROUND(IF(AQ33="7",BI33,0),2)</f>
        <v>0</v>
      </c>
      <c r="AF33" s="28">
        <f>ROUND(IF(AQ33="2",BH33,0),2)</f>
        <v>0</v>
      </c>
      <c r="AG33" s="28">
        <f>ROUND(IF(AQ33="2",BI33,0),2)</f>
        <v>0</v>
      </c>
      <c r="AH33" s="28">
        <f>ROUND(IF(AQ33="0",BJ33,0),2)</f>
        <v>0</v>
      </c>
      <c r="AI33" s="10" t="s">
        <v>53</v>
      </c>
      <c r="AJ33" s="28">
        <f>IF(AN33=0,J33,0)</f>
        <v>0</v>
      </c>
      <c r="AK33" s="28">
        <f>IF(AN33=12,J33,0)</f>
        <v>0</v>
      </c>
      <c r="AL33" s="28">
        <f>IF(AN33=21,J33,0)</f>
        <v>0</v>
      </c>
      <c r="AN33" s="28">
        <v>21</v>
      </c>
      <c r="AO33" s="28">
        <f>G33*0.006633826</f>
        <v>0</v>
      </c>
      <c r="AP33" s="28">
        <f>G33*(1-0.006633826)</f>
        <v>0</v>
      </c>
      <c r="AQ33" s="30" t="s">
        <v>78</v>
      </c>
      <c r="AV33" s="28">
        <f>ROUND(AW33+AX33,2)</f>
        <v>0</v>
      </c>
      <c r="AW33" s="28">
        <f>ROUND(F33*AO33,2)</f>
        <v>0</v>
      </c>
      <c r="AX33" s="28">
        <f>ROUND(F33*AP33,2)</f>
        <v>0</v>
      </c>
      <c r="AY33" s="30" t="s">
        <v>504</v>
      </c>
      <c r="AZ33" s="30" t="s">
        <v>489</v>
      </c>
      <c r="BA33" s="10" t="s">
        <v>60</v>
      </c>
      <c r="BC33" s="28">
        <f>AW33+AX33</f>
        <v>0</v>
      </c>
      <c r="BD33" s="28">
        <f>G33/(100-BE33)*100</f>
        <v>0</v>
      </c>
      <c r="BE33" s="28">
        <v>0</v>
      </c>
      <c r="BF33" s="28">
        <f>33</f>
        <v>33</v>
      </c>
      <c r="BH33" s="28">
        <f>F33*AO33</f>
        <v>0</v>
      </c>
      <c r="BI33" s="28">
        <f>F33*AP33</f>
        <v>0</v>
      </c>
      <c r="BJ33" s="28">
        <f>F33*G33</f>
        <v>0</v>
      </c>
      <c r="BK33" s="30" t="s">
        <v>61</v>
      </c>
      <c r="BL33" s="28">
        <v>766</v>
      </c>
      <c r="BW33" s="28">
        <v>21</v>
      </c>
      <c r="BX33" s="4" t="s">
        <v>503</v>
      </c>
    </row>
    <row r="34" spans="1:76" x14ac:dyDescent="0.25">
      <c r="A34" s="56" t="s">
        <v>94</v>
      </c>
      <c r="B34" s="3" t="s">
        <v>505</v>
      </c>
      <c r="C34" s="193" t="s">
        <v>506</v>
      </c>
      <c r="D34" s="194"/>
      <c r="E34" s="3" t="s">
        <v>143</v>
      </c>
      <c r="F34" s="28">
        <v>1</v>
      </c>
      <c r="G34" s="299">
        <v>0</v>
      </c>
      <c r="H34" s="28">
        <f>ROUND(F34*AO34,2)</f>
        <v>0</v>
      </c>
      <c r="I34" s="28">
        <f>ROUND(F34*AP34,2)</f>
        <v>0</v>
      </c>
      <c r="J34" s="28">
        <f>ROUND(F34*G34,2)</f>
        <v>0</v>
      </c>
      <c r="K34" s="188" t="s">
        <v>129</v>
      </c>
      <c r="Z34" s="28">
        <f>ROUND(IF(AQ34="5",BJ34,0),2)</f>
        <v>0</v>
      </c>
      <c r="AB34" s="28">
        <f>ROUND(IF(AQ34="1",BH34,0),2)</f>
        <v>0</v>
      </c>
      <c r="AC34" s="28">
        <f>ROUND(IF(AQ34="1",BI34,0),2)</f>
        <v>0</v>
      </c>
      <c r="AD34" s="28">
        <f>ROUND(IF(AQ34="7",BH34,0),2)</f>
        <v>0</v>
      </c>
      <c r="AE34" s="28">
        <f>ROUND(IF(AQ34="7",BI34,0),2)</f>
        <v>0</v>
      </c>
      <c r="AF34" s="28">
        <f>ROUND(IF(AQ34="2",BH34,0),2)</f>
        <v>0</v>
      </c>
      <c r="AG34" s="28">
        <f>ROUND(IF(AQ34="2",BI34,0),2)</f>
        <v>0</v>
      </c>
      <c r="AH34" s="28">
        <f>ROUND(IF(AQ34="0",BJ34,0),2)</f>
        <v>0</v>
      </c>
      <c r="AI34" s="10" t="s">
        <v>53</v>
      </c>
      <c r="AJ34" s="28">
        <f>IF(AN34=0,J34,0)</f>
        <v>0</v>
      </c>
      <c r="AK34" s="28">
        <f>IF(AN34=12,J34,0)</f>
        <v>0</v>
      </c>
      <c r="AL34" s="28">
        <f>IF(AN34=21,J34,0)</f>
        <v>0</v>
      </c>
      <c r="AN34" s="28">
        <v>21</v>
      </c>
      <c r="AO34" s="28">
        <f>G34*0.016926276</f>
        <v>0</v>
      </c>
      <c r="AP34" s="28">
        <f>G34*(1-0.016926276)</f>
        <v>0</v>
      </c>
      <c r="AQ34" s="30" t="s">
        <v>78</v>
      </c>
      <c r="AV34" s="28">
        <f>ROUND(AW34+AX34,2)</f>
        <v>0</v>
      </c>
      <c r="AW34" s="28">
        <f>ROUND(F34*AO34,2)</f>
        <v>0</v>
      </c>
      <c r="AX34" s="28">
        <f>ROUND(F34*AP34,2)</f>
        <v>0</v>
      </c>
      <c r="AY34" s="30" t="s">
        <v>504</v>
      </c>
      <c r="AZ34" s="30" t="s">
        <v>489</v>
      </c>
      <c r="BA34" s="10" t="s">
        <v>60</v>
      </c>
      <c r="BC34" s="28">
        <f>AW34+AX34</f>
        <v>0</v>
      </c>
      <c r="BD34" s="28">
        <f>G34/(100-BE34)*100</f>
        <v>0</v>
      </c>
      <c r="BE34" s="28">
        <v>0</v>
      </c>
      <c r="BF34" s="28">
        <f>34</f>
        <v>34</v>
      </c>
      <c r="BH34" s="28">
        <f>F34*AO34</f>
        <v>0</v>
      </c>
      <c r="BI34" s="28">
        <f>F34*AP34</f>
        <v>0</v>
      </c>
      <c r="BJ34" s="28">
        <f>F34*G34</f>
        <v>0</v>
      </c>
      <c r="BK34" s="30" t="s">
        <v>61</v>
      </c>
      <c r="BL34" s="28">
        <v>766</v>
      </c>
      <c r="BW34" s="28">
        <v>21</v>
      </c>
      <c r="BX34" s="4" t="s">
        <v>506</v>
      </c>
    </row>
    <row r="35" spans="1:76" x14ac:dyDescent="0.25">
      <c r="A35" s="183" t="s">
        <v>49</v>
      </c>
      <c r="B35" s="25" t="s">
        <v>507</v>
      </c>
      <c r="C35" s="247" t="s">
        <v>508</v>
      </c>
      <c r="D35" s="248"/>
      <c r="E35" s="26" t="s">
        <v>4</v>
      </c>
      <c r="F35" s="26" t="s">
        <v>4</v>
      </c>
      <c r="G35" s="26" t="s">
        <v>4</v>
      </c>
      <c r="H35" s="1">
        <f>SUM(H36:H36)</f>
        <v>0</v>
      </c>
      <c r="I35" s="1">
        <f>SUM(I36:I36)</f>
        <v>0</v>
      </c>
      <c r="J35" s="1">
        <f>SUM(J36:J36)</f>
        <v>0</v>
      </c>
      <c r="K35" s="187" t="s">
        <v>49</v>
      </c>
      <c r="AI35" s="10" t="s">
        <v>53</v>
      </c>
      <c r="AS35" s="1">
        <f>SUM(AJ36:AJ36)</f>
        <v>0</v>
      </c>
      <c r="AT35" s="1">
        <f>SUM(AK36:AK36)</f>
        <v>0</v>
      </c>
      <c r="AU35" s="1">
        <f>SUM(AL36:AL36)</f>
        <v>0</v>
      </c>
    </row>
    <row r="36" spans="1:76" x14ac:dyDescent="0.25">
      <c r="A36" s="56" t="s">
        <v>97</v>
      </c>
      <c r="B36" s="3" t="s">
        <v>509</v>
      </c>
      <c r="C36" s="193" t="s">
        <v>510</v>
      </c>
      <c r="D36" s="194"/>
      <c r="E36" s="3" t="s">
        <v>105</v>
      </c>
      <c r="F36" s="28">
        <v>3</v>
      </c>
      <c r="G36" s="299">
        <v>0</v>
      </c>
      <c r="H36" s="28">
        <f>ROUND(F36*AO36,2)</f>
        <v>0</v>
      </c>
      <c r="I36" s="28">
        <f>ROUND(F36*AP36,2)</f>
        <v>0</v>
      </c>
      <c r="J36" s="28">
        <f>ROUND(F36*G36,2)</f>
        <v>0</v>
      </c>
      <c r="K36" s="188" t="s">
        <v>129</v>
      </c>
      <c r="Z36" s="28">
        <f>ROUND(IF(AQ36="5",BJ36,0),2)</f>
        <v>0</v>
      </c>
      <c r="AB36" s="28">
        <f>ROUND(IF(AQ36="1",BH36,0),2)</f>
        <v>0</v>
      </c>
      <c r="AC36" s="28">
        <f>ROUND(IF(AQ36="1",BI36,0),2)</f>
        <v>0</v>
      </c>
      <c r="AD36" s="28">
        <f>ROUND(IF(AQ36="7",BH36,0),2)</f>
        <v>0</v>
      </c>
      <c r="AE36" s="28">
        <f>ROUND(IF(AQ36="7",BI36,0),2)</f>
        <v>0</v>
      </c>
      <c r="AF36" s="28">
        <f>ROUND(IF(AQ36="2",BH36,0),2)</f>
        <v>0</v>
      </c>
      <c r="AG36" s="28">
        <f>ROUND(IF(AQ36="2",BI36,0),2)</f>
        <v>0</v>
      </c>
      <c r="AH36" s="28">
        <f>ROUND(IF(AQ36="0",BJ36,0),2)</f>
        <v>0</v>
      </c>
      <c r="AI36" s="10" t="s">
        <v>53</v>
      </c>
      <c r="AJ36" s="28">
        <f>IF(AN36=0,J36,0)</f>
        <v>0</v>
      </c>
      <c r="AK36" s="28">
        <f>IF(AN36=12,J36,0)</f>
        <v>0</v>
      </c>
      <c r="AL36" s="28">
        <f>IF(AN36=21,J36,0)</f>
        <v>0</v>
      </c>
      <c r="AN36" s="28">
        <v>21</v>
      </c>
      <c r="AO36" s="28">
        <f>G36*0.147014925</f>
        <v>0</v>
      </c>
      <c r="AP36" s="28">
        <f>G36*(1-0.147014925)</f>
        <v>0</v>
      </c>
      <c r="AQ36" s="30" t="s">
        <v>78</v>
      </c>
      <c r="AV36" s="28">
        <f>ROUND(AW36+AX36,2)</f>
        <v>0</v>
      </c>
      <c r="AW36" s="28">
        <f>ROUND(F36*AO36,2)</f>
        <v>0</v>
      </c>
      <c r="AX36" s="28">
        <f>ROUND(F36*AP36,2)</f>
        <v>0</v>
      </c>
      <c r="AY36" s="30" t="s">
        <v>511</v>
      </c>
      <c r="AZ36" s="30" t="s">
        <v>512</v>
      </c>
      <c r="BA36" s="10" t="s">
        <v>60</v>
      </c>
      <c r="BC36" s="28">
        <f>AW36+AX36</f>
        <v>0</v>
      </c>
      <c r="BD36" s="28">
        <f>G36/(100-BE36)*100</f>
        <v>0</v>
      </c>
      <c r="BE36" s="28">
        <v>0</v>
      </c>
      <c r="BF36" s="28">
        <f>36</f>
        <v>36</v>
      </c>
      <c r="BH36" s="28">
        <f>F36*AO36</f>
        <v>0</v>
      </c>
      <c r="BI36" s="28">
        <f>F36*AP36</f>
        <v>0</v>
      </c>
      <c r="BJ36" s="28">
        <f>F36*G36</f>
        <v>0</v>
      </c>
      <c r="BK36" s="30" t="s">
        <v>61</v>
      </c>
      <c r="BL36" s="28">
        <v>777</v>
      </c>
      <c r="BW36" s="28">
        <v>21</v>
      </c>
      <c r="BX36" s="4" t="s">
        <v>510</v>
      </c>
    </row>
    <row r="37" spans="1:76" x14ac:dyDescent="0.25">
      <c r="A37" s="183" t="s">
        <v>49</v>
      </c>
      <c r="B37" s="25" t="s">
        <v>513</v>
      </c>
      <c r="C37" s="247" t="s">
        <v>514</v>
      </c>
      <c r="D37" s="248"/>
      <c r="E37" s="26" t="s">
        <v>4</v>
      </c>
      <c r="F37" s="26" t="s">
        <v>4</v>
      </c>
      <c r="G37" s="26" t="s">
        <v>4</v>
      </c>
      <c r="H37" s="1">
        <f>SUM(H38:H38)</f>
        <v>0</v>
      </c>
      <c r="I37" s="1">
        <f>SUM(I38:I38)</f>
        <v>0</v>
      </c>
      <c r="J37" s="1">
        <f>SUM(J38:J38)</f>
        <v>0</v>
      </c>
      <c r="K37" s="187" t="s">
        <v>49</v>
      </c>
      <c r="AI37" s="10" t="s">
        <v>53</v>
      </c>
      <c r="AS37" s="1">
        <f>SUM(AJ38:AJ38)</f>
        <v>0</v>
      </c>
      <c r="AT37" s="1">
        <f>SUM(AK38:AK38)</f>
        <v>0</v>
      </c>
      <c r="AU37" s="1">
        <f>SUM(AL38:AL38)</f>
        <v>0</v>
      </c>
    </row>
    <row r="38" spans="1:76" x14ac:dyDescent="0.25">
      <c r="A38" s="56" t="s">
        <v>102</v>
      </c>
      <c r="B38" s="3" t="s">
        <v>515</v>
      </c>
      <c r="C38" s="193" t="s">
        <v>516</v>
      </c>
      <c r="D38" s="194"/>
      <c r="E38" s="3" t="s">
        <v>105</v>
      </c>
      <c r="F38" s="28">
        <v>3</v>
      </c>
      <c r="G38" s="299">
        <v>0</v>
      </c>
      <c r="H38" s="28">
        <f>ROUND(F38*AO38,2)</f>
        <v>0</v>
      </c>
      <c r="I38" s="28">
        <f>ROUND(F38*AP38,2)</f>
        <v>0</v>
      </c>
      <c r="J38" s="28">
        <f>ROUND(F38*G38,2)</f>
        <v>0</v>
      </c>
      <c r="K38" s="188" t="s">
        <v>129</v>
      </c>
      <c r="Z38" s="28">
        <f>ROUND(IF(AQ38="5",BJ38,0),2)</f>
        <v>0</v>
      </c>
      <c r="AB38" s="28">
        <f>ROUND(IF(AQ38="1",BH38,0),2)</f>
        <v>0</v>
      </c>
      <c r="AC38" s="28">
        <f>ROUND(IF(AQ38="1",BI38,0),2)</f>
        <v>0</v>
      </c>
      <c r="AD38" s="28">
        <f>ROUND(IF(AQ38="7",BH38,0),2)</f>
        <v>0</v>
      </c>
      <c r="AE38" s="28">
        <f>ROUND(IF(AQ38="7",BI38,0),2)</f>
        <v>0</v>
      </c>
      <c r="AF38" s="28">
        <f>ROUND(IF(AQ38="2",BH38,0),2)</f>
        <v>0</v>
      </c>
      <c r="AG38" s="28">
        <f>ROUND(IF(AQ38="2",BI38,0),2)</f>
        <v>0</v>
      </c>
      <c r="AH38" s="28">
        <f>ROUND(IF(AQ38="0",BJ38,0),2)</f>
        <v>0</v>
      </c>
      <c r="AI38" s="10" t="s">
        <v>53</v>
      </c>
      <c r="AJ38" s="28">
        <f>IF(AN38=0,J38,0)</f>
        <v>0</v>
      </c>
      <c r="AK38" s="28">
        <f>IF(AN38=12,J38,0)</f>
        <v>0</v>
      </c>
      <c r="AL38" s="28">
        <f>IF(AN38=21,J38,0)</f>
        <v>0</v>
      </c>
      <c r="AN38" s="28">
        <v>21</v>
      </c>
      <c r="AO38" s="28">
        <f>G38*0.222578125</f>
        <v>0</v>
      </c>
      <c r="AP38" s="28">
        <f>G38*(1-0.222578125)</f>
        <v>0</v>
      </c>
      <c r="AQ38" s="30" t="s">
        <v>78</v>
      </c>
      <c r="AV38" s="28">
        <f>ROUND(AW38+AX38,2)</f>
        <v>0</v>
      </c>
      <c r="AW38" s="28">
        <f>ROUND(F38*AO38,2)</f>
        <v>0</v>
      </c>
      <c r="AX38" s="28">
        <f>ROUND(F38*AP38,2)</f>
        <v>0</v>
      </c>
      <c r="AY38" s="30" t="s">
        <v>517</v>
      </c>
      <c r="AZ38" s="30" t="s">
        <v>518</v>
      </c>
      <c r="BA38" s="10" t="s">
        <v>60</v>
      </c>
      <c r="BC38" s="28">
        <f>AW38+AX38</f>
        <v>0</v>
      </c>
      <c r="BD38" s="28">
        <f>G38/(100-BE38)*100</f>
        <v>0</v>
      </c>
      <c r="BE38" s="28">
        <v>0</v>
      </c>
      <c r="BF38" s="28">
        <f>38</f>
        <v>38</v>
      </c>
      <c r="BH38" s="28">
        <f>F38*AO38</f>
        <v>0</v>
      </c>
      <c r="BI38" s="28">
        <f>F38*AP38</f>
        <v>0</v>
      </c>
      <c r="BJ38" s="28">
        <f>F38*G38</f>
        <v>0</v>
      </c>
      <c r="BK38" s="30" t="s">
        <v>61</v>
      </c>
      <c r="BL38" s="28">
        <v>784</v>
      </c>
      <c r="BW38" s="28">
        <v>21</v>
      </c>
      <c r="BX38" s="4" t="s">
        <v>516</v>
      </c>
    </row>
    <row r="39" spans="1:76" x14ac:dyDescent="0.25">
      <c r="A39" s="183" t="s">
        <v>49</v>
      </c>
      <c r="B39" s="25" t="s">
        <v>519</v>
      </c>
      <c r="C39" s="247" t="s">
        <v>520</v>
      </c>
      <c r="D39" s="248"/>
      <c r="E39" s="26" t="s">
        <v>4</v>
      </c>
      <c r="F39" s="26" t="s">
        <v>4</v>
      </c>
      <c r="G39" s="26" t="s">
        <v>4</v>
      </c>
      <c r="H39" s="1">
        <f>SUM(H40:H40)</f>
        <v>0</v>
      </c>
      <c r="I39" s="1">
        <f>SUM(I40:I40)</f>
        <v>0</v>
      </c>
      <c r="J39" s="1">
        <f>SUM(J40:J40)</f>
        <v>0</v>
      </c>
      <c r="K39" s="187" t="s">
        <v>49</v>
      </c>
      <c r="AI39" s="10" t="s">
        <v>53</v>
      </c>
      <c r="AS39" s="1">
        <f>SUM(AJ40:AJ40)</f>
        <v>0</v>
      </c>
      <c r="AT39" s="1">
        <f>SUM(AK40:AK40)</f>
        <v>0</v>
      </c>
      <c r="AU39" s="1">
        <f>SUM(AL40:AL40)</f>
        <v>0</v>
      </c>
    </row>
    <row r="40" spans="1:76" x14ac:dyDescent="0.25">
      <c r="A40" s="56" t="s">
        <v>109</v>
      </c>
      <c r="B40" s="3" t="s">
        <v>521</v>
      </c>
      <c r="C40" s="193" t="s">
        <v>522</v>
      </c>
      <c r="D40" s="194"/>
      <c r="E40" s="3" t="s">
        <v>183</v>
      </c>
      <c r="F40" s="28">
        <v>7</v>
      </c>
      <c r="G40" s="299">
        <v>0</v>
      </c>
      <c r="H40" s="28">
        <f>ROUND(F40*AO40,2)</f>
        <v>0</v>
      </c>
      <c r="I40" s="28">
        <f>ROUND(F40*AP40,2)</f>
        <v>0</v>
      </c>
      <c r="J40" s="28">
        <f>ROUND(F40*G40,2)</f>
        <v>0</v>
      </c>
      <c r="K40" s="188" t="s">
        <v>129</v>
      </c>
      <c r="Z40" s="28">
        <f>ROUND(IF(AQ40="5",BJ40,0),2)</f>
        <v>0</v>
      </c>
      <c r="AB40" s="28">
        <f>ROUND(IF(AQ40="1",BH40,0),2)</f>
        <v>0</v>
      </c>
      <c r="AC40" s="28">
        <f>ROUND(IF(AQ40="1",BI40,0),2)</f>
        <v>0</v>
      </c>
      <c r="AD40" s="28">
        <f>ROUND(IF(AQ40="7",BH40,0),2)</f>
        <v>0</v>
      </c>
      <c r="AE40" s="28">
        <f>ROUND(IF(AQ40="7",BI40,0),2)</f>
        <v>0</v>
      </c>
      <c r="AF40" s="28">
        <f>ROUND(IF(AQ40="2",BH40,0),2)</f>
        <v>0</v>
      </c>
      <c r="AG40" s="28">
        <f>ROUND(IF(AQ40="2",BI40,0),2)</f>
        <v>0</v>
      </c>
      <c r="AH40" s="28">
        <f>ROUND(IF(AQ40="0",BJ40,0),2)</f>
        <v>0</v>
      </c>
      <c r="AI40" s="10" t="s">
        <v>53</v>
      </c>
      <c r="AJ40" s="28">
        <f>IF(AN40=0,J40,0)</f>
        <v>0</v>
      </c>
      <c r="AK40" s="28">
        <f>IF(AN40=12,J40,0)</f>
        <v>0</v>
      </c>
      <c r="AL40" s="28">
        <f>IF(AN40=21,J40,0)</f>
        <v>0</v>
      </c>
      <c r="AN40" s="28">
        <v>21</v>
      </c>
      <c r="AO40" s="28">
        <f>G40*0.42945328</f>
        <v>0</v>
      </c>
      <c r="AP40" s="28">
        <f>G40*(1-0.42945328)</f>
        <v>0</v>
      </c>
      <c r="AQ40" s="30" t="s">
        <v>54</v>
      </c>
      <c r="AV40" s="28">
        <f>ROUND(AW40+AX40,2)</f>
        <v>0</v>
      </c>
      <c r="AW40" s="28">
        <f>ROUND(F40*AO40,2)</f>
        <v>0</v>
      </c>
      <c r="AX40" s="28">
        <f>ROUND(F40*AP40,2)</f>
        <v>0</v>
      </c>
      <c r="AY40" s="30" t="s">
        <v>523</v>
      </c>
      <c r="AZ40" s="30" t="s">
        <v>108</v>
      </c>
      <c r="BA40" s="10" t="s">
        <v>60</v>
      </c>
      <c r="BC40" s="28">
        <f>AW40+AX40</f>
        <v>0</v>
      </c>
      <c r="BD40" s="28">
        <f>G40/(100-BE40)*100</f>
        <v>0</v>
      </c>
      <c r="BE40" s="28">
        <v>0</v>
      </c>
      <c r="BF40" s="28">
        <f>40</f>
        <v>40</v>
      </c>
      <c r="BH40" s="28">
        <f>F40*AO40</f>
        <v>0</v>
      </c>
      <c r="BI40" s="28">
        <f>F40*AP40</f>
        <v>0</v>
      </c>
      <c r="BJ40" s="28">
        <f>F40*G40</f>
        <v>0</v>
      </c>
      <c r="BK40" s="30" t="s">
        <v>61</v>
      </c>
      <c r="BL40" s="28">
        <v>90</v>
      </c>
      <c r="BW40" s="28">
        <v>21</v>
      </c>
      <c r="BX40" s="4" t="s">
        <v>522</v>
      </c>
    </row>
    <row r="41" spans="1:76" x14ac:dyDescent="0.25">
      <c r="A41" s="183" t="s">
        <v>49</v>
      </c>
      <c r="B41" s="25" t="s">
        <v>524</v>
      </c>
      <c r="C41" s="247" t="s">
        <v>525</v>
      </c>
      <c r="D41" s="248"/>
      <c r="E41" s="26" t="s">
        <v>4</v>
      </c>
      <c r="F41" s="26" t="s">
        <v>4</v>
      </c>
      <c r="G41" s="26" t="s">
        <v>4</v>
      </c>
      <c r="H41" s="1">
        <f>SUM(H42:H42)</f>
        <v>0</v>
      </c>
      <c r="I41" s="1">
        <f>SUM(I42:I42)</f>
        <v>0</v>
      </c>
      <c r="J41" s="1">
        <f>SUM(J42:J42)</f>
        <v>0</v>
      </c>
      <c r="K41" s="187" t="s">
        <v>49</v>
      </c>
      <c r="AI41" s="10" t="s">
        <v>53</v>
      </c>
      <c r="AS41" s="1">
        <f>SUM(AJ42:AJ42)</f>
        <v>0</v>
      </c>
      <c r="AT41" s="1">
        <f>SUM(AK42:AK42)</f>
        <v>0</v>
      </c>
      <c r="AU41" s="1">
        <f>SUM(AL42:AL42)</f>
        <v>0</v>
      </c>
    </row>
    <row r="42" spans="1:76" x14ac:dyDescent="0.25">
      <c r="A42" s="56" t="s">
        <v>112</v>
      </c>
      <c r="B42" s="3" t="s">
        <v>526</v>
      </c>
      <c r="C42" s="193" t="s">
        <v>527</v>
      </c>
      <c r="D42" s="194"/>
      <c r="E42" s="3" t="s">
        <v>183</v>
      </c>
      <c r="F42" s="28">
        <v>7.6</v>
      </c>
      <c r="G42" s="299">
        <v>0</v>
      </c>
      <c r="H42" s="28">
        <f>ROUND(F42*AO42,2)</f>
        <v>0</v>
      </c>
      <c r="I42" s="28">
        <f>ROUND(F42*AP42,2)</f>
        <v>0</v>
      </c>
      <c r="J42" s="28">
        <f>ROUND(F42*G42,2)</f>
        <v>0</v>
      </c>
      <c r="K42" s="188" t="s">
        <v>129</v>
      </c>
      <c r="Z42" s="28">
        <f>ROUND(IF(AQ42="5",BJ42,0),2)</f>
        <v>0</v>
      </c>
      <c r="AB42" s="28">
        <f>ROUND(IF(AQ42="1",BH42,0),2)</f>
        <v>0</v>
      </c>
      <c r="AC42" s="28">
        <f>ROUND(IF(AQ42="1",BI42,0),2)</f>
        <v>0</v>
      </c>
      <c r="AD42" s="28">
        <f>ROUND(IF(AQ42="7",BH42,0),2)</f>
        <v>0</v>
      </c>
      <c r="AE42" s="28">
        <f>ROUND(IF(AQ42="7",BI42,0),2)</f>
        <v>0</v>
      </c>
      <c r="AF42" s="28">
        <f>ROUND(IF(AQ42="2",BH42,0),2)</f>
        <v>0</v>
      </c>
      <c r="AG42" s="28">
        <f>ROUND(IF(AQ42="2",BI42,0),2)</f>
        <v>0</v>
      </c>
      <c r="AH42" s="28">
        <f>ROUND(IF(AQ42="0",BJ42,0),2)</f>
        <v>0</v>
      </c>
      <c r="AI42" s="10" t="s">
        <v>53</v>
      </c>
      <c r="AJ42" s="28">
        <f>IF(AN42=0,J42,0)</f>
        <v>0</v>
      </c>
      <c r="AK42" s="28">
        <f>IF(AN42=12,J42,0)</f>
        <v>0</v>
      </c>
      <c r="AL42" s="28">
        <f>IF(AN42=21,J42,0)</f>
        <v>0</v>
      </c>
      <c r="AN42" s="28">
        <v>21</v>
      </c>
      <c r="AO42" s="28">
        <f>G42*0.562991884</f>
        <v>0</v>
      </c>
      <c r="AP42" s="28">
        <f>G42*(1-0.562991884)</f>
        <v>0</v>
      </c>
      <c r="AQ42" s="30" t="s">
        <v>54</v>
      </c>
      <c r="AV42" s="28">
        <f>ROUND(AW42+AX42,2)</f>
        <v>0</v>
      </c>
      <c r="AW42" s="28">
        <f>ROUND(F42*AO42,2)</f>
        <v>0</v>
      </c>
      <c r="AX42" s="28">
        <f>ROUND(F42*AP42,2)</f>
        <v>0</v>
      </c>
      <c r="AY42" s="30" t="s">
        <v>528</v>
      </c>
      <c r="AZ42" s="30" t="s">
        <v>108</v>
      </c>
      <c r="BA42" s="10" t="s">
        <v>60</v>
      </c>
      <c r="BC42" s="28">
        <f>AW42+AX42</f>
        <v>0</v>
      </c>
      <c r="BD42" s="28">
        <f>G42/(100-BE42)*100</f>
        <v>0</v>
      </c>
      <c r="BE42" s="28">
        <v>0</v>
      </c>
      <c r="BF42" s="28">
        <f>42</f>
        <v>42</v>
      </c>
      <c r="BH42" s="28">
        <f>F42*AO42</f>
        <v>0</v>
      </c>
      <c r="BI42" s="28">
        <f>F42*AP42</f>
        <v>0</v>
      </c>
      <c r="BJ42" s="28">
        <f>F42*G42</f>
        <v>0</v>
      </c>
      <c r="BK42" s="30" t="s">
        <v>61</v>
      </c>
      <c r="BL42" s="28">
        <v>91</v>
      </c>
      <c r="BW42" s="28">
        <v>21</v>
      </c>
      <c r="BX42" s="4" t="s">
        <v>527</v>
      </c>
    </row>
    <row r="43" spans="1:76" x14ac:dyDescent="0.25">
      <c r="A43" s="183" t="s">
        <v>49</v>
      </c>
      <c r="B43" s="25" t="s">
        <v>529</v>
      </c>
      <c r="C43" s="247" t="s">
        <v>530</v>
      </c>
      <c r="D43" s="248"/>
      <c r="E43" s="26" t="s">
        <v>4</v>
      </c>
      <c r="F43" s="26" t="s">
        <v>4</v>
      </c>
      <c r="G43" s="26" t="s">
        <v>4</v>
      </c>
      <c r="H43" s="1">
        <f>SUM(H44:H44)</f>
        <v>0</v>
      </c>
      <c r="I43" s="1">
        <f>SUM(I44:I44)</f>
        <v>0</v>
      </c>
      <c r="J43" s="1">
        <f>SUM(J44:J44)</f>
        <v>0</v>
      </c>
      <c r="K43" s="187" t="s">
        <v>49</v>
      </c>
      <c r="AI43" s="10" t="s">
        <v>53</v>
      </c>
      <c r="AS43" s="1">
        <f>SUM(AJ44:AJ44)</f>
        <v>0</v>
      </c>
      <c r="AT43" s="1">
        <f>SUM(AK44:AK44)</f>
        <v>0</v>
      </c>
      <c r="AU43" s="1">
        <f>SUM(AL44:AL44)</f>
        <v>0</v>
      </c>
    </row>
    <row r="44" spans="1:76" x14ac:dyDescent="0.25">
      <c r="A44" s="56" t="s">
        <v>115</v>
      </c>
      <c r="B44" s="3" t="s">
        <v>531</v>
      </c>
      <c r="C44" s="193" t="s">
        <v>532</v>
      </c>
      <c r="D44" s="194"/>
      <c r="E44" s="3" t="s">
        <v>457</v>
      </c>
      <c r="F44" s="28">
        <v>1.5</v>
      </c>
      <c r="G44" s="299">
        <v>0</v>
      </c>
      <c r="H44" s="28">
        <f>ROUND(F44*AO44,2)</f>
        <v>0</v>
      </c>
      <c r="I44" s="28">
        <f>ROUND(F44*AP44,2)</f>
        <v>0</v>
      </c>
      <c r="J44" s="28">
        <f>ROUND(F44*G44,2)</f>
        <v>0</v>
      </c>
      <c r="K44" s="188" t="s">
        <v>129</v>
      </c>
      <c r="Z44" s="28">
        <f>ROUND(IF(AQ44="5",BJ44,0),2)</f>
        <v>0</v>
      </c>
      <c r="AB44" s="28">
        <f>ROUND(IF(AQ44="1",BH44,0),2)</f>
        <v>0</v>
      </c>
      <c r="AC44" s="28">
        <f>ROUND(IF(AQ44="1",BI44,0),2)</f>
        <v>0</v>
      </c>
      <c r="AD44" s="28">
        <f>ROUND(IF(AQ44="7",BH44,0),2)</f>
        <v>0</v>
      </c>
      <c r="AE44" s="28">
        <f>ROUND(IF(AQ44="7",BI44,0),2)</f>
        <v>0</v>
      </c>
      <c r="AF44" s="28">
        <f>ROUND(IF(AQ44="2",BH44,0),2)</f>
        <v>0</v>
      </c>
      <c r="AG44" s="28">
        <f>ROUND(IF(AQ44="2",BI44,0),2)</f>
        <v>0</v>
      </c>
      <c r="AH44" s="28">
        <f>ROUND(IF(AQ44="0",BJ44,0),2)</f>
        <v>0</v>
      </c>
      <c r="AI44" s="10" t="s">
        <v>53</v>
      </c>
      <c r="AJ44" s="28">
        <f>IF(AN44=0,J44,0)</f>
        <v>0</v>
      </c>
      <c r="AK44" s="28">
        <f>IF(AN44=12,J44,0)</f>
        <v>0</v>
      </c>
      <c r="AL44" s="28">
        <f>IF(AN44=21,J44,0)</f>
        <v>0</v>
      </c>
      <c r="AN44" s="28">
        <v>21</v>
      </c>
      <c r="AO44" s="28">
        <f>G44*0</f>
        <v>0</v>
      </c>
      <c r="AP44" s="28">
        <f>G44*(1-0)</f>
        <v>0</v>
      </c>
      <c r="AQ44" s="30" t="s">
        <v>54</v>
      </c>
      <c r="AV44" s="28">
        <f>ROUND(AW44+AX44,2)</f>
        <v>0</v>
      </c>
      <c r="AW44" s="28">
        <f>ROUND(F44*AO44,2)</f>
        <v>0</v>
      </c>
      <c r="AX44" s="28">
        <f>ROUND(F44*AP44,2)</f>
        <v>0</v>
      </c>
      <c r="AY44" s="30" t="s">
        <v>533</v>
      </c>
      <c r="AZ44" s="30" t="s">
        <v>108</v>
      </c>
      <c r="BA44" s="10" t="s">
        <v>60</v>
      </c>
      <c r="BC44" s="28">
        <f>AW44+AX44</f>
        <v>0</v>
      </c>
      <c r="BD44" s="28">
        <f>G44/(100-BE44)*100</f>
        <v>0</v>
      </c>
      <c r="BE44" s="28">
        <v>0</v>
      </c>
      <c r="BF44" s="28">
        <f>44</f>
        <v>44</v>
      </c>
      <c r="BH44" s="28">
        <f>F44*AO44</f>
        <v>0</v>
      </c>
      <c r="BI44" s="28">
        <f>F44*AP44</f>
        <v>0</v>
      </c>
      <c r="BJ44" s="28">
        <f>F44*G44</f>
        <v>0</v>
      </c>
      <c r="BK44" s="30" t="s">
        <v>61</v>
      </c>
      <c r="BL44" s="28">
        <v>96</v>
      </c>
      <c r="BW44" s="28">
        <v>21</v>
      </c>
      <c r="BX44" s="4" t="s">
        <v>532</v>
      </c>
    </row>
    <row r="45" spans="1:76" x14ac:dyDescent="0.25">
      <c r="A45" s="183" t="s">
        <v>49</v>
      </c>
      <c r="B45" s="25" t="s">
        <v>178</v>
      </c>
      <c r="C45" s="247" t="s">
        <v>179</v>
      </c>
      <c r="D45" s="248"/>
      <c r="E45" s="26" t="s">
        <v>4</v>
      </c>
      <c r="F45" s="26" t="s">
        <v>4</v>
      </c>
      <c r="G45" s="26" t="s">
        <v>4</v>
      </c>
      <c r="H45" s="1">
        <f>SUM(H46:H46)</f>
        <v>0</v>
      </c>
      <c r="I45" s="1">
        <f>SUM(I46:I46)</f>
        <v>0</v>
      </c>
      <c r="J45" s="1">
        <f>SUM(J46:J46)</f>
        <v>0</v>
      </c>
      <c r="K45" s="187" t="s">
        <v>49</v>
      </c>
      <c r="AI45" s="10" t="s">
        <v>53</v>
      </c>
      <c r="AS45" s="1">
        <f>SUM(AJ46:AJ46)</f>
        <v>0</v>
      </c>
      <c r="AT45" s="1">
        <f>SUM(AK46:AK46)</f>
        <v>0</v>
      </c>
      <c r="AU45" s="1">
        <f>SUM(AL46:AL46)</f>
        <v>0</v>
      </c>
    </row>
    <row r="46" spans="1:76" x14ac:dyDescent="0.25">
      <c r="A46" s="56" t="s">
        <v>118</v>
      </c>
      <c r="B46" s="3" t="s">
        <v>534</v>
      </c>
      <c r="C46" s="193" t="s">
        <v>535</v>
      </c>
      <c r="D46" s="194"/>
      <c r="E46" s="3" t="s">
        <v>105</v>
      </c>
      <c r="F46" s="28">
        <v>1.35</v>
      </c>
      <c r="G46" s="299">
        <v>0</v>
      </c>
      <c r="H46" s="28">
        <f>ROUND(F46*AO46,2)</f>
        <v>0</v>
      </c>
      <c r="I46" s="28">
        <f>ROUND(F46*AP46,2)</f>
        <v>0</v>
      </c>
      <c r="J46" s="28">
        <f>ROUND(F46*G46,2)</f>
        <v>0</v>
      </c>
      <c r="K46" s="188" t="s">
        <v>129</v>
      </c>
      <c r="Z46" s="28">
        <f>ROUND(IF(AQ46="5",BJ46,0),2)</f>
        <v>0</v>
      </c>
      <c r="AB46" s="28">
        <f>ROUND(IF(AQ46="1",BH46,0),2)</f>
        <v>0</v>
      </c>
      <c r="AC46" s="28">
        <f>ROUND(IF(AQ46="1",BI46,0),2)</f>
        <v>0</v>
      </c>
      <c r="AD46" s="28">
        <f>ROUND(IF(AQ46="7",BH46,0),2)</f>
        <v>0</v>
      </c>
      <c r="AE46" s="28">
        <f>ROUND(IF(AQ46="7",BI46,0),2)</f>
        <v>0</v>
      </c>
      <c r="AF46" s="28">
        <f>ROUND(IF(AQ46="2",BH46,0),2)</f>
        <v>0</v>
      </c>
      <c r="AG46" s="28">
        <f>ROUND(IF(AQ46="2",BI46,0),2)</f>
        <v>0</v>
      </c>
      <c r="AH46" s="28">
        <f>ROUND(IF(AQ46="0",BJ46,0),2)</f>
        <v>0</v>
      </c>
      <c r="AI46" s="10" t="s">
        <v>53</v>
      </c>
      <c r="AJ46" s="28">
        <f>IF(AN46=0,J46,0)</f>
        <v>0</v>
      </c>
      <c r="AK46" s="28">
        <f>IF(AN46=12,J46,0)</f>
        <v>0</v>
      </c>
      <c r="AL46" s="28">
        <f>IF(AN46=21,J46,0)</f>
        <v>0</v>
      </c>
      <c r="AN46" s="28">
        <v>21</v>
      </c>
      <c r="AO46" s="28">
        <f>G46*0.003030471</f>
        <v>0</v>
      </c>
      <c r="AP46" s="28">
        <f>G46*(1-0.003030471)</f>
        <v>0</v>
      </c>
      <c r="AQ46" s="30" t="s">
        <v>54</v>
      </c>
      <c r="AV46" s="28">
        <f>ROUND(AW46+AX46,2)</f>
        <v>0</v>
      </c>
      <c r="AW46" s="28">
        <f>ROUND(F46*AO46,2)</f>
        <v>0</v>
      </c>
      <c r="AX46" s="28">
        <f>ROUND(F46*AP46,2)</f>
        <v>0</v>
      </c>
      <c r="AY46" s="30" t="s">
        <v>184</v>
      </c>
      <c r="AZ46" s="30" t="s">
        <v>108</v>
      </c>
      <c r="BA46" s="10" t="s">
        <v>60</v>
      </c>
      <c r="BC46" s="28">
        <f>AW46+AX46</f>
        <v>0</v>
      </c>
      <c r="BD46" s="28">
        <f>G46/(100-BE46)*100</f>
        <v>0</v>
      </c>
      <c r="BE46" s="28">
        <v>0</v>
      </c>
      <c r="BF46" s="28">
        <f>46</f>
        <v>46</v>
      </c>
      <c r="BH46" s="28">
        <f>F46*AO46</f>
        <v>0</v>
      </c>
      <c r="BI46" s="28">
        <f>F46*AP46</f>
        <v>0</v>
      </c>
      <c r="BJ46" s="28">
        <f>F46*G46</f>
        <v>0</v>
      </c>
      <c r="BK46" s="30" t="s">
        <v>61</v>
      </c>
      <c r="BL46" s="28">
        <v>97</v>
      </c>
      <c r="BW46" s="28">
        <v>21</v>
      </c>
      <c r="BX46" s="4" t="s">
        <v>535</v>
      </c>
    </row>
    <row r="47" spans="1:76" x14ac:dyDescent="0.25">
      <c r="A47" s="183" t="s">
        <v>49</v>
      </c>
      <c r="B47" s="25" t="s">
        <v>188</v>
      </c>
      <c r="C47" s="247" t="s">
        <v>189</v>
      </c>
      <c r="D47" s="248"/>
      <c r="E47" s="26" t="s">
        <v>4</v>
      </c>
      <c r="F47" s="26" t="s">
        <v>4</v>
      </c>
      <c r="G47" s="26" t="s">
        <v>4</v>
      </c>
      <c r="H47" s="1">
        <f>SUM(H48:H48)</f>
        <v>0</v>
      </c>
      <c r="I47" s="1">
        <f>SUM(I48:I48)</f>
        <v>0</v>
      </c>
      <c r="J47" s="1">
        <f>SUM(J48:J48)</f>
        <v>0</v>
      </c>
      <c r="K47" s="187" t="s">
        <v>49</v>
      </c>
      <c r="AI47" s="10" t="s">
        <v>53</v>
      </c>
      <c r="AS47" s="1">
        <f>SUM(AJ48:AJ48)</f>
        <v>0</v>
      </c>
      <c r="AT47" s="1">
        <f>SUM(AK48:AK48)</f>
        <v>0</v>
      </c>
      <c r="AU47" s="1">
        <f>SUM(AL48:AL48)</f>
        <v>0</v>
      </c>
    </row>
    <row r="48" spans="1:76" x14ac:dyDescent="0.25">
      <c r="A48" s="56" t="s">
        <v>121</v>
      </c>
      <c r="B48" s="3" t="s">
        <v>536</v>
      </c>
      <c r="C48" s="193" t="s">
        <v>537</v>
      </c>
      <c r="D48" s="194"/>
      <c r="E48" s="3" t="s">
        <v>193</v>
      </c>
      <c r="F48" s="28">
        <v>47.08</v>
      </c>
      <c r="G48" s="299">
        <v>0</v>
      </c>
      <c r="H48" s="28">
        <f>ROUND(F48*AO48,2)</f>
        <v>0</v>
      </c>
      <c r="I48" s="28">
        <f>ROUND(F48*AP48,2)</f>
        <v>0</v>
      </c>
      <c r="J48" s="28">
        <f>ROUND(F48*G48,2)</f>
        <v>0</v>
      </c>
      <c r="K48" s="188" t="s">
        <v>129</v>
      </c>
      <c r="Z48" s="28">
        <f>ROUND(IF(AQ48="5",BJ48,0),2)</f>
        <v>0</v>
      </c>
      <c r="AB48" s="28">
        <f>ROUND(IF(AQ48="1",BH48,0),2)</f>
        <v>0</v>
      </c>
      <c r="AC48" s="28">
        <f>ROUND(IF(AQ48="1",BI48,0),2)</f>
        <v>0</v>
      </c>
      <c r="AD48" s="28">
        <f>ROUND(IF(AQ48="7",BH48,0),2)</f>
        <v>0</v>
      </c>
      <c r="AE48" s="28">
        <f>ROUND(IF(AQ48="7",BI48,0),2)</f>
        <v>0</v>
      </c>
      <c r="AF48" s="28">
        <f>ROUND(IF(AQ48="2",BH48,0),2)</f>
        <v>0</v>
      </c>
      <c r="AG48" s="28">
        <f>ROUND(IF(AQ48="2",BI48,0),2)</f>
        <v>0</v>
      </c>
      <c r="AH48" s="28">
        <f>ROUND(IF(AQ48="0",BJ48,0),2)</f>
        <v>0</v>
      </c>
      <c r="AI48" s="10" t="s">
        <v>53</v>
      </c>
      <c r="AJ48" s="28">
        <f>IF(AN48=0,J48,0)</f>
        <v>0</v>
      </c>
      <c r="AK48" s="28">
        <f>IF(AN48=12,J48,0)</f>
        <v>0</v>
      </c>
      <c r="AL48" s="28">
        <f>IF(AN48=21,J48,0)</f>
        <v>0</v>
      </c>
      <c r="AN48" s="28">
        <v>21</v>
      </c>
      <c r="AO48" s="28">
        <f>G48*0</f>
        <v>0</v>
      </c>
      <c r="AP48" s="28">
        <f>G48*(1-0)</f>
        <v>0</v>
      </c>
      <c r="AQ48" s="30" t="s">
        <v>72</v>
      </c>
      <c r="AV48" s="28">
        <f>ROUND(AW48+AX48,2)</f>
        <v>0</v>
      </c>
      <c r="AW48" s="28">
        <f>ROUND(F48*AO48,2)</f>
        <v>0</v>
      </c>
      <c r="AX48" s="28">
        <f>ROUND(F48*AP48,2)</f>
        <v>0</v>
      </c>
      <c r="AY48" s="30" t="s">
        <v>194</v>
      </c>
      <c r="AZ48" s="30" t="s">
        <v>108</v>
      </c>
      <c r="BA48" s="10" t="s">
        <v>60</v>
      </c>
      <c r="BC48" s="28">
        <f>AW48+AX48</f>
        <v>0</v>
      </c>
      <c r="BD48" s="28">
        <f>G48/(100-BE48)*100</f>
        <v>0</v>
      </c>
      <c r="BE48" s="28">
        <v>0</v>
      </c>
      <c r="BF48" s="28">
        <f>48</f>
        <v>48</v>
      </c>
      <c r="BH48" s="28">
        <f>F48*AO48</f>
        <v>0</v>
      </c>
      <c r="BI48" s="28">
        <f>F48*AP48</f>
        <v>0</v>
      </c>
      <c r="BJ48" s="28">
        <f>F48*G48</f>
        <v>0</v>
      </c>
      <c r="BK48" s="30" t="s">
        <v>61</v>
      </c>
      <c r="BL48" s="28"/>
      <c r="BW48" s="28">
        <v>21</v>
      </c>
      <c r="BX48" s="4" t="s">
        <v>537</v>
      </c>
    </row>
    <row r="49" spans="1:76" x14ac:dyDescent="0.25">
      <c r="A49" s="183" t="s">
        <v>49</v>
      </c>
      <c r="B49" s="25" t="s">
        <v>538</v>
      </c>
      <c r="C49" s="247" t="s">
        <v>539</v>
      </c>
      <c r="D49" s="248"/>
      <c r="E49" s="26" t="s">
        <v>4</v>
      </c>
      <c r="F49" s="26" t="s">
        <v>4</v>
      </c>
      <c r="G49" s="26" t="s">
        <v>4</v>
      </c>
      <c r="H49" s="1">
        <f>SUM(H50:H50)</f>
        <v>0</v>
      </c>
      <c r="I49" s="1">
        <f>SUM(I50:I50)</f>
        <v>0</v>
      </c>
      <c r="J49" s="1">
        <f>SUM(J50:J50)</f>
        <v>0</v>
      </c>
      <c r="K49" s="187" t="s">
        <v>49</v>
      </c>
      <c r="AI49" s="10" t="s">
        <v>53</v>
      </c>
      <c r="AS49" s="1">
        <f>SUM(AJ50:AJ50)</f>
        <v>0</v>
      </c>
      <c r="AT49" s="1">
        <f>SUM(AK50:AK50)</f>
        <v>0</v>
      </c>
      <c r="AU49" s="1">
        <f>SUM(AL50:AL50)</f>
        <v>0</v>
      </c>
    </row>
    <row r="50" spans="1:76" x14ac:dyDescent="0.25">
      <c r="A50" s="56" t="s">
        <v>126</v>
      </c>
      <c r="B50" s="3" t="s">
        <v>540</v>
      </c>
      <c r="C50" s="193" t="s">
        <v>541</v>
      </c>
      <c r="D50" s="194"/>
      <c r="E50" s="3" t="s">
        <v>143</v>
      </c>
      <c r="F50" s="28">
        <v>1</v>
      </c>
      <c r="G50" s="299">
        <v>0</v>
      </c>
      <c r="H50" s="28">
        <f>ROUND(F50*AO50,2)</f>
        <v>0</v>
      </c>
      <c r="I50" s="28">
        <f>ROUND(F50*AP50,2)</f>
        <v>0</v>
      </c>
      <c r="J50" s="28">
        <f>ROUND(F50*G50,2)</f>
        <v>0</v>
      </c>
      <c r="K50" s="188" t="s">
        <v>129</v>
      </c>
      <c r="Z50" s="28">
        <f>ROUND(IF(AQ50="5",BJ50,0),2)</f>
        <v>0</v>
      </c>
      <c r="AB50" s="28">
        <f>ROUND(IF(AQ50="1",BH50,0),2)</f>
        <v>0</v>
      </c>
      <c r="AC50" s="28">
        <f>ROUND(IF(AQ50="1",BI50,0),2)</f>
        <v>0</v>
      </c>
      <c r="AD50" s="28">
        <f>ROUND(IF(AQ50="7",BH50,0),2)</f>
        <v>0</v>
      </c>
      <c r="AE50" s="28">
        <f>ROUND(IF(AQ50="7",BI50,0),2)</f>
        <v>0</v>
      </c>
      <c r="AF50" s="28">
        <f>ROUND(IF(AQ50="2",BH50,0),2)</f>
        <v>0</v>
      </c>
      <c r="AG50" s="28">
        <f>ROUND(IF(AQ50="2",BI50,0),2)</f>
        <v>0</v>
      </c>
      <c r="AH50" s="28">
        <f>ROUND(IF(AQ50="0",BJ50,0),2)</f>
        <v>0</v>
      </c>
      <c r="AI50" s="10" t="s">
        <v>53</v>
      </c>
      <c r="AJ50" s="28">
        <f>IF(AN50=0,J50,0)</f>
        <v>0</v>
      </c>
      <c r="AK50" s="28">
        <f>IF(AN50=12,J50,0)</f>
        <v>0</v>
      </c>
      <c r="AL50" s="28">
        <f>IF(AN50=21,J50,0)</f>
        <v>0</v>
      </c>
      <c r="AN50" s="28">
        <v>21</v>
      </c>
      <c r="AO50" s="28">
        <f>G50*0</f>
        <v>0</v>
      </c>
      <c r="AP50" s="28">
        <f>G50*(1-0)</f>
        <v>0</v>
      </c>
      <c r="AQ50" s="30" t="s">
        <v>62</v>
      </c>
      <c r="AV50" s="28">
        <f>ROUND(AW50+AX50,2)</f>
        <v>0</v>
      </c>
      <c r="AW50" s="28">
        <f>ROUND(F50*AO50,2)</f>
        <v>0</v>
      </c>
      <c r="AX50" s="28">
        <f>ROUND(F50*AP50,2)</f>
        <v>0</v>
      </c>
      <c r="AY50" s="30" t="s">
        <v>542</v>
      </c>
      <c r="AZ50" s="30" t="s">
        <v>108</v>
      </c>
      <c r="BA50" s="10" t="s">
        <v>60</v>
      </c>
      <c r="BC50" s="28">
        <f>AW50+AX50</f>
        <v>0</v>
      </c>
      <c r="BD50" s="28">
        <f>G50/(100-BE50)*100</f>
        <v>0</v>
      </c>
      <c r="BE50" s="28">
        <v>0</v>
      </c>
      <c r="BF50" s="28">
        <f>50</f>
        <v>50</v>
      </c>
      <c r="BH50" s="28">
        <f>F50*AO50</f>
        <v>0</v>
      </c>
      <c r="BI50" s="28">
        <f>F50*AP50</f>
        <v>0</v>
      </c>
      <c r="BJ50" s="28">
        <f>F50*G50</f>
        <v>0</v>
      </c>
      <c r="BK50" s="30" t="s">
        <v>61</v>
      </c>
      <c r="BL50" s="28"/>
      <c r="BW50" s="28">
        <v>21</v>
      </c>
      <c r="BX50" s="4" t="s">
        <v>541</v>
      </c>
    </row>
    <row r="51" spans="1:76" x14ac:dyDescent="0.25">
      <c r="A51" s="183" t="s">
        <v>49</v>
      </c>
      <c r="B51" s="25" t="s">
        <v>543</v>
      </c>
      <c r="C51" s="247" t="s">
        <v>544</v>
      </c>
      <c r="D51" s="248"/>
      <c r="E51" s="26" t="s">
        <v>4</v>
      </c>
      <c r="F51" s="26" t="s">
        <v>4</v>
      </c>
      <c r="G51" s="26" t="s">
        <v>4</v>
      </c>
      <c r="H51" s="1">
        <f>SUM(H52:H52)</f>
        <v>0</v>
      </c>
      <c r="I51" s="1">
        <f>SUM(I52:I52)</f>
        <v>0</v>
      </c>
      <c r="J51" s="1">
        <f>SUM(J52:J52)</f>
        <v>0</v>
      </c>
      <c r="K51" s="187" t="s">
        <v>49</v>
      </c>
      <c r="AI51" s="10" t="s">
        <v>53</v>
      </c>
      <c r="AS51" s="1">
        <f>SUM(AJ52:AJ52)</f>
        <v>0</v>
      </c>
      <c r="AT51" s="1">
        <f>SUM(AK52:AK52)</f>
        <v>0</v>
      </c>
      <c r="AU51" s="1">
        <f>SUM(AL52:AL52)</f>
        <v>0</v>
      </c>
    </row>
    <row r="52" spans="1:76" x14ac:dyDescent="0.25">
      <c r="A52" s="56" t="s">
        <v>131</v>
      </c>
      <c r="B52" s="3" t="s">
        <v>545</v>
      </c>
      <c r="C52" s="193" t="s">
        <v>546</v>
      </c>
      <c r="D52" s="194"/>
      <c r="E52" s="3" t="s">
        <v>457</v>
      </c>
      <c r="F52" s="28">
        <v>3.66</v>
      </c>
      <c r="G52" s="299">
        <v>0</v>
      </c>
      <c r="H52" s="28">
        <f>ROUND(F52*AO52,2)</f>
        <v>0</v>
      </c>
      <c r="I52" s="28">
        <f>ROUND(F52*AP52,2)</f>
        <v>0</v>
      </c>
      <c r="J52" s="28">
        <f>ROUND(F52*G52,2)</f>
        <v>0</v>
      </c>
      <c r="K52" s="188" t="s">
        <v>129</v>
      </c>
      <c r="Z52" s="28">
        <f>ROUND(IF(AQ52="5",BJ52,0),2)</f>
        <v>0</v>
      </c>
      <c r="AB52" s="28">
        <f>ROUND(IF(AQ52="1",BH52,0),2)</f>
        <v>0</v>
      </c>
      <c r="AC52" s="28">
        <f>ROUND(IF(AQ52="1",BI52,0),2)</f>
        <v>0</v>
      </c>
      <c r="AD52" s="28">
        <f>ROUND(IF(AQ52="7",BH52,0),2)</f>
        <v>0</v>
      </c>
      <c r="AE52" s="28">
        <f>ROUND(IF(AQ52="7",BI52,0),2)</f>
        <v>0</v>
      </c>
      <c r="AF52" s="28">
        <f>ROUND(IF(AQ52="2",BH52,0),2)</f>
        <v>0</v>
      </c>
      <c r="AG52" s="28">
        <f>ROUND(IF(AQ52="2",BI52,0),2)</f>
        <v>0</v>
      </c>
      <c r="AH52" s="28">
        <f>ROUND(IF(AQ52="0",BJ52,0),2)</f>
        <v>0</v>
      </c>
      <c r="AI52" s="10" t="s">
        <v>53</v>
      </c>
      <c r="AJ52" s="28">
        <f>IF(AN52=0,J52,0)</f>
        <v>0</v>
      </c>
      <c r="AK52" s="28">
        <f>IF(AN52=12,J52,0)</f>
        <v>0</v>
      </c>
      <c r="AL52" s="28">
        <f>IF(AN52=21,J52,0)</f>
        <v>0</v>
      </c>
      <c r="AN52" s="28">
        <v>21</v>
      </c>
      <c r="AO52" s="28">
        <f>G52*0</f>
        <v>0</v>
      </c>
      <c r="AP52" s="28">
        <f>G52*(1-0)</f>
        <v>0</v>
      </c>
      <c r="AQ52" s="30" t="s">
        <v>62</v>
      </c>
      <c r="AV52" s="28">
        <f>ROUND(AW52+AX52,2)</f>
        <v>0</v>
      </c>
      <c r="AW52" s="28">
        <f>ROUND(F52*AO52,2)</f>
        <v>0</v>
      </c>
      <c r="AX52" s="28">
        <f>ROUND(F52*AP52,2)</f>
        <v>0</v>
      </c>
      <c r="AY52" s="30" t="s">
        <v>547</v>
      </c>
      <c r="AZ52" s="30" t="s">
        <v>108</v>
      </c>
      <c r="BA52" s="10" t="s">
        <v>60</v>
      </c>
      <c r="BC52" s="28">
        <f>AW52+AX52</f>
        <v>0</v>
      </c>
      <c r="BD52" s="28">
        <f>G52/(100-BE52)*100</f>
        <v>0</v>
      </c>
      <c r="BE52" s="28">
        <v>0</v>
      </c>
      <c r="BF52" s="28">
        <f>52</f>
        <v>52</v>
      </c>
      <c r="BH52" s="28">
        <f>F52*AO52</f>
        <v>0</v>
      </c>
      <c r="BI52" s="28">
        <f>F52*AP52</f>
        <v>0</v>
      </c>
      <c r="BJ52" s="28">
        <f>F52*G52</f>
        <v>0</v>
      </c>
      <c r="BK52" s="30" t="s">
        <v>61</v>
      </c>
      <c r="BL52" s="28"/>
      <c r="BW52" s="28">
        <v>21</v>
      </c>
      <c r="BX52" s="4" t="s">
        <v>546</v>
      </c>
    </row>
    <row r="53" spans="1:76" x14ac:dyDescent="0.25">
      <c r="A53" s="183" t="s">
        <v>49</v>
      </c>
      <c r="B53" s="25" t="s">
        <v>548</v>
      </c>
      <c r="C53" s="247" t="s">
        <v>549</v>
      </c>
      <c r="D53" s="248"/>
      <c r="E53" s="26" t="s">
        <v>4</v>
      </c>
      <c r="F53" s="26" t="s">
        <v>4</v>
      </c>
      <c r="G53" s="26" t="s">
        <v>4</v>
      </c>
      <c r="H53" s="1">
        <f>SUM(H54:H54)</f>
        <v>0</v>
      </c>
      <c r="I53" s="1">
        <f>SUM(I54:I54)</f>
        <v>0</v>
      </c>
      <c r="J53" s="1">
        <f>SUM(J54:J54)</f>
        <v>0</v>
      </c>
      <c r="K53" s="187" t="s">
        <v>49</v>
      </c>
      <c r="AI53" s="10" t="s">
        <v>53</v>
      </c>
      <c r="AS53" s="1">
        <f>SUM(AJ54:AJ54)</f>
        <v>0</v>
      </c>
      <c r="AT53" s="1">
        <f>SUM(AK54:AK54)</f>
        <v>0</v>
      </c>
      <c r="AU53" s="1">
        <f>SUM(AL54:AL54)</f>
        <v>0</v>
      </c>
    </row>
    <row r="54" spans="1:76" x14ac:dyDescent="0.25">
      <c r="A54" s="56" t="s">
        <v>134</v>
      </c>
      <c r="B54" s="3" t="s">
        <v>550</v>
      </c>
      <c r="C54" s="193" t="s">
        <v>551</v>
      </c>
      <c r="D54" s="194"/>
      <c r="E54" s="3" t="s">
        <v>143</v>
      </c>
      <c r="F54" s="28">
        <v>1</v>
      </c>
      <c r="G54" s="299">
        <v>0</v>
      </c>
      <c r="H54" s="28">
        <f>ROUND(F54*AO54,2)</f>
        <v>0</v>
      </c>
      <c r="I54" s="28">
        <f>ROUND(F54*AP54,2)</f>
        <v>0</v>
      </c>
      <c r="J54" s="28">
        <f>ROUND(F54*G54,2)</f>
        <v>0</v>
      </c>
      <c r="K54" s="188" t="s">
        <v>129</v>
      </c>
      <c r="Z54" s="28">
        <f>ROUND(IF(AQ54="5",BJ54,0),2)</f>
        <v>0</v>
      </c>
      <c r="AB54" s="28">
        <f>ROUND(IF(AQ54="1",BH54,0),2)</f>
        <v>0</v>
      </c>
      <c r="AC54" s="28">
        <f>ROUND(IF(AQ54="1",BI54,0),2)</f>
        <v>0</v>
      </c>
      <c r="AD54" s="28">
        <f>ROUND(IF(AQ54="7",BH54,0),2)</f>
        <v>0</v>
      </c>
      <c r="AE54" s="28">
        <f>ROUND(IF(AQ54="7",BI54,0),2)</f>
        <v>0</v>
      </c>
      <c r="AF54" s="28">
        <f>ROUND(IF(AQ54="2",BH54,0),2)</f>
        <v>0</v>
      </c>
      <c r="AG54" s="28">
        <f>ROUND(IF(AQ54="2",BI54,0),2)</f>
        <v>0</v>
      </c>
      <c r="AH54" s="28">
        <f>ROUND(IF(AQ54="0",BJ54,0),2)</f>
        <v>0</v>
      </c>
      <c r="AI54" s="10" t="s">
        <v>53</v>
      </c>
      <c r="AJ54" s="28">
        <f>IF(AN54=0,J54,0)</f>
        <v>0</v>
      </c>
      <c r="AK54" s="28">
        <f>IF(AN54=12,J54,0)</f>
        <v>0</v>
      </c>
      <c r="AL54" s="28">
        <f>IF(AN54=21,J54,0)</f>
        <v>0</v>
      </c>
      <c r="AN54" s="28">
        <v>21</v>
      </c>
      <c r="AO54" s="28">
        <f>G54*0</f>
        <v>0</v>
      </c>
      <c r="AP54" s="28">
        <f>G54*(1-0)</f>
        <v>0</v>
      </c>
      <c r="AQ54" s="30" t="s">
        <v>62</v>
      </c>
      <c r="AV54" s="28">
        <f>ROUND(AW54+AX54,2)</f>
        <v>0</v>
      </c>
      <c r="AW54" s="28">
        <f>ROUND(F54*AO54,2)</f>
        <v>0</v>
      </c>
      <c r="AX54" s="28">
        <f>ROUND(F54*AP54,2)</f>
        <v>0</v>
      </c>
      <c r="AY54" s="30" t="s">
        <v>552</v>
      </c>
      <c r="AZ54" s="30" t="s">
        <v>108</v>
      </c>
      <c r="BA54" s="10" t="s">
        <v>60</v>
      </c>
      <c r="BC54" s="28">
        <f>AW54+AX54</f>
        <v>0</v>
      </c>
      <c r="BD54" s="28">
        <f>G54/(100-BE54)*100</f>
        <v>0</v>
      </c>
      <c r="BE54" s="28">
        <v>0</v>
      </c>
      <c r="BF54" s="28">
        <f>54</f>
        <v>54</v>
      </c>
      <c r="BH54" s="28">
        <f>F54*AO54</f>
        <v>0</v>
      </c>
      <c r="BI54" s="28">
        <f>F54*AP54</f>
        <v>0</v>
      </c>
      <c r="BJ54" s="28">
        <f>F54*G54</f>
        <v>0</v>
      </c>
      <c r="BK54" s="30" t="s">
        <v>61</v>
      </c>
      <c r="BL54" s="28"/>
      <c r="BW54" s="28">
        <v>21</v>
      </c>
      <c r="BX54" s="4" t="s">
        <v>551</v>
      </c>
    </row>
    <row r="55" spans="1:76" x14ac:dyDescent="0.25">
      <c r="A55" s="183" t="s">
        <v>49</v>
      </c>
      <c r="B55" s="25" t="s">
        <v>553</v>
      </c>
      <c r="C55" s="247" t="s">
        <v>554</v>
      </c>
      <c r="D55" s="248"/>
      <c r="E55" s="26" t="s">
        <v>4</v>
      </c>
      <c r="F55" s="26" t="s">
        <v>4</v>
      </c>
      <c r="G55" s="26" t="s">
        <v>4</v>
      </c>
      <c r="H55" s="1">
        <f>SUM(H56:H60)</f>
        <v>0</v>
      </c>
      <c r="I55" s="1">
        <f>SUM(I56:I60)</f>
        <v>0</v>
      </c>
      <c r="J55" s="1">
        <f>SUM(J56:J60)</f>
        <v>0</v>
      </c>
      <c r="K55" s="187" t="s">
        <v>49</v>
      </c>
      <c r="AI55" s="10" t="s">
        <v>53</v>
      </c>
      <c r="AS55" s="1">
        <f>SUM(AJ56:AJ60)</f>
        <v>0</v>
      </c>
      <c r="AT55" s="1">
        <f>SUM(AK56:AK60)</f>
        <v>0</v>
      </c>
      <c r="AU55" s="1">
        <f>SUM(AL56:AL60)</f>
        <v>0</v>
      </c>
    </row>
    <row r="56" spans="1:76" x14ac:dyDescent="0.25">
      <c r="A56" s="56" t="s">
        <v>140</v>
      </c>
      <c r="B56" s="3" t="s">
        <v>555</v>
      </c>
      <c r="C56" s="193" t="s">
        <v>556</v>
      </c>
      <c r="D56" s="194"/>
      <c r="E56" s="3" t="s">
        <v>193</v>
      </c>
      <c r="F56" s="28">
        <v>1.62</v>
      </c>
      <c r="G56" s="299">
        <v>0</v>
      </c>
      <c r="H56" s="28">
        <f>ROUND(F56*AO56,2)</f>
        <v>0</v>
      </c>
      <c r="I56" s="28">
        <f>ROUND(F56*AP56,2)</f>
        <v>0</v>
      </c>
      <c r="J56" s="28">
        <f>ROUND(F56*G56,2)</f>
        <v>0</v>
      </c>
      <c r="K56" s="188" t="s">
        <v>129</v>
      </c>
      <c r="Z56" s="28">
        <f>ROUND(IF(AQ56="5",BJ56,0),2)</f>
        <v>0</v>
      </c>
      <c r="AB56" s="28">
        <f>ROUND(IF(AQ56="1",BH56,0),2)</f>
        <v>0</v>
      </c>
      <c r="AC56" s="28">
        <f>ROUND(IF(AQ56="1",BI56,0),2)</f>
        <v>0</v>
      </c>
      <c r="AD56" s="28">
        <f>ROUND(IF(AQ56="7",BH56,0),2)</f>
        <v>0</v>
      </c>
      <c r="AE56" s="28">
        <f>ROUND(IF(AQ56="7",BI56,0),2)</f>
        <v>0</v>
      </c>
      <c r="AF56" s="28">
        <f>ROUND(IF(AQ56="2",BH56,0),2)</f>
        <v>0</v>
      </c>
      <c r="AG56" s="28">
        <f>ROUND(IF(AQ56="2",BI56,0),2)</f>
        <v>0</v>
      </c>
      <c r="AH56" s="28">
        <f>ROUND(IF(AQ56="0",BJ56,0),2)</f>
        <v>0</v>
      </c>
      <c r="AI56" s="10" t="s">
        <v>53</v>
      </c>
      <c r="AJ56" s="28">
        <f>IF(AN56=0,J56,0)</f>
        <v>0</v>
      </c>
      <c r="AK56" s="28">
        <f>IF(AN56=12,J56,0)</f>
        <v>0</v>
      </c>
      <c r="AL56" s="28">
        <f>IF(AN56=21,J56,0)</f>
        <v>0</v>
      </c>
      <c r="AN56" s="28">
        <v>21</v>
      </c>
      <c r="AO56" s="28">
        <f>G56*0</f>
        <v>0</v>
      </c>
      <c r="AP56" s="28">
        <f>G56*(1-0)</f>
        <v>0</v>
      </c>
      <c r="AQ56" s="30" t="s">
        <v>72</v>
      </c>
      <c r="AV56" s="28">
        <f>ROUND(AW56+AX56,2)</f>
        <v>0</v>
      </c>
      <c r="AW56" s="28">
        <f>ROUND(F56*AO56,2)</f>
        <v>0</v>
      </c>
      <c r="AX56" s="28">
        <f>ROUND(F56*AP56,2)</f>
        <v>0</v>
      </c>
      <c r="AY56" s="30" t="s">
        <v>557</v>
      </c>
      <c r="AZ56" s="30" t="s">
        <v>108</v>
      </c>
      <c r="BA56" s="10" t="s">
        <v>60</v>
      </c>
      <c r="BC56" s="28">
        <f>AW56+AX56</f>
        <v>0</v>
      </c>
      <c r="BD56" s="28">
        <f>G56/(100-BE56)*100</f>
        <v>0</v>
      </c>
      <c r="BE56" s="28">
        <v>0</v>
      </c>
      <c r="BF56" s="28">
        <f>56</f>
        <v>56</v>
      </c>
      <c r="BH56" s="28">
        <f>F56*AO56</f>
        <v>0</v>
      </c>
      <c r="BI56" s="28">
        <f>F56*AP56</f>
        <v>0</v>
      </c>
      <c r="BJ56" s="28">
        <f>F56*G56</f>
        <v>0</v>
      </c>
      <c r="BK56" s="30" t="s">
        <v>61</v>
      </c>
      <c r="BL56" s="28"/>
      <c r="BW56" s="28">
        <v>21</v>
      </c>
      <c r="BX56" s="4" t="s">
        <v>556</v>
      </c>
    </row>
    <row r="57" spans="1:76" x14ac:dyDescent="0.25">
      <c r="A57" s="56" t="s">
        <v>145</v>
      </c>
      <c r="B57" s="3" t="s">
        <v>558</v>
      </c>
      <c r="C57" s="193" t="s">
        <v>559</v>
      </c>
      <c r="D57" s="194"/>
      <c r="E57" s="3" t="s">
        <v>193</v>
      </c>
      <c r="F57" s="28">
        <v>1.62</v>
      </c>
      <c r="G57" s="299">
        <v>0</v>
      </c>
      <c r="H57" s="28">
        <f>ROUND(F57*AO57,2)</f>
        <v>0</v>
      </c>
      <c r="I57" s="28">
        <f>ROUND(F57*AP57,2)</f>
        <v>0</v>
      </c>
      <c r="J57" s="28">
        <f>ROUND(F57*G57,2)</f>
        <v>0</v>
      </c>
      <c r="K57" s="188" t="s">
        <v>129</v>
      </c>
      <c r="Z57" s="28">
        <f>ROUND(IF(AQ57="5",BJ57,0),2)</f>
        <v>0</v>
      </c>
      <c r="AB57" s="28">
        <f>ROUND(IF(AQ57="1",BH57,0),2)</f>
        <v>0</v>
      </c>
      <c r="AC57" s="28">
        <f>ROUND(IF(AQ57="1",BI57,0),2)</f>
        <v>0</v>
      </c>
      <c r="AD57" s="28">
        <f>ROUND(IF(AQ57="7",BH57,0),2)</f>
        <v>0</v>
      </c>
      <c r="AE57" s="28">
        <f>ROUND(IF(AQ57="7",BI57,0),2)</f>
        <v>0</v>
      </c>
      <c r="AF57" s="28">
        <f>ROUND(IF(AQ57="2",BH57,0),2)</f>
        <v>0</v>
      </c>
      <c r="AG57" s="28">
        <f>ROUND(IF(AQ57="2",BI57,0),2)</f>
        <v>0</v>
      </c>
      <c r="AH57" s="28">
        <f>ROUND(IF(AQ57="0",BJ57,0),2)</f>
        <v>0</v>
      </c>
      <c r="AI57" s="10" t="s">
        <v>53</v>
      </c>
      <c r="AJ57" s="28">
        <f>IF(AN57=0,J57,0)</f>
        <v>0</v>
      </c>
      <c r="AK57" s="28">
        <f>IF(AN57=12,J57,0)</f>
        <v>0</v>
      </c>
      <c r="AL57" s="28">
        <f>IF(AN57=21,J57,0)</f>
        <v>0</v>
      </c>
      <c r="AN57" s="28">
        <v>21</v>
      </c>
      <c r="AO57" s="28">
        <f>G57*0</f>
        <v>0</v>
      </c>
      <c r="AP57" s="28">
        <f>G57*(1-0)</f>
        <v>0</v>
      </c>
      <c r="AQ57" s="30" t="s">
        <v>72</v>
      </c>
      <c r="AV57" s="28">
        <f>ROUND(AW57+AX57,2)</f>
        <v>0</v>
      </c>
      <c r="AW57" s="28">
        <f>ROUND(F57*AO57,2)</f>
        <v>0</v>
      </c>
      <c r="AX57" s="28">
        <f>ROUND(F57*AP57,2)</f>
        <v>0</v>
      </c>
      <c r="AY57" s="30" t="s">
        <v>557</v>
      </c>
      <c r="AZ57" s="30" t="s">
        <v>108</v>
      </c>
      <c r="BA57" s="10" t="s">
        <v>60</v>
      </c>
      <c r="BC57" s="28">
        <f>AW57+AX57</f>
        <v>0</v>
      </c>
      <c r="BD57" s="28">
        <f>G57/(100-BE57)*100</f>
        <v>0</v>
      </c>
      <c r="BE57" s="28">
        <v>0</v>
      </c>
      <c r="BF57" s="28">
        <f>57</f>
        <v>57</v>
      </c>
      <c r="BH57" s="28">
        <f>F57*AO57</f>
        <v>0</v>
      </c>
      <c r="BI57" s="28">
        <f>F57*AP57</f>
        <v>0</v>
      </c>
      <c r="BJ57" s="28">
        <f>F57*G57</f>
        <v>0</v>
      </c>
      <c r="BK57" s="30" t="s">
        <v>61</v>
      </c>
      <c r="BL57" s="28"/>
      <c r="BW57" s="28">
        <v>21</v>
      </c>
      <c r="BX57" s="4" t="s">
        <v>559</v>
      </c>
    </row>
    <row r="58" spans="1:76" x14ac:dyDescent="0.25">
      <c r="A58" s="56" t="s">
        <v>148</v>
      </c>
      <c r="B58" s="3" t="s">
        <v>560</v>
      </c>
      <c r="C58" s="193" t="s">
        <v>561</v>
      </c>
      <c r="D58" s="194"/>
      <c r="E58" s="3" t="s">
        <v>193</v>
      </c>
      <c r="F58" s="28">
        <v>1.62</v>
      </c>
      <c r="G58" s="299">
        <v>0</v>
      </c>
      <c r="H58" s="28">
        <f>ROUND(F58*AO58,2)</f>
        <v>0</v>
      </c>
      <c r="I58" s="28">
        <f>ROUND(F58*AP58,2)</f>
        <v>0</v>
      </c>
      <c r="J58" s="28">
        <f>ROUND(F58*G58,2)</f>
        <v>0</v>
      </c>
      <c r="K58" s="188" t="s">
        <v>129</v>
      </c>
      <c r="Z58" s="28">
        <f>ROUND(IF(AQ58="5",BJ58,0),2)</f>
        <v>0</v>
      </c>
      <c r="AB58" s="28">
        <f>ROUND(IF(AQ58="1",BH58,0),2)</f>
        <v>0</v>
      </c>
      <c r="AC58" s="28">
        <f>ROUND(IF(AQ58="1",BI58,0),2)</f>
        <v>0</v>
      </c>
      <c r="AD58" s="28">
        <f>ROUND(IF(AQ58="7",BH58,0),2)</f>
        <v>0</v>
      </c>
      <c r="AE58" s="28">
        <f>ROUND(IF(AQ58="7",BI58,0),2)</f>
        <v>0</v>
      </c>
      <c r="AF58" s="28">
        <f>ROUND(IF(AQ58="2",BH58,0),2)</f>
        <v>0</v>
      </c>
      <c r="AG58" s="28">
        <f>ROUND(IF(AQ58="2",BI58,0),2)</f>
        <v>0</v>
      </c>
      <c r="AH58" s="28">
        <f>ROUND(IF(AQ58="0",BJ58,0),2)</f>
        <v>0</v>
      </c>
      <c r="AI58" s="10" t="s">
        <v>53</v>
      </c>
      <c r="AJ58" s="28">
        <f>IF(AN58=0,J58,0)</f>
        <v>0</v>
      </c>
      <c r="AK58" s="28">
        <f>IF(AN58=12,J58,0)</f>
        <v>0</v>
      </c>
      <c r="AL58" s="28">
        <f>IF(AN58=21,J58,0)</f>
        <v>0</v>
      </c>
      <c r="AN58" s="28">
        <v>21</v>
      </c>
      <c r="AO58" s="28">
        <f>G58*0</f>
        <v>0</v>
      </c>
      <c r="AP58" s="28">
        <f>G58*(1-0)</f>
        <v>0</v>
      </c>
      <c r="AQ58" s="30" t="s">
        <v>72</v>
      </c>
      <c r="AV58" s="28">
        <f>ROUND(AW58+AX58,2)</f>
        <v>0</v>
      </c>
      <c r="AW58" s="28">
        <f>ROUND(F58*AO58,2)</f>
        <v>0</v>
      </c>
      <c r="AX58" s="28">
        <f>ROUND(F58*AP58,2)</f>
        <v>0</v>
      </c>
      <c r="AY58" s="30" t="s">
        <v>557</v>
      </c>
      <c r="AZ58" s="30" t="s">
        <v>108</v>
      </c>
      <c r="BA58" s="10" t="s">
        <v>60</v>
      </c>
      <c r="BC58" s="28">
        <f>AW58+AX58</f>
        <v>0</v>
      </c>
      <c r="BD58" s="28">
        <f>G58/(100-BE58)*100</f>
        <v>0</v>
      </c>
      <c r="BE58" s="28">
        <v>0</v>
      </c>
      <c r="BF58" s="28">
        <f>58</f>
        <v>58</v>
      </c>
      <c r="BH58" s="28">
        <f>F58*AO58</f>
        <v>0</v>
      </c>
      <c r="BI58" s="28">
        <f>F58*AP58</f>
        <v>0</v>
      </c>
      <c r="BJ58" s="28">
        <f>F58*G58</f>
        <v>0</v>
      </c>
      <c r="BK58" s="30" t="s">
        <v>61</v>
      </c>
      <c r="BL58" s="28"/>
      <c r="BW58" s="28">
        <v>21</v>
      </c>
      <c r="BX58" s="4" t="s">
        <v>561</v>
      </c>
    </row>
    <row r="59" spans="1:76" x14ac:dyDescent="0.25">
      <c r="A59" s="56" t="s">
        <v>151</v>
      </c>
      <c r="B59" s="3" t="s">
        <v>562</v>
      </c>
      <c r="C59" s="193" t="s">
        <v>563</v>
      </c>
      <c r="D59" s="194"/>
      <c r="E59" s="3" t="s">
        <v>193</v>
      </c>
      <c r="F59" s="28">
        <v>1.34</v>
      </c>
      <c r="G59" s="299">
        <v>0</v>
      </c>
      <c r="H59" s="28">
        <f>ROUND(F59*AO59,2)</f>
        <v>0</v>
      </c>
      <c r="I59" s="28">
        <f>ROUND(F59*AP59,2)</f>
        <v>0</v>
      </c>
      <c r="J59" s="28">
        <f>ROUND(F59*G59,2)</f>
        <v>0</v>
      </c>
      <c r="K59" s="188" t="s">
        <v>129</v>
      </c>
      <c r="Z59" s="28">
        <f>ROUND(IF(AQ59="5",BJ59,0),2)</f>
        <v>0</v>
      </c>
      <c r="AB59" s="28">
        <f>ROUND(IF(AQ59="1",BH59,0),2)</f>
        <v>0</v>
      </c>
      <c r="AC59" s="28">
        <f>ROUND(IF(AQ59="1",BI59,0),2)</f>
        <v>0</v>
      </c>
      <c r="AD59" s="28">
        <f>ROUND(IF(AQ59="7",BH59,0),2)</f>
        <v>0</v>
      </c>
      <c r="AE59" s="28">
        <f>ROUND(IF(AQ59="7",BI59,0),2)</f>
        <v>0</v>
      </c>
      <c r="AF59" s="28">
        <f>ROUND(IF(AQ59="2",BH59,0),2)</f>
        <v>0</v>
      </c>
      <c r="AG59" s="28">
        <f>ROUND(IF(AQ59="2",BI59,0),2)</f>
        <v>0</v>
      </c>
      <c r="AH59" s="28">
        <f>ROUND(IF(AQ59="0",BJ59,0),2)</f>
        <v>0</v>
      </c>
      <c r="AI59" s="10" t="s">
        <v>53</v>
      </c>
      <c r="AJ59" s="28">
        <f>IF(AN59=0,J59,0)</f>
        <v>0</v>
      </c>
      <c r="AK59" s="28">
        <f>IF(AN59=12,J59,0)</f>
        <v>0</v>
      </c>
      <c r="AL59" s="28">
        <f>IF(AN59=21,J59,0)</f>
        <v>0</v>
      </c>
      <c r="AN59" s="28">
        <v>21</v>
      </c>
      <c r="AO59" s="28">
        <f>G59*0</f>
        <v>0</v>
      </c>
      <c r="AP59" s="28">
        <f>G59*(1-0)</f>
        <v>0</v>
      </c>
      <c r="AQ59" s="30" t="s">
        <v>72</v>
      </c>
      <c r="AV59" s="28">
        <f>ROUND(AW59+AX59,2)</f>
        <v>0</v>
      </c>
      <c r="AW59" s="28">
        <f>ROUND(F59*AO59,2)</f>
        <v>0</v>
      </c>
      <c r="AX59" s="28">
        <f>ROUND(F59*AP59,2)</f>
        <v>0</v>
      </c>
      <c r="AY59" s="30" t="s">
        <v>557</v>
      </c>
      <c r="AZ59" s="30" t="s">
        <v>108</v>
      </c>
      <c r="BA59" s="10" t="s">
        <v>60</v>
      </c>
      <c r="BC59" s="28">
        <f>AW59+AX59</f>
        <v>0</v>
      </c>
      <c r="BD59" s="28">
        <f>G59/(100-BE59)*100</f>
        <v>0</v>
      </c>
      <c r="BE59" s="28">
        <v>0</v>
      </c>
      <c r="BF59" s="28">
        <f>59</f>
        <v>59</v>
      </c>
      <c r="BH59" s="28">
        <f>F59*AO59</f>
        <v>0</v>
      </c>
      <c r="BI59" s="28">
        <f>F59*AP59</f>
        <v>0</v>
      </c>
      <c r="BJ59" s="28">
        <f>F59*G59</f>
        <v>0</v>
      </c>
      <c r="BK59" s="30" t="s">
        <v>61</v>
      </c>
      <c r="BL59" s="28"/>
      <c r="BW59" s="28">
        <v>21</v>
      </c>
      <c r="BX59" s="4" t="s">
        <v>563</v>
      </c>
    </row>
    <row r="60" spans="1:76" x14ac:dyDescent="0.25">
      <c r="A60" s="56" t="s">
        <v>156</v>
      </c>
      <c r="B60" s="3" t="s">
        <v>564</v>
      </c>
      <c r="C60" s="193" t="s">
        <v>565</v>
      </c>
      <c r="D60" s="194"/>
      <c r="E60" s="3" t="s">
        <v>193</v>
      </c>
      <c r="F60" s="28">
        <v>0.28000000000000003</v>
      </c>
      <c r="G60" s="299">
        <v>0</v>
      </c>
      <c r="H60" s="28">
        <f>ROUND(F60*AO60,2)</f>
        <v>0</v>
      </c>
      <c r="I60" s="28">
        <f>ROUND(F60*AP60,2)</f>
        <v>0</v>
      </c>
      <c r="J60" s="28">
        <f>ROUND(F60*G60,2)</f>
        <v>0</v>
      </c>
      <c r="K60" s="188" t="s">
        <v>129</v>
      </c>
      <c r="Z60" s="28">
        <f>ROUND(IF(AQ60="5",BJ60,0),2)</f>
        <v>0</v>
      </c>
      <c r="AB60" s="28">
        <f>ROUND(IF(AQ60="1",BH60,0),2)</f>
        <v>0</v>
      </c>
      <c r="AC60" s="28">
        <f>ROUND(IF(AQ60="1",BI60,0),2)</f>
        <v>0</v>
      </c>
      <c r="AD60" s="28">
        <f>ROUND(IF(AQ60="7",BH60,0),2)</f>
        <v>0</v>
      </c>
      <c r="AE60" s="28">
        <f>ROUND(IF(AQ60="7",BI60,0),2)</f>
        <v>0</v>
      </c>
      <c r="AF60" s="28">
        <f>ROUND(IF(AQ60="2",BH60,0),2)</f>
        <v>0</v>
      </c>
      <c r="AG60" s="28">
        <f>ROUND(IF(AQ60="2",BI60,0),2)</f>
        <v>0</v>
      </c>
      <c r="AH60" s="28">
        <f>ROUND(IF(AQ60="0",BJ60,0),2)</f>
        <v>0</v>
      </c>
      <c r="AI60" s="10" t="s">
        <v>53</v>
      </c>
      <c r="AJ60" s="28">
        <f>IF(AN60=0,J60,0)</f>
        <v>0</v>
      </c>
      <c r="AK60" s="28">
        <f>IF(AN60=12,J60,0)</f>
        <v>0</v>
      </c>
      <c r="AL60" s="28">
        <f>IF(AN60=21,J60,0)</f>
        <v>0</v>
      </c>
      <c r="AN60" s="28">
        <v>21</v>
      </c>
      <c r="AO60" s="28">
        <f>G60*0</f>
        <v>0</v>
      </c>
      <c r="AP60" s="28">
        <f>G60*(1-0)</f>
        <v>0</v>
      </c>
      <c r="AQ60" s="30" t="s">
        <v>72</v>
      </c>
      <c r="AV60" s="28">
        <f>ROUND(AW60+AX60,2)</f>
        <v>0</v>
      </c>
      <c r="AW60" s="28">
        <f>ROUND(F60*AO60,2)</f>
        <v>0</v>
      </c>
      <c r="AX60" s="28">
        <f>ROUND(F60*AP60,2)</f>
        <v>0</v>
      </c>
      <c r="AY60" s="30" t="s">
        <v>557</v>
      </c>
      <c r="AZ60" s="30" t="s">
        <v>108</v>
      </c>
      <c r="BA60" s="10" t="s">
        <v>60</v>
      </c>
      <c r="BC60" s="28">
        <f>AW60+AX60</f>
        <v>0</v>
      </c>
      <c r="BD60" s="28">
        <f>G60/(100-BE60)*100</f>
        <v>0</v>
      </c>
      <c r="BE60" s="28">
        <v>0</v>
      </c>
      <c r="BF60" s="28">
        <f>60</f>
        <v>60</v>
      </c>
      <c r="BH60" s="28">
        <f>F60*AO60</f>
        <v>0</v>
      </c>
      <c r="BI60" s="28">
        <f>F60*AP60</f>
        <v>0</v>
      </c>
      <c r="BJ60" s="28">
        <f>F60*G60</f>
        <v>0</v>
      </c>
      <c r="BK60" s="30" t="s">
        <v>61</v>
      </c>
      <c r="BL60" s="28"/>
      <c r="BW60" s="28">
        <v>21</v>
      </c>
      <c r="BX60" s="4" t="s">
        <v>565</v>
      </c>
    </row>
    <row r="61" spans="1:76" x14ac:dyDescent="0.25">
      <c r="A61" s="183" t="s">
        <v>49</v>
      </c>
      <c r="B61" s="25" t="s">
        <v>155</v>
      </c>
      <c r="C61" s="247" t="s">
        <v>254</v>
      </c>
      <c r="D61" s="248"/>
      <c r="E61" s="26" t="s">
        <v>4</v>
      </c>
      <c r="F61" s="26" t="s">
        <v>4</v>
      </c>
      <c r="G61" s="26" t="s">
        <v>4</v>
      </c>
      <c r="H61" s="1">
        <f>SUM(H62:H73)</f>
        <v>0</v>
      </c>
      <c r="I61" s="1">
        <f>SUM(I62:I73)</f>
        <v>0</v>
      </c>
      <c r="J61" s="1">
        <f>SUM(J62:J73)</f>
        <v>0</v>
      </c>
      <c r="K61" s="187" t="s">
        <v>49</v>
      </c>
      <c r="AI61" s="10" t="s">
        <v>53</v>
      </c>
      <c r="AS61" s="1">
        <f>SUM(AJ62:AJ73)</f>
        <v>0</v>
      </c>
      <c r="AT61" s="1">
        <f>SUM(AK62:AK73)</f>
        <v>0</v>
      </c>
      <c r="AU61" s="1">
        <f>SUM(AL62:AL73)</f>
        <v>0</v>
      </c>
    </row>
    <row r="62" spans="1:76" x14ac:dyDescent="0.25">
      <c r="A62" s="56" t="s">
        <v>162</v>
      </c>
      <c r="B62" s="3" t="s">
        <v>566</v>
      </c>
      <c r="C62" s="193" t="s">
        <v>567</v>
      </c>
      <c r="D62" s="194"/>
      <c r="E62" s="3" t="s">
        <v>143</v>
      </c>
      <c r="F62" s="28">
        <v>1</v>
      </c>
      <c r="G62" s="299">
        <v>0</v>
      </c>
      <c r="H62" s="28">
        <f t="shared" ref="H62:H73" si="0">ROUND(F62*AO62,2)</f>
        <v>0</v>
      </c>
      <c r="I62" s="28">
        <f t="shared" ref="I62:I73" si="1">ROUND(F62*AP62,2)</f>
        <v>0</v>
      </c>
      <c r="J62" s="28">
        <f t="shared" ref="J62:J73" si="2">ROUND(F62*G62,2)</f>
        <v>0</v>
      </c>
      <c r="K62" s="188" t="s">
        <v>129</v>
      </c>
      <c r="Z62" s="28">
        <f t="shared" ref="Z62:Z73" si="3">ROUND(IF(AQ62="5",BJ62,0),2)</f>
        <v>0</v>
      </c>
      <c r="AB62" s="28">
        <f t="shared" ref="AB62:AB73" si="4">ROUND(IF(AQ62="1",BH62,0),2)</f>
        <v>0</v>
      </c>
      <c r="AC62" s="28">
        <f t="shared" ref="AC62:AC73" si="5">ROUND(IF(AQ62="1",BI62,0),2)</f>
        <v>0</v>
      </c>
      <c r="AD62" s="28">
        <f t="shared" ref="AD62:AD73" si="6">ROUND(IF(AQ62="7",BH62,0),2)</f>
        <v>0</v>
      </c>
      <c r="AE62" s="28">
        <f t="shared" ref="AE62:AE73" si="7">ROUND(IF(AQ62="7",BI62,0),2)</f>
        <v>0</v>
      </c>
      <c r="AF62" s="28">
        <f t="shared" ref="AF62:AF73" si="8">ROUND(IF(AQ62="2",BH62,0),2)</f>
        <v>0</v>
      </c>
      <c r="AG62" s="28">
        <f t="shared" ref="AG62:AG73" si="9">ROUND(IF(AQ62="2",BI62,0),2)</f>
        <v>0</v>
      </c>
      <c r="AH62" s="28">
        <f t="shared" ref="AH62:AH73" si="10">ROUND(IF(AQ62="0",BJ62,0),2)</f>
        <v>0</v>
      </c>
      <c r="AI62" s="10" t="s">
        <v>53</v>
      </c>
      <c r="AJ62" s="28">
        <f t="shared" ref="AJ62:AJ73" si="11">IF(AN62=0,J62,0)</f>
        <v>0</v>
      </c>
      <c r="AK62" s="28">
        <f t="shared" ref="AK62:AK73" si="12">IF(AN62=12,J62,0)</f>
        <v>0</v>
      </c>
      <c r="AL62" s="28">
        <f t="shared" ref="AL62:AL73" si="13">IF(AN62=21,J62,0)</f>
        <v>0</v>
      </c>
      <c r="AN62" s="28">
        <v>21</v>
      </c>
      <c r="AO62" s="28">
        <f t="shared" ref="AO62:AO73" si="14">G62*1</f>
        <v>0</v>
      </c>
      <c r="AP62" s="28">
        <f t="shared" ref="AP62:AP73" si="15">G62*(1-1)</f>
        <v>0</v>
      </c>
      <c r="AQ62" s="30" t="s">
        <v>568</v>
      </c>
      <c r="AV62" s="28">
        <f t="shared" ref="AV62:AV73" si="16">ROUND(AW62+AX62,2)</f>
        <v>0</v>
      </c>
      <c r="AW62" s="28">
        <f t="shared" ref="AW62:AW73" si="17">ROUND(F62*AO62,2)</f>
        <v>0</v>
      </c>
      <c r="AX62" s="28">
        <f t="shared" ref="AX62:AX73" si="18">ROUND(F62*AP62,2)</f>
        <v>0</v>
      </c>
      <c r="AY62" s="30" t="s">
        <v>569</v>
      </c>
      <c r="AZ62" s="30" t="s">
        <v>570</v>
      </c>
      <c r="BA62" s="10" t="s">
        <v>60</v>
      </c>
      <c r="BC62" s="28">
        <f t="shared" ref="BC62:BC73" si="19">AW62+AX62</f>
        <v>0</v>
      </c>
      <c r="BD62" s="28">
        <f t="shared" ref="BD62:BD73" si="20">G62/(100-BE62)*100</f>
        <v>0</v>
      </c>
      <c r="BE62" s="28">
        <v>0</v>
      </c>
      <c r="BF62" s="28">
        <f>62</f>
        <v>62</v>
      </c>
      <c r="BH62" s="28">
        <f t="shared" ref="BH62:BH73" si="21">F62*AO62</f>
        <v>0</v>
      </c>
      <c r="BI62" s="28">
        <f t="shared" ref="BI62:BI73" si="22">F62*AP62</f>
        <v>0</v>
      </c>
      <c r="BJ62" s="28">
        <f t="shared" ref="BJ62:BJ73" si="23">F62*G62</f>
        <v>0</v>
      </c>
      <c r="BK62" s="30" t="s">
        <v>155</v>
      </c>
      <c r="BL62" s="28"/>
      <c r="BW62" s="28">
        <v>21</v>
      </c>
      <c r="BX62" s="4" t="s">
        <v>567</v>
      </c>
    </row>
    <row r="63" spans="1:76" x14ac:dyDescent="0.25">
      <c r="A63" s="56" t="s">
        <v>166</v>
      </c>
      <c r="B63" s="3" t="s">
        <v>571</v>
      </c>
      <c r="C63" s="193" t="s">
        <v>572</v>
      </c>
      <c r="D63" s="194"/>
      <c r="E63" s="3" t="s">
        <v>143</v>
      </c>
      <c r="F63" s="28">
        <v>1</v>
      </c>
      <c r="G63" s="299">
        <v>0</v>
      </c>
      <c r="H63" s="28">
        <f t="shared" si="0"/>
        <v>0</v>
      </c>
      <c r="I63" s="28">
        <f t="shared" si="1"/>
        <v>0</v>
      </c>
      <c r="J63" s="28">
        <f t="shared" si="2"/>
        <v>0</v>
      </c>
      <c r="K63" s="188" t="s">
        <v>129</v>
      </c>
      <c r="Z63" s="28">
        <f t="shared" si="3"/>
        <v>0</v>
      </c>
      <c r="AB63" s="28">
        <f t="shared" si="4"/>
        <v>0</v>
      </c>
      <c r="AC63" s="28">
        <f t="shared" si="5"/>
        <v>0</v>
      </c>
      <c r="AD63" s="28">
        <f t="shared" si="6"/>
        <v>0</v>
      </c>
      <c r="AE63" s="28">
        <f t="shared" si="7"/>
        <v>0</v>
      </c>
      <c r="AF63" s="28">
        <f t="shared" si="8"/>
        <v>0</v>
      </c>
      <c r="AG63" s="28">
        <f t="shared" si="9"/>
        <v>0</v>
      </c>
      <c r="AH63" s="28">
        <f t="shared" si="10"/>
        <v>0</v>
      </c>
      <c r="AI63" s="10" t="s">
        <v>53</v>
      </c>
      <c r="AJ63" s="28">
        <f t="shared" si="11"/>
        <v>0</v>
      </c>
      <c r="AK63" s="28">
        <f t="shared" si="12"/>
        <v>0</v>
      </c>
      <c r="AL63" s="28">
        <f t="shared" si="13"/>
        <v>0</v>
      </c>
      <c r="AN63" s="28">
        <v>21</v>
      </c>
      <c r="AO63" s="28">
        <f t="shared" si="14"/>
        <v>0</v>
      </c>
      <c r="AP63" s="28">
        <f t="shared" si="15"/>
        <v>0</v>
      </c>
      <c r="AQ63" s="30" t="s">
        <v>568</v>
      </c>
      <c r="AV63" s="28">
        <f t="shared" si="16"/>
        <v>0</v>
      </c>
      <c r="AW63" s="28">
        <f t="shared" si="17"/>
        <v>0</v>
      </c>
      <c r="AX63" s="28">
        <f t="shared" si="18"/>
        <v>0</v>
      </c>
      <c r="AY63" s="30" t="s">
        <v>569</v>
      </c>
      <c r="AZ63" s="30" t="s">
        <v>570</v>
      </c>
      <c r="BA63" s="10" t="s">
        <v>60</v>
      </c>
      <c r="BC63" s="28">
        <f t="shared" si="19"/>
        <v>0</v>
      </c>
      <c r="BD63" s="28">
        <f t="shared" si="20"/>
        <v>0</v>
      </c>
      <c r="BE63" s="28">
        <v>0</v>
      </c>
      <c r="BF63" s="28">
        <f>63</f>
        <v>63</v>
      </c>
      <c r="BH63" s="28">
        <f t="shared" si="21"/>
        <v>0</v>
      </c>
      <c r="BI63" s="28">
        <f t="shared" si="22"/>
        <v>0</v>
      </c>
      <c r="BJ63" s="28">
        <f t="shared" si="23"/>
        <v>0</v>
      </c>
      <c r="BK63" s="30" t="s">
        <v>155</v>
      </c>
      <c r="BL63" s="28"/>
      <c r="BW63" s="28">
        <v>21</v>
      </c>
      <c r="BX63" s="4" t="s">
        <v>572</v>
      </c>
    </row>
    <row r="64" spans="1:76" x14ac:dyDescent="0.25">
      <c r="A64" s="56" t="s">
        <v>169</v>
      </c>
      <c r="B64" s="3" t="s">
        <v>573</v>
      </c>
      <c r="C64" s="193" t="s">
        <v>574</v>
      </c>
      <c r="D64" s="194"/>
      <c r="E64" s="3" t="s">
        <v>143</v>
      </c>
      <c r="F64" s="28">
        <v>1</v>
      </c>
      <c r="G64" s="299">
        <v>0</v>
      </c>
      <c r="H64" s="28">
        <f t="shared" si="0"/>
        <v>0</v>
      </c>
      <c r="I64" s="28">
        <f t="shared" si="1"/>
        <v>0</v>
      </c>
      <c r="J64" s="28">
        <f t="shared" si="2"/>
        <v>0</v>
      </c>
      <c r="K64" s="188" t="s">
        <v>129</v>
      </c>
      <c r="Z64" s="28">
        <f t="shared" si="3"/>
        <v>0</v>
      </c>
      <c r="AB64" s="28">
        <f t="shared" si="4"/>
        <v>0</v>
      </c>
      <c r="AC64" s="28">
        <f t="shared" si="5"/>
        <v>0</v>
      </c>
      <c r="AD64" s="28">
        <f t="shared" si="6"/>
        <v>0</v>
      </c>
      <c r="AE64" s="28">
        <f t="shared" si="7"/>
        <v>0</v>
      </c>
      <c r="AF64" s="28">
        <f t="shared" si="8"/>
        <v>0</v>
      </c>
      <c r="AG64" s="28">
        <f t="shared" si="9"/>
        <v>0</v>
      </c>
      <c r="AH64" s="28">
        <f t="shared" si="10"/>
        <v>0</v>
      </c>
      <c r="AI64" s="10" t="s">
        <v>53</v>
      </c>
      <c r="AJ64" s="28">
        <f t="shared" si="11"/>
        <v>0</v>
      </c>
      <c r="AK64" s="28">
        <f t="shared" si="12"/>
        <v>0</v>
      </c>
      <c r="AL64" s="28">
        <f t="shared" si="13"/>
        <v>0</v>
      </c>
      <c r="AN64" s="28">
        <v>21</v>
      </c>
      <c r="AO64" s="28">
        <f t="shared" si="14"/>
        <v>0</v>
      </c>
      <c r="AP64" s="28">
        <f t="shared" si="15"/>
        <v>0</v>
      </c>
      <c r="AQ64" s="30" t="s">
        <v>568</v>
      </c>
      <c r="AV64" s="28">
        <f t="shared" si="16"/>
        <v>0</v>
      </c>
      <c r="AW64" s="28">
        <f t="shared" si="17"/>
        <v>0</v>
      </c>
      <c r="AX64" s="28">
        <f t="shared" si="18"/>
        <v>0</v>
      </c>
      <c r="AY64" s="30" t="s">
        <v>569</v>
      </c>
      <c r="AZ64" s="30" t="s">
        <v>570</v>
      </c>
      <c r="BA64" s="10" t="s">
        <v>60</v>
      </c>
      <c r="BC64" s="28">
        <f t="shared" si="19"/>
        <v>0</v>
      </c>
      <c r="BD64" s="28">
        <f t="shared" si="20"/>
        <v>0</v>
      </c>
      <c r="BE64" s="28">
        <v>0</v>
      </c>
      <c r="BF64" s="28">
        <f>64</f>
        <v>64</v>
      </c>
      <c r="BH64" s="28">
        <f t="shared" si="21"/>
        <v>0</v>
      </c>
      <c r="BI64" s="28">
        <f t="shared" si="22"/>
        <v>0</v>
      </c>
      <c r="BJ64" s="28">
        <f t="shared" si="23"/>
        <v>0</v>
      </c>
      <c r="BK64" s="30" t="s">
        <v>155</v>
      </c>
      <c r="BL64" s="28"/>
      <c r="BW64" s="28">
        <v>21</v>
      </c>
      <c r="BX64" s="4" t="s">
        <v>574</v>
      </c>
    </row>
    <row r="65" spans="1:76" x14ac:dyDescent="0.25">
      <c r="A65" s="56" t="s">
        <v>172</v>
      </c>
      <c r="B65" s="3" t="s">
        <v>575</v>
      </c>
      <c r="C65" s="193" t="s">
        <v>576</v>
      </c>
      <c r="D65" s="194"/>
      <c r="E65" s="3" t="s">
        <v>193</v>
      </c>
      <c r="F65" s="28">
        <v>3.9</v>
      </c>
      <c r="G65" s="299">
        <v>0</v>
      </c>
      <c r="H65" s="28">
        <f t="shared" si="0"/>
        <v>0</v>
      </c>
      <c r="I65" s="28">
        <f t="shared" si="1"/>
        <v>0</v>
      </c>
      <c r="J65" s="28">
        <f t="shared" si="2"/>
        <v>0</v>
      </c>
      <c r="K65" s="188" t="s">
        <v>129</v>
      </c>
      <c r="Z65" s="28">
        <f t="shared" si="3"/>
        <v>0</v>
      </c>
      <c r="AB65" s="28">
        <f t="shared" si="4"/>
        <v>0</v>
      </c>
      <c r="AC65" s="28">
        <f t="shared" si="5"/>
        <v>0</v>
      </c>
      <c r="AD65" s="28">
        <f t="shared" si="6"/>
        <v>0</v>
      </c>
      <c r="AE65" s="28">
        <f t="shared" si="7"/>
        <v>0</v>
      </c>
      <c r="AF65" s="28">
        <f t="shared" si="8"/>
        <v>0</v>
      </c>
      <c r="AG65" s="28">
        <f t="shared" si="9"/>
        <v>0</v>
      </c>
      <c r="AH65" s="28">
        <f t="shared" si="10"/>
        <v>0</v>
      </c>
      <c r="AI65" s="10" t="s">
        <v>53</v>
      </c>
      <c r="AJ65" s="28">
        <f t="shared" si="11"/>
        <v>0</v>
      </c>
      <c r="AK65" s="28">
        <f t="shared" si="12"/>
        <v>0</v>
      </c>
      <c r="AL65" s="28">
        <f t="shared" si="13"/>
        <v>0</v>
      </c>
      <c r="AN65" s="28">
        <v>21</v>
      </c>
      <c r="AO65" s="28">
        <f t="shared" si="14"/>
        <v>0</v>
      </c>
      <c r="AP65" s="28">
        <f t="shared" si="15"/>
        <v>0</v>
      </c>
      <c r="AQ65" s="30" t="s">
        <v>568</v>
      </c>
      <c r="AV65" s="28">
        <f t="shared" si="16"/>
        <v>0</v>
      </c>
      <c r="AW65" s="28">
        <f t="shared" si="17"/>
        <v>0</v>
      </c>
      <c r="AX65" s="28">
        <f t="shared" si="18"/>
        <v>0</v>
      </c>
      <c r="AY65" s="30" t="s">
        <v>569</v>
      </c>
      <c r="AZ65" s="30" t="s">
        <v>570</v>
      </c>
      <c r="BA65" s="10" t="s">
        <v>60</v>
      </c>
      <c r="BC65" s="28">
        <f t="shared" si="19"/>
        <v>0</v>
      </c>
      <c r="BD65" s="28">
        <f t="shared" si="20"/>
        <v>0</v>
      </c>
      <c r="BE65" s="28">
        <v>0</v>
      </c>
      <c r="BF65" s="28">
        <f>65</f>
        <v>65</v>
      </c>
      <c r="BH65" s="28">
        <f t="shared" si="21"/>
        <v>0</v>
      </c>
      <c r="BI65" s="28">
        <f t="shared" si="22"/>
        <v>0</v>
      </c>
      <c r="BJ65" s="28">
        <f t="shared" si="23"/>
        <v>0</v>
      </c>
      <c r="BK65" s="30" t="s">
        <v>155</v>
      </c>
      <c r="BL65" s="28"/>
      <c r="BW65" s="28">
        <v>21</v>
      </c>
      <c r="BX65" s="4" t="s">
        <v>576</v>
      </c>
    </row>
    <row r="66" spans="1:76" x14ac:dyDescent="0.25">
      <c r="A66" s="56" t="s">
        <v>175</v>
      </c>
      <c r="B66" s="3" t="s">
        <v>577</v>
      </c>
      <c r="C66" s="193" t="s">
        <v>578</v>
      </c>
      <c r="D66" s="194"/>
      <c r="E66" s="3" t="s">
        <v>457</v>
      </c>
      <c r="F66" s="28">
        <v>2.16</v>
      </c>
      <c r="G66" s="299">
        <v>0</v>
      </c>
      <c r="H66" s="28">
        <f t="shared" si="0"/>
        <v>0</v>
      </c>
      <c r="I66" s="28">
        <f t="shared" si="1"/>
        <v>0</v>
      </c>
      <c r="J66" s="28">
        <f t="shared" si="2"/>
        <v>0</v>
      </c>
      <c r="K66" s="188" t="s">
        <v>129</v>
      </c>
      <c r="Z66" s="28">
        <f t="shared" si="3"/>
        <v>0</v>
      </c>
      <c r="AB66" s="28">
        <f t="shared" si="4"/>
        <v>0</v>
      </c>
      <c r="AC66" s="28">
        <f t="shared" si="5"/>
        <v>0</v>
      </c>
      <c r="AD66" s="28">
        <f t="shared" si="6"/>
        <v>0</v>
      </c>
      <c r="AE66" s="28">
        <f t="shared" si="7"/>
        <v>0</v>
      </c>
      <c r="AF66" s="28">
        <f t="shared" si="8"/>
        <v>0</v>
      </c>
      <c r="AG66" s="28">
        <f t="shared" si="9"/>
        <v>0</v>
      </c>
      <c r="AH66" s="28">
        <f t="shared" si="10"/>
        <v>0</v>
      </c>
      <c r="AI66" s="10" t="s">
        <v>53</v>
      </c>
      <c r="AJ66" s="28">
        <f t="shared" si="11"/>
        <v>0</v>
      </c>
      <c r="AK66" s="28">
        <f t="shared" si="12"/>
        <v>0</v>
      </c>
      <c r="AL66" s="28">
        <f t="shared" si="13"/>
        <v>0</v>
      </c>
      <c r="AN66" s="28">
        <v>21</v>
      </c>
      <c r="AO66" s="28">
        <f t="shared" si="14"/>
        <v>0</v>
      </c>
      <c r="AP66" s="28">
        <f t="shared" si="15"/>
        <v>0</v>
      </c>
      <c r="AQ66" s="30" t="s">
        <v>568</v>
      </c>
      <c r="AV66" s="28">
        <f t="shared" si="16"/>
        <v>0</v>
      </c>
      <c r="AW66" s="28">
        <f t="shared" si="17"/>
        <v>0</v>
      </c>
      <c r="AX66" s="28">
        <f t="shared" si="18"/>
        <v>0</v>
      </c>
      <c r="AY66" s="30" t="s">
        <v>569</v>
      </c>
      <c r="AZ66" s="30" t="s">
        <v>570</v>
      </c>
      <c r="BA66" s="10" t="s">
        <v>60</v>
      </c>
      <c r="BC66" s="28">
        <f t="shared" si="19"/>
        <v>0</v>
      </c>
      <c r="BD66" s="28">
        <f t="shared" si="20"/>
        <v>0</v>
      </c>
      <c r="BE66" s="28">
        <v>0</v>
      </c>
      <c r="BF66" s="28">
        <f>66</f>
        <v>66</v>
      </c>
      <c r="BH66" s="28">
        <f t="shared" si="21"/>
        <v>0</v>
      </c>
      <c r="BI66" s="28">
        <f t="shared" si="22"/>
        <v>0</v>
      </c>
      <c r="BJ66" s="28">
        <f t="shared" si="23"/>
        <v>0</v>
      </c>
      <c r="BK66" s="30" t="s">
        <v>155</v>
      </c>
      <c r="BL66" s="28"/>
      <c r="BW66" s="28">
        <v>21</v>
      </c>
      <c r="BX66" s="4" t="s">
        <v>578</v>
      </c>
    </row>
    <row r="67" spans="1:76" x14ac:dyDescent="0.25">
      <c r="A67" s="56" t="s">
        <v>180</v>
      </c>
      <c r="B67" s="3" t="s">
        <v>579</v>
      </c>
      <c r="C67" s="193" t="s">
        <v>580</v>
      </c>
      <c r="D67" s="194"/>
      <c r="E67" s="3" t="s">
        <v>105</v>
      </c>
      <c r="F67" s="28">
        <v>14</v>
      </c>
      <c r="G67" s="299">
        <v>0</v>
      </c>
      <c r="H67" s="28">
        <f t="shared" si="0"/>
        <v>0</v>
      </c>
      <c r="I67" s="28">
        <f t="shared" si="1"/>
        <v>0</v>
      </c>
      <c r="J67" s="28">
        <f t="shared" si="2"/>
        <v>0</v>
      </c>
      <c r="K67" s="188" t="s">
        <v>129</v>
      </c>
      <c r="Z67" s="28">
        <f t="shared" si="3"/>
        <v>0</v>
      </c>
      <c r="AB67" s="28">
        <f t="shared" si="4"/>
        <v>0</v>
      </c>
      <c r="AC67" s="28">
        <f t="shared" si="5"/>
        <v>0</v>
      </c>
      <c r="AD67" s="28">
        <f t="shared" si="6"/>
        <v>0</v>
      </c>
      <c r="AE67" s="28">
        <f t="shared" si="7"/>
        <v>0</v>
      </c>
      <c r="AF67" s="28">
        <f t="shared" si="8"/>
        <v>0</v>
      </c>
      <c r="AG67" s="28">
        <f t="shared" si="9"/>
        <v>0</v>
      </c>
      <c r="AH67" s="28">
        <f t="shared" si="10"/>
        <v>0</v>
      </c>
      <c r="AI67" s="10" t="s">
        <v>53</v>
      </c>
      <c r="AJ67" s="28">
        <f t="shared" si="11"/>
        <v>0</v>
      </c>
      <c r="AK67" s="28">
        <f t="shared" si="12"/>
        <v>0</v>
      </c>
      <c r="AL67" s="28">
        <f t="shared" si="13"/>
        <v>0</v>
      </c>
      <c r="AN67" s="28">
        <v>21</v>
      </c>
      <c r="AO67" s="28">
        <f t="shared" si="14"/>
        <v>0</v>
      </c>
      <c r="AP67" s="28">
        <f t="shared" si="15"/>
        <v>0</v>
      </c>
      <c r="AQ67" s="30" t="s">
        <v>568</v>
      </c>
      <c r="AV67" s="28">
        <f t="shared" si="16"/>
        <v>0</v>
      </c>
      <c r="AW67" s="28">
        <f t="shared" si="17"/>
        <v>0</v>
      </c>
      <c r="AX67" s="28">
        <f t="shared" si="18"/>
        <v>0</v>
      </c>
      <c r="AY67" s="30" t="s">
        <v>569</v>
      </c>
      <c r="AZ67" s="30" t="s">
        <v>570</v>
      </c>
      <c r="BA67" s="10" t="s">
        <v>60</v>
      </c>
      <c r="BC67" s="28">
        <f t="shared" si="19"/>
        <v>0</v>
      </c>
      <c r="BD67" s="28">
        <f t="shared" si="20"/>
        <v>0</v>
      </c>
      <c r="BE67" s="28">
        <v>0</v>
      </c>
      <c r="BF67" s="28">
        <f>67</f>
        <v>67</v>
      </c>
      <c r="BH67" s="28">
        <f t="shared" si="21"/>
        <v>0</v>
      </c>
      <c r="BI67" s="28">
        <f t="shared" si="22"/>
        <v>0</v>
      </c>
      <c r="BJ67" s="28">
        <f t="shared" si="23"/>
        <v>0</v>
      </c>
      <c r="BK67" s="30" t="s">
        <v>155</v>
      </c>
      <c r="BL67" s="28"/>
      <c r="BW67" s="28">
        <v>21</v>
      </c>
      <c r="BX67" s="4" t="s">
        <v>580</v>
      </c>
    </row>
    <row r="68" spans="1:76" x14ac:dyDescent="0.25">
      <c r="A68" s="56" t="s">
        <v>185</v>
      </c>
      <c r="B68" s="3" t="s">
        <v>581</v>
      </c>
      <c r="C68" s="193" t="s">
        <v>582</v>
      </c>
      <c r="D68" s="194"/>
      <c r="E68" s="3" t="s">
        <v>143</v>
      </c>
      <c r="F68" s="28">
        <v>8</v>
      </c>
      <c r="G68" s="299">
        <v>0</v>
      </c>
      <c r="H68" s="28">
        <f t="shared" si="0"/>
        <v>0</v>
      </c>
      <c r="I68" s="28">
        <f t="shared" si="1"/>
        <v>0</v>
      </c>
      <c r="J68" s="28">
        <f t="shared" si="2"/>
        <v>0</v>
      </c>
      <c r="K68" s="188" t="s">
        <v>129</v>
      </c>
      <c r="Z68" s="28">
        <f t="shared" si="3"/>
        <v>0</v>
      </c>
      <c r="AB68" s="28">
        <f t="shared" si="4"/>
        <v>0</v>
      </c>
      <c r="AC68" s="28">
        <f t="shared" si="5"/>
        <v>0</v>
      </c>
      <c r="AD68" s="28">
        <f t="shared" si="6"/>
        <v>0</v>
      </c>
      <c r="AE68" s="28">
        <f t="shared" si="7"/>
        <v>0</v>
      </c>
      <c r="AF68" s="28">
        <f t="shared" si="8"/>
        <v>0</v>
      </c>
      <c r="AG68" s="28">
        <f t="shared" si="9"/>
        <v>0</v>
      </c>
      <c r="AH68" s="28">
        <f t="shared" si="10"/>
        <v>0</v>
      </c>
      <c r="AI68" s="10" t="s">
        <v>53</v>
      </c>
      <c r="AJ68" s="28">
        <f t="shared" si="11"/>
        <v>0</v>
      </c>
      <c r="AK68" s="28">
        <f t="shared" si="12"/>
        <v>0</v>
      </c>
      <c r="AL68" s="28">
        <f t="shared" si="13"/>
        <v>0</v>
      </c>
      <c r="AN68" s="28">
        <v>21</v>
      </c>
      <c r="AO68" s="28">
        <f t="shared" si="14"/>
        <v>0</v>
      </c>
      <c r="AP68" s="28">
        <f t="shared" si="15"/>
        <v>0</v>
      </c>
      <c r="AQ68" s="30" t="s">
        <v>568</v>
      </c>
      <c r="AV68" s="28">
        <f t="shared" si="16"/>
        <v>0</v>
      </c>
      <c r="AW68" s="28">
        <f t="shared" si="17"/>
        <v>0</v>
      </c>
      <c r="AX68" s="28">
        <f t="shared" si="18"/>
        <v>0</v>
      </c>
      <c r="AY68" s="30" t="s">
        <v>569</v>
      </c>
      <c r="AZ68" s="30" t="s">
        <v>570</v>
      </c>
      <c r="BA68" s="10" t="s">
        <v>60</v>
      </c>
      <c r="BC68" s="28">
        <f t="shared" si="19"/>
        <v>0</v>
      </c>
      <c r="BD68" s="28">
        <f t="shared" si="20"/>
        <v>0</v>
      </c>
      <c r="BE68" s="28">
        <v>0</v>
      </c>
      <c r="BF68" s="28">
        <f>68</f>
        <v>68</v>
      </c>
      <c r="BH68" s="28">
        <f t="shared" si="21"/>
        <v>0</v>
      </c>
      <c r="BI68" s="28">
        <f t="shared" si="22"/>
        <v>0</v>
      </c>
      <c r="BJ68" s="28">
        <f t="shared" si="23"/>
        <v>0</v>
      </c>
      <c r="BK68" s="30" t="s">
        <v>155</v>
      </c>
      <c r="BL68" s="28"/>
      <c r="BW68" s="28">
        <v>21</v>
      </c>
      <c r="BX68" s="4" t="s">
        <v>582</v>
      </c>
    </row>
    <row r="69" spans="1:76" x14ac:dyDescent="0.25">
      <c r="A69" s="56" t="s">
        <v>190</v>
      </c>
      <c r="B69" s="3" t="s">
        <v>583</v>
      </c>
      <c r="C69" s="193" t="s">
        <v>584</v>
      </c>
      <c r="D69" s="194"/>
      <c r="E69" s="3" t="s">
        <v>143</v>
      </c>
      <c r="F69" s="28">
        <v>3</v>
      </c>
      <c r="G69" s="299">
        <v>0</v>
      </c>
      <c r="H69" s="28">
        <f t="shared" si="0"/>
        <v>0</v>
      </c>
      <c r="I69" s="28">
        <f t="shared" si="1"/>
        <v>0</v>
      </c>
      <c r="J69" s="28">
        <f t="shared" si="2"/>
        <v>0</v>
      </c>
      <c r="K69" s="188" t="s">
        <v>129</v>
      </c>
      <c r="Z69" s="28">
        <f t="shared" si="3"/>
        <v>0</v>
      </c>
      <c r="AB69" s="28">
        <f t="shared" si="4"/>
        <v>0</v>
      </c>
      <c r="AC69" s="28">
        <f t="shared" si="5"/>
        <v>0</v>
      </c>
      <c r="AD69" s="28">
        <f t="shared" si="6"/>
        <v>0</v>
      </c>
      <c r="AE69" s="28">
        <f t="shared" si="7"/>
        <v>0</v>
      </c>
      <c r="AF69" s="28">
        <f t="shared" si="8"/>
        <v>0</v>
      </c>
      <c r="AG69" s="28">
        <f t="shared" si="9"/>
        <v>0</v>
      </c>
      <c r="AH69" s="28">
        <f t="shared" si="10"/>
        <v>0</v>
      </c>
      <c r="AI69" s="10" t="s">
        <v>53</v>
      </c>
      <c r="AJ69" s="28">
        <f t="shared" si="11"/>
        <v>0</v>
      </c>
      <c r="AK69" s="28">
        <f t="shared" si="12"/>
        <v>0</v>
      </c>
      <c r="AL69" s="28">
        <f t="shared" si="13"/>
        <v>0</v>
      </c>
      <c r="AN69" s="28">
        <v>21</v>
      </c>
      <c r="AO69" s="28">
        <f t="shared" si="14"/>
        <v>0</v>
      </c>
      <c r="AP69" s="28">
        <f t="shared" si="15"/>
        <v>0</v>
      </c>
      <c r="AQ69" s="30" t="s">
        <v>568</v>
      </c>
      <c r="AV69" s="28">
        <f t="shared" si="16"/>
        <v>0</v>
      </c>
      <c r="AW69" s="28">
        <f t="shared" si="17"/>
        <v>0</v>
      </c>
      <c r="AX69" s="28">
        <f t="shared" si="18"/>
        <v>0</v>
      </c>
      <c r="AY69" s="30" t="s">
        <v>569</v>
      </c>
      <c r="AZ69" s="30" t="s">
        <v>570</v>
      </c>
      <c r="BA69" s="10" t="s">
        <v>60</v>
      </c>
      <c r="BC69" s="28">
        <f t="shared" si="19"/>
        <v>0</v>
      </c>
      <c r="BD69" s="28">
        <f t="shared" si="20"/>
        <v>0</v>
      </c>
      <c r="BE69" s="28">
        <v>0</v>
      </c>
      <c r="BF69" s="28">
        <f>69</f>
        <v>69</v>
      </c>
      <c r="BH69" s="28">
        <f t="shared" si="21"/>
        <v>0</v>
      </c>
      <c r="BI69" s="28">
        <f t="shared" si="22"/>
        <v>0</v>
      </c>
      <c r="BJ69" s="28">
        <f t="shared" si="23"/>
        <v>0</v>
      </c>
      <c r="BK69" s="30" t="s">
        <v>155</v>
      </c>
      <c r="BL69" s="28"/>
      <c r="BW69" s="28">
        <v>21</v>
      </c>
      <c r="BX69" s="4" t="s">
        <v>584</v>
      </c>
    </row>
    <row r="70" spans="1:76" x14ac:dyDescent="0.25">
      <c r="A70" s="56" t="s">
        <v>199</v>
      </c>
      <c r="B70" s="3" t="s">
        <v>585</v>
      </c>
      <c r="C70" s="193" t="s">
        <v>586</v>
      </c>
      <c r="D70" s="194"/>
      <c r="E70" s="3" t="s">
        <v>143</v>
      </c>
      <c r="F70" s="28">
        <v>1</v>
      </c>
      <c r="G70" s="299">
        <v>0</v>
      </c>
      <c r="H70" s="28">
        <f t="shared" si="0"/>
        <v>0</v>
      </c>
      <c r="I70" s="28">
        <f t="shared" si="1"/>
        <v>0</v>
      </c>
      <c r="J70" s="28">
        <f t="shared" si="2"/>
        <v>0</v>
      </c>
      <c r="K70" s="188" t="s">
        <v>129</v>
      </c>
      <c r="Z70" s="28">
        <f t="shared" si="3"/>
        <v>0</v>
      </c>
      <c r="AB70" s="28">
        <f t="shared" si="4"/>
        <v>0</v>
      </c>
      <c r="AC70" s="28">
        <f t="shared" si="5"/>
        <v>0</v>
      </c>
      <c r="AD70" s="28">
        <f t="shared" si="6"/>
        <v>0</v>
      </c>
      <c r="AE70" s="28">
        <f t="shared" si="7"/>
        <v>0</v>
      </c>
      <c r="AF70" s="28">
        <f t="shared" si="8"/>
        <v>0</v>
      </c>
      <c r="AG70" s="28">
        <f t="shared" si="9"/>
        <v>0</v>
      </c>
      <c r="AH70" s="28">
        <f t="shared" si="10"/>
        <v>0</v>
      </c>
      <c r="AI70" s="10" t="s">
        <v>53</v>
      </c>
      <c r="AJ70" s="28">
        <f t="shared" si="11"/>
        <v>0</v>
      </c>
      <c r="AK70" s="28">
        <f t="shared" si="12"/>
        <v>0</v>
      </c>
      <c r="AL70" s="28">
        <f t="shared" si="13"/>
        <v>0</v>
      </c>
      <c r="AN70" s="28">
        <v>21</v>
      </c>
      <c r="AO70" s="28">
        <f t="shared" si="14"/>
        <v>0</v>
      </c>
      <c r="AP70" s="28">
        <f t="shared" si="15"/>
        <v>0</v>
      </c>
      <c r="AQ70" s="30" t="s">
        <v>568</v>
      </c>
      <c r="AV70" s="28">
        <f t="shared" si="16"/>
        <v>0</v>
      </c>
      <c r="AW70" s="28">
        <f t="shared" si="17"/>
        <v>0</v>
      </c>
      <c r="AX70" s="28">
        <f t="shared" si="18"/>
        <v>0</v>
      </c>
      <c r="AY70" s="30" t="s">
        <v>569</v>
      </c>
      <c r="AZ70" s="30" t="s">
        <v>570</v>
      </c>
      <c r="BA70" s="10" t="s">
        <v>60</v>
      </c>
      <c r="BC70" s="28">
        <f t="shared" si="19"/>
        <v>0</v>
      </c>
      <c r="BD70" s="28">
        <f t="shared" si="20"/>
        <v>0</v>
      </c>
      <c r="BE70" s="28">
        <v>0</v>
      </c>
      <c r="BF70" s="28">
        <f>70</f>
        <v>70</v>
      </c>
      <c r="BH70" s="28">
        <f t="shared" si="21"/>
        <v>0</v>
      </c>
      <c r="BI70" s="28">
        <f t="shared" si="22"/>
        <v>0</v>
      </c>
      <c r="BJ70" s="28">
        <f t="shared" si="23"/>
        <v>0</v>
      </c>
      <c r="BK70" s="30" t="s">
        <v>155</v>
      </c>
      <c r="BL70" s="28"/>
      <c r="BW70" s="28">
        <v>21</v>
      </c>
      <c r="BX70" s="4" t="s">
        <v>586</v>
      </c>
    </row>
    <row r="71" spans="1:76" x14ac:dyDescent="0.25">
      <c r="A71" s="56" t="s">
        <v>210</v>
      </c>
      <c r="B71" s="3" t="s">
        <v>587</v>
      </c>
      <c r="C71" s="193" t="s">
        <v>588</v>
      </c>
      <c r="D71" s="194"/>
      <c r="E71" s="3" t="s">
        <v>183</v>
      </c>
      <c r="F71" s="28">
        <v>7</v>
      </c>
      <c r="G71" s="299">
        <v>0</v>
      </c>
      <c r="H71" s="28">
        <f t="shared" si="0"/>
        <v>0</v>
      </c>
      <c r="I71" s="28">
        <f t="shared" si="1"/>
        <v>0</v>
      </c>
      <c r="J71" s="28">
        <f t="shared" si="2"/>
        <v>0</v>
      </c>
      <c r="K71" s="188" t="s">
        <v>129</v>
      </c>
      <c r="Z71" s="28">
        <f t="shared" si="3"/>
        <v>0</v>
      </c>
      <c r="AB71" s="28">
        <f t="shared" si="4"/>
        <v>0</v>
      </c>
      <c r="AC71" s="28">
        <f t="shared" si="5"/>
        <v>0</v>
      </c>
      <c r="AD71" s="28">
        <f t="shared" si="6"/>
        <v>0</v>
      </c>
      <c r="AE71" s="28">
        <f t="shared" si="7"/>
        <v>0</v>
      </c>
      <c r="AF71" s="28">
        <f t="shared" si="8"/>
        <v>0</v>
      </c>
      <c r="AG71" s="28">
        <f t="shared" si="9"/>
        <v>0</v>
      </c>
      <c r="AH71" s="28">
        <f t="shared" si="10"/>
        <v>0</v>
      </c>
      <c r="AI71" s="10" t="s">
        <v>53</v>
      </c>
      <c r="AJ71" s="28">
        <f t="shared" si="11"/>
        <v>0</v>
      </c>
      <c r="AK71" s="28">
        <f t="shared" si="12"/>
        <v>0</v>
      </c>
      <c r="AL71" s="28">
        <f t="shared" si="13"/>
        <v>0</v>
      </c>
      <c r="AN71" s="28">
        <v>21</v>
      </c>
      <c r="AO71" s="28">
        <f t="shared" si="14"/>
        <v>0</v>
      </c>
      <c r="AP71" s="28">
        <f t="shared" si="15"/>
        <v>0</v>
      </c>
      <c r="AQ71" s="30" t="s">
        <v>568</v>
      </c>
      <c r="AV71" s="28">
        <f t="shared" si="16"/>
        <v>0</v>
      </c>
      <c r="AW71" s="28">
        <f t="shared" si="17"/>
        <v>0</v>
      </c>
      <c r="AX71" s="28">
        <f t="shared" si="18"/>
        <v>0</v>
      </c>
      <c r="AY71" s="30" t="s">
        <v>569</v>
      </c>
      <c r="AZ71" s="30" t="s">
        <v>570</v>
      </c>
      <c r="BA71" s="10" t="s">
        <v>60</v>
      </c>
      <c r="BC71" s="28">
        <f t="shared" si="19"/>
        <v>0</v>
      </c>
      <c r="BD71" s="28">
        <f t="shared" si="20"/>
        <v>0</v>
      </c>
      <c r="BE71" s="28">
        <v>0</v>
      </c>
      <c r="BF71" s="28">
        <f>71</f>
        <v>71</v>
      </c>
      <c r="BH71" s="28">
        <f t="shared" si="21"/>
        <v>0</v>
      </c>
      <c r="BI71" s="28">
        <f t="shared" si="22"/>
        <v>0</v>
      </c>
      <c r="BJ71" s="28">
        <f t="shared" si="23"/>
        <v>0</v>
      </c>
      <c r="BK71" s="30" t="s">
        <v>155</v>
      </c>
      <c r="BL71" s="28"/>
      <c r="BW71" s="28">
        <v>21</v>
      </c>
      <c r="BX71" s="4" t="s">
        <v>588</v>
      </c>
    </row>
    <row r="72" spans="1:76" ht="25.5" x14ac:dyDescent="0.25">
      <c r="A72" s="56" t="s">
        <v>216</v>
      </c>
      <c r="B72" s="3" t="s">
        <v>589</v>
      </c>
      <c r="C72" s="193" t="s">
        <v>590</v>
      </c>
      <c r="D72" s="194"/>
      <c r="E72" s="3" t="s">
        <v>143</v>
      </c>
      <c r="F72" s="28">
        <v>1</v>
      </c>
      <c r="G72" s="299">
        <v>0</v>
      </c>
      <c r="H72" s="28">
        <f t="shared" si="0"/>
        <v>0</v>
      </c>
      <c r="I72" s="28">
        <f t="shared" si="1"/>
        <v>0</v>
      </c>
      <c r="J72" s="28">
        <f t="shared" si="2"/>
        <v>0</v>
      </c>
      <c r="K72" s="188" t="s">
        <v>129</v>
      </c>
      <c r="Z72" s="28">
        <f t="shared" si="3"/>
        <v>0</v>
      </c>
      <c r="AB72" s="28">
        <f t="shared" si="4"/>
        <v>0</v>
      </c>
      <c r="AC72" s="28">
        <f t="shared" si="5"/>
        <v>0</v>
      </c>
      <c r="AD72" s="28">
        <f t="shared" si="6"/>
        <v>0</v>
      </c>
      <c r="AE72" s="28">
        <f t="shared" si="7"/>
        <v>0</v>
      </c>
      <c r="AF72" s="28">
        <f t="shared" si="8"/>
        <v>0</v>
      </c>
      <c r="AG72" s="28">
        <f t="shared" si="9"/>
        <v>0</v>
      </c>
      <c r="AH72" s="28">
        <f t="shared" si="10"/>
        <v>0</v>
      </c>
      <c r="AI72" s="10" t="s">
        <v>53</v>
      </c>
      <c r="AJ72" s="28">
        <f t="shared" si="11"/>
        <v>0</v>
      </c>
      <c r="AK72" s="28">
        <f t="shared" si="12"/>
        <v>0</v>
      </c>
      <c r="AL72" s="28">
        <f t="shared" si="13"/>
        <v>0</v>
      </c>
      <c r="AN72" s="28">
        <v>21</v>
      </c>
      <c r="AO72" s="28">
        <f t="shared" si="14"/>
        <v>0</v>
      </c>
      <c r="AP72" s="28">
        <f t="shared" si="15"/>
        <v>0</v>
      </c>
      <c r="AQ72" s="30" t="s">
        <v>568</v>
      </c>
      <c r="AV72" s="28">
        <f t="shared" si="16"/>
        <v>0</v>
      </c>
      <c r="AW72" s="28">
        <f t="shared" si="17"/>
        <v>0</v>
      </c>
      <c r="AX72" s="28">
        <f t="shared" si="18"/>
        <v>0</v>
      </c>
      <c r="AY72" s="30" t="s">
        <v>569</v>
      </c>
      <c r="AZ72" s="30" t="s">
        <v>570</v>
      </c>
      <c r="BA72" s="10" t="s">
        <v>60</v>
      </c>
      <c r="BC72" s="28">
        <f t="shared" si="19"/>
        <v>0</v>
      </c>
      <c r="BD72" s="28">
        <f t="shared" si="20"/>
        <v>0</v>
      </c>
      <c r="BE72" s="28">
        <v>0</v>
      </c>
      <c r="BF72" s="28">
        <f>72</f>
        <v>72</v>
      </c>
      <c r="BH72" s="28">
        <f t="shared" si="21"/>
        <v>0</v>
      </c>
      <c r="BI72" s="28">
        <f t="shared" si="22"/>
        <v>0</v>
      </c>
      <c r="BJ72" s="28">
        <f t="shared" si="23"/>
        <v>0</v>
      </c>
      <c r="BK72" s="30" t="s">
        <v>155</v>
      </c>
      <c r="BL72" s="28"/>
      <c r="BW72" s="28">
        <v>21</v>
      </c>
      <c r="BX72" s="4" t="s">
        <v>590</v>
      </c>
    </row>
    <row r="73" spans="1:76" x14ac:dyDescent="0.25">
      <c r="A73" s="52" t="s">
        <v>219</v>
      </c>
      <c r="B73" s="53" t="s">
        <v>591</v>
      </c>
      <c r="C73" s="261" t="s">
        <v>592</v>
      </c>
      <c r="D73" s="262"/>
      <c r="E73" s="53" t="s">
        <v>57</v>
      </c>
      <c r="F73" s="189">
        <v>13</v>
      </c>
      <c r="G73" s="301">
        <v>0</v>
      </c>
      <c r="H73" s="189">
        <f t="shared" si="0"/>
        <v>0</v>
      </c>
      <c r="I73" s="189">
        <f t="shared" si="1"/>
        <v>0</v>
      </c>
      <c r="J73" s="189">
        <f t="shared" si="2"/>
        <v>0</v>
      </c>
      <c r="K73" s="190" t="s">
        <v>129</v>
      </c>
      <c r="Z73" s="28">
        <f t="shared" si="3"/>
        <v>0</v>
      </c>
      <c r="AB73" s="28">
        <f t="shared" si="4"/>
        <v>0</v>
      </c>
      <c r="AC73" s="28">
        <f t="shared" si="5"/>
        <v>0</v>
      </c>
      <c r="AD73" s="28">
        <f t="shared" si="6"/>
        <v>0</v>
      </c>
      <c r="AE73" s="28">
        <f t="shared" si="7"/>
        <v>0</v>
      </c>
      <c r="AF73" s="28">
        <f t="shared" si="8"/>
        <v>0</v>
      </c>
      <c r="AG73" s="28">
        <f t="shared" si="9"/>
        <v>0</v>
      </c>
      <c r="AH73" s="28">
        <f t="shared" si="10"/>
        <v>0</v>
      </c>
      <c r="AI73" s="10" t="s">
        <v>53</v>
      </c>
      <c r="AJ73" s="28">
        <f t="shared" si="11"/>
        <v>0</v>
      </c>
      <c r="AK73" s="28">
        <f t="shared" si="12"/>
        <v>0</v>
      </c>
      <c r="AL73" s="28">
        <f t="shared" si="13"/>
        <v>0</v>
      </c>
      <c r="AN73" s="28">
        <v>21</v>
      </c>
      <c r="AO73" s="28">
        <f t="shared" si="14"/>
        <v>0</v>
      </c>
      <c r="AP73" s="28">
        <f t="shared" si="15"/>
        <v>0</v>
      </c>
      <c r="AQ73" s="30" t="s">
        <v>568</v>
      </c>
      <c r="AV73" s="28">
        <f t="shared" si="16"/>
        <v>0</v>
      </c>
      <c r="AW73" s="28">
        <f t="shared" si="17"/>
        <v>0</v>
      </c>
      <c r="AX73" s="28">
        <f t="shared" si="18"/>
        <v>0</v>
      </c>
      <c r="AY73" s="30" t="s">
        <v>569</v>
      </c>
      <c r="AZ73" s="30" t="s">
        <v>570</v>
      </c>
      <c r="BA73" s="10" t="s">
        <v>60</v>
      </c>
      <c r="BC73" s="28">
        <f t="shared" si="19"/>
        <v>0</v>
      </c>
      <c r="BD73" s="28">
        <f t="shared" si="20"/>
        <v>0</v>
      </c>
      <c r="BE73" s="28">
        <v>0</v>
      </c>
      <c r="BF73" s="28">
        <f>73</f>
        <v>73</v>
      </c>
      <c r="BH73" s="28">
        <f t="shared" si="21"/>
        <v>0</v>
      </c>
      <c r="BI73" s="28">
        <f t="shared" si="22"/>
        <v>0</v>
      </c>
      <c r="BJ73" s="28">
        <f t="shared" si="23"/>
        <v>0</v>
      </c>
      <c r="BK73" s="30" t="s">
        <v>155</v>
      </c>
      <c r="BL73" s="28"/>
      <c r="BW73" s="28">
        <v>21</v>
      </c>
      <c r="BX73" s="4" t="s">
        <v>592</v>
      </c>
    </row>
    <row r="74" spans="1:76" x14ac:dyDescent="0.25">
      <c r="H74" s="263" t="s">
        <v>228</v>
      </c>
      <c r="I74" s="263"/>
      <c r="J74" s="191">
        <f>ROUND(J13+J15+J17+J19+J22+J24+J26+J28+J30+J32+J35+J37+J39+J41+J43+J45+J47+J49+J51+J53+J55+J61,2)</f>
        <v>0</v>
      </c>
    </row>
    <row r="75" spans="1:76" x14ac:dyDescent="0.25">
      <c r="A75" s="36" t="s">
        <v>229</v>
      </c>
    </row>
    <row r="76" spans="1:76" ht="12.75" customHeight="1" x14ac:dyDescent="0.25">
      <c r="A76" s="193" t="s">
        <v>49</v>
      </c>
      <c r="B76" s="194"/>
      <c r="C76" s="194"/>
      <c r="D76" s="194"/>
      <c r="E76" s="194"/>
      <c r="F76" s="194"/>
      <c r="G76" s="194"/>
      <c r="H76" s="194"/>
      <c r="I76" s="194"/>
      <c r="J76" s="194"/>
      <c r="K76" s="194"/>
    </row>
  </sheetData>
  <sheetProtection algorithmName="SHA-512" hashValue="ydMQt7BE5yFhogbOdbYv8kHgNLvmMMX2QGV8gsRytsYOLOyR8ORg14BOANs688bmC7DbP2OQR3M2OIAAuZo1NA==" saltValue="Wp44pDWhU/D60/3kIITVVQ==" spinCount="100000" sheet="1" objects="1" scenarios="1"/>
  <mergeCells count="92">
    <mergeCell ref="I4:K5"/>
    <mergeCell ref="A1:K1"/>
    <mergeCell ref="A2:B3"/>
    <mergeCell ref="C2:D3"/>
    <mergeCell ref="E2:F3"/>
    <mergeCell ref="G2:G3"/>
    <mergeCell ref="H2:H3"/>
    <mergeCell ref="I2:K3"/>
    <mergeCell ref="A4:B5"/>
    <mergeCell ref="C4:D5"/>
    <mergeCell ref="E4:F5"/>
    <mergeCell ref="G4:G5"/>
    <mergeCell ref="H4:H5"/>
    <mergeCell ref="I8:K9"/>
    <mergeCell ref="A6:B7"/>
    <mergeCell ref="C6:D7"/>
    <mergeCell ref="E6:F7"/>
    <mergeCell ref="G6:G7"/>
    <mergeCell ref="H6:H7"/>
    <mergeCell ref="I6:K7"/>
    <mergeCell ref="A8:B9"/>
    <mergeCell ref="C8:D9"/>
    <mergeCell ref="E8:F9"/>
    <mergeCell ref="G8:G9"/>
    <mergeCell ref="H8:H9"/>
    <mergeCell ref="C20:D20"/>
    <mergeCell ref="C10:D10"/>
    <mergeCell ref="H10:J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32:D32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44:D44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56:D56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68:D68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A76:K76"/>
    <mergeCell ref="C69:D69"/>
    <mergeCell ref="C70:D70"/>
    <mergeCell ref="C71:D71"/>
    <mergeCell ref="C72:D72"/>
    <mergeCell ref="C73:D73"/>
    <mergeCell ref="H74:I74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13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CD372-2411-4E0F-9457-FD5536945ACB}">
  <sheetPr>
    <pageSetUpPr fitToPage="1"/>
  </sheetPr>
  <dimension ref="A1:O115"/>
  <sheetViews>
    <sheetView tabSelected="1" workbookViewId="0">
      <selection sqref="A1:XFD1048576"/>
    </sheetView>
  </sheetViews>
  <sheetFormatPr defaultColWidth="19.85546875" defaultRowHeight="19.5" customHeight="1" x14ac:dyDescent="0.25"/>
  <cols>
    <col min="2" max="2" width="78.85546875" customWidth="1"/>
    <col min="3" max="3" width="24.85546875" customWidth="1"/>
    <col min="8" max="8" width="13.28515625" customWidth="1"/>
    <col min="9" max="9" width="11.85546875" customWidth="1"/>
  </cols>
  <sheetData>
    <row r="1" spans="1:9" ht="19.5" customHeight="1" x14ac:dyDescent="0.25">
      <c r="A1" s="62"/>
      <c r="B1" s="63"/>
      <c r="C1" s="63"/>
      <c r="D1" s="64"/>
      <c r="E1" s="63"/>
      <c r="F1" s="62"/>
      <c r="G1" s="65" t="s">
        <v>294</v>
      </c>
    </row>
    <row r="2" spans="1:9" ht="19.5" customHeight="1" x14ac:dyDescent="0.25">
      <c r="A2" s="62"/>
      <c r="B2" s="66"/>
      <c r="C2" s="67"/>
      <c r="D2" s="68"/>
      <c r="E2" s="69"/>
      <c r="F2" s="62"/>
      <c r="G2" s="67" t="s">
        <v>295</v>
      </c>
    </row>
    <row r="3" spans="1:9" ht="19.5" customHeight="1" x14ac:dyDescent="0.25">
      <c r="A3" s="62"/>
      <c r="B3" s="66"/>
      <c r="C3" s="67"/>
      <c r="D3" s="70"/>
      <c r="E3" s="69"/>
      <c r="F3" s="62"/>
      <c r="G3" s="67" t="s">
        <v>296</v>
      </c>
    </row>
    <row r="4" spans="1:9" ht="19.5" customHeight="1" x14ac:dyDescent="0.25">
      <c r="A4" s="62"/>
      <c r="B4" s="66"/>
      <c r="C4" s="67"/>
      <c r="D4" s="71"/>
      <c r="E4" s="69"/>
      <c r="F4" s="62"/>
      <c r="G4" s="67" t="s">
        <v>297</v>
      </c>
    </row>
    <row r="5" spans="1:9" ht="12.6" customHeight="1" x14ac:dyDescent="0.25">
      <c r="A5" s="62"/>
      <c r="B5" s="66"/>
      <c r="C5" s="66"/>
      <c r="D5" s="72"/>
      <c r="E5" s="73"/>
      <c r="F5" s="62"/>
      <c r="G5" s="74" t="s">
        <v>298</v>
      </c>
    </row>
    <row r="6" spans="1:9" ht="30" customHeight="1" x14ac:dyDescent="0.25">
      <c r="A6" s="276" t="s">
        <v>449</v>
      </c>
      <c r="B6" s="276"/>
      <c r="C6" s="276"/>
      <c r="D6" s="276"/>
      <c r="E6" s="276"/>
      <c r="F6" s="276"/>
      <c r="G6" s="276"/>
    </row>
    <row r="7" spans="1:9" ht="19.5" customHeight="1" x14ac:dyDescent="0.25">
      <c r="A7" s="277" t="s">
        <v>299</v>
      </c>
      <c r="B7" s="277"/>
      <c r="C7" s="277"/>
      <c r="D7" s="277"/>
      <c r="E7" s="277"/>
      <c r="F7" s="277"/>
      <c r="G7" s="277"/>
    </row>
    <row r="8" spans="1:9" ht="19.5" customHeight="1" x14ac:dyDescent="0.25">
      <c r="A8" s="278" t="s">
        <v>300</v>
      </c>
      <c r="B8" s="278"/>
      <c r="C8" s="278"/>
      <c r="D8" s="278"/>
      <c r="E8" s="278"/>
      <c r="F8" s="278"/>
      <c r="G8" s="278"/>
    </row>
    <row r="9" spans="1:9" ht="19.5" customHeight="1" x14ac:dyDescent="0.25">
      <c r="A9" s="75"/>
      <c r="B9" s="75"/>
      <c r="C9" s="75"/>
      <c r="D9" s="75"/>
      <c r="E9" s="76"/>
      <c r="F9" s="77"/>
      <c r="G9" s="77"/>
    </row>
    <row r="10" spans="1:9" ht="19.5" customHeight="1" x14ac:dyDescent="0.25">
      <c r="A10" s="279" t="s">
        <v>301</v>
      </c>
      <c r="B10" s="279" t="s">
        <v>302</v>
      </c>
      <c r="C10" s="279" t="s">
        <v>303</v>
      </c>
      <c r="D10" s="279" t="s">
        <v>304</v>
      </c>
      <c r="E10" s="78" t="s">
        <v>305</v>
      </c>
      <c r="F10" s="79" t="s">
        <v>306</v>
      </c>
      <c r="G10" s="79" t="s">
        <v>35</v>
      </c>
    </row>
    <row r="11" spans="1:9" ht="19.5" customHeight="1" x14ac:dyDescent="0.25">
      <c r="A11" s="279"/>
      <c r="B11" s="279"/>
      <c r="C11" s="279"/>
      <c r="D11" s="279"/>
      <c r="E11" s="78" t="s">
        <v>307</v>
      </c>
      <c r="F11" s="79" t="s">
        <v>308</v>
      </c>
      <c r="G11" s="79" t="s">
        <v>308</v>
      </c>
    </row>
    <row r="12" spans="1:9" ht="19.5" customHeight="1" x14ac:dyDescent="0.25">
      <c r="A12" s="80" t="s">
        <v>309</v>
      </c>
      <c r="B12" s="81" t="s">
        <v>310</v>
      </c>
      <c r="C12" s="82"/>
      <c r="D12" s="82"/>
      <c r="E12" s="83"/>
      <c r="F12" s="84"/>
      <c r="G12" s="84"/>
      <c r="H12" s="85"/>
      <c r="I12" s="86"/>
    </row>
    <row r="13" spans="1:9" ht="19.5" customHeight="1" x14ac:dyDescent="0.25">
      <c r="A13" s="87" t="s">
        <v>311</v>
      </c>
      <c r="B13" s="88" t="s">
        <v>312</v>
      </c>
      <c r="C13" s="89"/>
      <c r="D13" s="89"/>
      <c r="E13" s="90">
        <v>10</v>
      </c>
      <c r="F13" s="303">
        <v>0</v>
      </c>
      <c r="G13" s="91">
        <f>E13*F13</f>
        <v>0</v>
      </c>
      <c r="H13" s="85"/>
      <c r="I13" s="86"/>
    </row>
    <row r="14" spans="1:9" ht="19.5" customHeight="1" x14ac:dyDescent="0.25">
      <c r="A14" s="87" t="s">
        <v>313</v>
      </c>
      <c r="B14" s="88" t="s">
        <v>314</v>
      </c>
      <c r="C14" s="89"/>
      <c r="D14" s="89"/>
      <c r="E14" s="90">
        <v>83</v>
      </c>
      <c r="F14" s="303">
        <v>0</v>
      </c>
      <c r="G14" s="91">
        <f>E14*F14</f>
        <v>0</v>
      </c>
      <c r="H14" s="85"/>
      <c r="I14" s="86"/>
    </row>
    <row r="15" spans="1:9" ht="19.5" customHeight="1" x14ac:dyDescent="0.25">
      <c r="A15" s="87" t="s">
        <v>315</v>
      </c>
      <c r="B15" s="88" t="s">
        <v>316</v>
      </c>
      <c r="C15" s="89"/>
      <c r="D15" s="89"/>
      <c r="E15" s="90">
        <v>1</v>
      </c>
      <c r="F15" s="303">
        <v>0</v>
      </c>
      <c r="G15" s="91">
        <f t="shared" ref="G15" si="0">E15*F15</f>
        <v>0</v>
      </c>
      <c r="H15" s="85"/>
      <c r="I15" s="86"/>
    </row>
    <row r="16" spans="1:9" ht="19.5" customHeight="1" x14ac:dyDescent="0.25">
      <c r="A16" s="87"/>
      <c r="B16" s="92" t="s">
        <v>317</v>
      </c>
      <c r="C16" s="89"/>
      <c r="D16" s="89"/>
      <c r="E16" s="93"/>
      <c r="F16" s="94"/>
      <c r="G16" s="95">
        <f>SUM(G13:G15)</f>
        <v>0</v>
      </c>
      <c r="H16" s="85"/>
      <c r="I16" s="86"/>
    </row>
    <row r="17" spans="1:15" ht="10.9" customHeight="1" x14ac:dyDescent="0.25">
      <c r="A17" s="87"/>
      <c r="B17" s="96"/>
      <c r="C17" s="97"/>
      <c r="D17" s="97"/>
      <c r="E17" s="83"/>
      <c r="F17" s="84"/>
      <c r="G17" s="98"/>
      <c r="H17" s="85"/>
      <c r="I17" s="86"/>
    </row>
    <row r="18" spans="1:15" ht="19.5" customHeight="1" x14ac:dyDescent="0.25">
      <c r="A18" s="80"/>
      <c r="B18" s="92" t="s">
        <v>318</v>
      </c>
      <c r="C18" s="89"/>
      <c r="D18" s="89"/>
      <c r="E18" s="93"/>
      <c r="F18" s="94"/>
      <c r="G18" s="95"/>
      <c r="H18" s="85"/>
      <c r="I18" s="86"/>
    </row>
    <row r="19" spans="1:15" ht="34.15" customHeight="1" thickBot="1" x14ac:dyDescent="0.3">
      <c r="A19" s="99" t="s">
        <v>319</v>
      </c>
      <c r="B19" s="100" t="s">
        <v>320</v>
      </c>
      <c r="C19" s="89"/>
      <c r="D19" s="89"/>
      <c r="E19" s="90">
        <v>216</v>
      </c>
      <c r="F19" s="303">
        <v>0</v>
      </c>
      <c r="G19" s="101">
        <f>E19*F19</f>
        <v>0</v>
      </c>
      <c r="H19" s="85"/>
      <c r="I19" s="86"/>
    </row>
    <row r="20" spans="1:15" ht="19.5" customHeight="1" thickBot="1" x14ac:dyDescent="0.3">
      <c r="A20" s="80"/>
      <c r="B20" s="102" t="s">
        <v>35</v>
      </c>
      <c r="C20" s="103"/>
      <c r="D20" s="103"/>
      <c r="E20" s="104"/>
      <c r="F20" s="105"/>
      <c r="G20" s="106">
        <f>SUM(G19:G19)</f>
        <v>0</v>
      </c>
      <c r="H20" s="85"/>
      <c r="I20" s="192">
        <f>G16+G20</f>
        <v>0</v>
      </c>
      <c r="O20" s="107"/>
    </row>
    <row r="21" spans="1:15" ht="19.5" customHeight="1" thickTop="1" x14ac:dyDescent="0.25">
      <c r="A21" s="80"/>
      <c r="B21" s="82"/>
      <c r="C21" s="82"/>
      <c r="D21" s="82"/>
      <c r="E21" s="83"/>
      <c r="F21" s="108"/>
      <c r="G21" s="108"/>
      <c r="H21" s="85"/>
      <c r="I21" s="86"/>
    </row>
    <row r="22" spans="1:15" s="115" customFormat="1" ht="19.5" customHeight="1" x14ac:dyDescent="0.25">
      <c r="A22" s="109" t="s">
        <v>321</v>
      </c>
      <c r="B22" s="110" t="s">
        <v>322</v>
      </c>
      <c r="C22" s="111"/>
      <c r="D22" s="111"/>
      <c r="E22" s="112"/>
      <c r="F22" s="113"/>
      <c r="G22" s="113"/>
      <c r="H22" s="114"/>
    </row>
    <row r="23" spans="1:15" s="115" customFormat="1" ht="19.5" customHeight="1" x14ac:dyDescent="0.25">
      <c r="A23" s="116" t="s">
        <v>323</v>
      </c>
      <c r="B23" s="117" t="s">
        <v>324</v>
      </c>
      <c r="C23" s="111"/>
      <c r="D23" s="111"/>
      <c r="E23" s="118">
        <v>1</v>
      </c>
      <c r="F23" s="303">
        <v>0</v>
      </c>
      <c r="G23" s="119">
        <f>E23*F23</f>
        <v>0</v>
      </c>
      <c r="H23" s="114"/>
    </row>
    <row r="24" spans="1:15" s="115" customFormat="1" ht="19.5" customHeight="1" x14ac:dyDescent="0.25">
      <c r="A24" s="116" t="s">
        <v>325</v>
      </c>
      <c r="B24" s="117" t="s">
        <v>326</v>
      </c>
      <c r="C24" s="118"/>
      <c r="D24" s="119"/>
      <c r="E24" s="118">
        <v>216</v>
      </c>
      <c r="F24" s="303">
        <v>0</v>
      </c>
      <c r="G24" s="119">
        <f>E24*F24</f>
        <v>0</v>
      </c>
      <c r="H24" s="114"/>
    </row>
    <row r="25" spans="1:15" s="115" customFormat="1" ht="19.5" customHeight="1" x14ac:dyDescent="0.25">
      <c r="A25" s="116" t="s">
        <v>327</v>
      </c>
      <c r="B25" s="117" t="s">
        <v>328</v>
      </c>
      <c r="C25" s="111"/>
      <c r="D25" s="111"/>
      <c r="E25" s="118">
        <v>3</v>
      </c>
      <c r="F25" s="303">
        <v>0</v>
      </c>
      <c r="G25" s="119">
        <f>E25*F25</f>
        <v>0</v>
      </c>
      <c r="H25" s="114"/>
    </row>
    <row r="26" spans="1:15" s="115" customFormat="1" ht="19.5" customHeight="1" x14ac:dyDescent="0.25">
      <c r="A26" s="116" t="s">
        <v>329</v>
      </c>
      <c r="B26" s="117" t="s">
        <v>330</v>
      </c>
      <c r="C26" s="111"/>
      <c r="D26" s="111"/>
      <c r="E26" s="118">
        <v>1</v>
      </c>
      <c r="F26" s="303">
        <v>0</v>
      </c>
      <c r="G26" s="119">
        <f>E26*F26</f>
        <v>0</v>
      </c>
      <c r="H26" s="114"/>
    </row>
    <row r="27" spans="1:15" s="115" customFormat="1" ht="19.5" customHeight="1" x14ac:dyDescent="0.25">
      <c r="A27" s="116"/>
      <c r="B27" s="110" t="s">
        <v>331</v>
      </c>
      <c r="C27" s="111"/>
      <c r="D27" s="111"/>
      <c r="E27" s="118"/>
      <c r="F27" s="119"/>
      <c r="G27" s="113">
        <f>SUM(G23:G26)</f>
        <v>0</v>
      </c>
      <c r="H27" s="114"/>
    </row>
    <row r="28" spans="1:15" ht="10.9" customHeight="1" x14ac:dyDescent="0.25">
      <c r="A28" s="87"/>
      <c r="B28" s="120"/>
      <c r="C28" s="97"/>
      <c r="D28" s="97"/>
      <c r="E28" s="121"/>
      <c r="F28" s="122"/>
      <c r="G28" s="122"/>
      <c r="H28" s="85"/>
      <c r="I28" s="86"/>
    </row>
    <row r="29" spans="1:15" ht="19.5" customHeight="1" x14ac:dyDescent="0.25">
      <c r="B29" s="110" t="s">
        <v>332</v>
      </c>
      <c r="C29" s="97"/>
      <c r="D29" s="97"/>
      <c r="E29" s="121"/>
      <c r="F29" s="122"/>
      <c r="G29" s="122"/>
      <c r="H29" s="85"/>
      <c r="I29" s="86"/>
    </row>
    <row r="30" spans="1:15" s="115" customFormat="1" ht="19.5" customHeight="1" x14ac:dyDescent="0.25">
      <c r="A30" s="87" t="s">
        <v>333</v>
      </c>
      <c r="B30" s="123" t="s">
        <v>334</v>
      </c>
      <c r="C30" s="124"/>
      <c r="D30" s="124"/>
      <c r="E30" s="125">
        <v>1</v>
      </c>
      <c r="F30" s="303">
        <v>0</v>
      </c>
      <c r="G30" s="126">
        <f>E30*F30</f>
        <v>0</v>
      </c>
      <c r="H30" s="127"/>
    </row>
    <row r="31" spans="1:15" s="115" customFormat="1" ht="19.5" customHeight="1" x14ac:dyDescent="0.25">
      <c r="A31" s="128" t="s">
        <v>335</v>
      </c>
      <c r="B31" s="123" t="s">
        <v>336</v>
      </c>
      <c r="C31" s="124"/>
      <c r="D31" s="124"/>
      <c r="E31" s="125">
        <v>1</v>
      </c>
      <c r="F31" s="303">
        <v>0</v>
      </c>
      <c r="G31" s="126">
        <f t="shared" ref="G31:G33" si="1">E31*F31</f>
        <v>0</v>
      </c>
      <c r="H31" s="127"/>
    </row>
    <row r="32" spans="1:15" s="115" customFormat="1" ht="19.5" customHeight="1" x14ac:dyDescent="0.25">
      <c r="A32" s="128" t="s">
        <v>337</v>
      </c>
      <c r="B32" s="123" t="s">
        <v>338</v>
      </c>
      <c r="C32" s="124"/>
      <c r="D32" s="124"/>
      <c r="E32" s="125">
        <v>1</v>
      </c>
      <c r="F32" s="303">
        <v>0</v>
      </c>
      <c r="G32" s="126">
        <f>E32*F32</f>
        <v>0</v>
      </c>
      <c r="H32" s="127"/>
    </row>
    <row r="33" spans="1:9" s="115" customFormat="1" ht="19.5" customHeight="1" x14ac:dyDescent="0.25">
      <c r="A33" s="128" t="s">
        <v>339</v>
      </c>
      <c r="B33" s="123" t="s">
        <v>340</v>
      </c>
      <c r="C33" s="124"/>
      <c r="D33" s="124"/>
      <c r="E33" s="125">
        <v>1</v>
      </c>
      <c r="F33" s="303">
        <v>0</v>
      </c>
      <c r="G33" s="126">
        <f t="shared" si="1"/>
        <v>0</v>
      </c>
      <c r="H33" s="127"/>
    </row>
    <row r="34" spans="1:9" s="115" customFormat="1" ht="19.5" customHeight="1" x14ac:dyDescent="0.25">
      <c r="A34" s="128"/>
      <c r="B34" s="129" t="s">
        <v>341</v>
      </c>
      <c r="C34" s="124"/>
      <c r="D34" s="124"/>
      <c r="E34" s="125"/>
      <c r="F34" s="126"/>
      <c r="G34" s="130">
        <f>SUM(G30:G33)</f>
        <v>0</v>
      </c>
      <c r="H34" s="127"/>
    </row>
    <row r="35" spans="1:9" ht="10.9" customHeight="1" x14ac:dyDescent="0.25">
      <c r="A35" s="87"/>
      <c r="B35" s="96"/>
      <c r="C35" s="97"/>
      <c r="D35" s="97"/>
      <c r="E35" s="121"/>
      <c r="F35" s="122"/>
      <c r="G35" s="98"/>
      <c r="H35" s="85"/>
      <c r="I35" s="86"/>
    </row>
    <row r="36" spans="1:9" ht="19.5" customHeight="1" x14ac:dyDescent="0.25">
      <c r="A36" s="80"/>
      <c r="B36" s="92" t="s">
        <v>342</v>
      </c>
      <c r="C36" s="89"/>
      <c r="D36" s="89"/>
      <c r="E36" s="90"/>
      <c r="F36" s="101"/>
      <c r="G36" s="95">
        <f>G27+G34</f>
        <v>0</v>
      </c>
      <c r="H36" s="85"/>
      <c r="I36" s="86"/>
    </row>
    <row r="37" spans="1:9" ht="7.15" customHeight="1" x14ac:dyDescent="0.25">
      <c r="A37" s="80"/>
      <c r="B37" s="120"/>
      <c r="C37" s="97"/>
      <c r="D37" s="97"/>
      <c r="E37" s="121"/>
      <c r="F37" s="122"/>
      <c r="G37" s="122"/>
      <c r="H37" s="85"/>
      <c r="I37" s="86"/>
    </row>
    <row r="38" spans="1:9" ht="19.5" customHeight="1" x14ac:dyDescent="0.25">
      <c r="A38" s="80"/>
      <c r="B38" s="92" t="s">
        <v>343</v>
      </c>
      <c r="C38" s="89"/>
      <c r="D38" s="89"/>
      <c r="E38" s="90"/>
      <c r="F38" s="101"/>
      <c r="G38" s="101"/>
      <c r="H38" s="85"/>
      <c r="I38" s="86"/>
    </row>
    <row r="39" spans="1:9" ht="19.5" customHeight="1" x14ac:dyDescent="0.25">
      <c r="A39" s="99" t="s">
        <v>344</v>
      </c>
      <c r="B39" s="100" t="s">
        <v>345</v>
      </c>
      <c r="C39" s="89"/>
      <c r="D39" s="89"/>
      <c r="E39" s="90">
        <v>1</v>
      </c>
      <c r="F39" s="303">
        <v>0</v>
      </c>
      <c r="G39" s="101">
        <f>E39*F39</f>
        <v>0</v>
      </c>
      <c r="H39" s="85"/>
      <c r="I39" s="86"/>
    </row>
    <row r="40" spans="1:9" ht="19.5" customHeight="1" x14ac:dyDescent="0.25">
      <c r="A40" s="99" t="s">
        <v>346</v>
      </c>
      <c r="B40" s="100" t="s">
        <v>347</v>
      </c>
      <c r="C40" s="89"/>
      <c r="D40" s="89"/>
      <c r="E40" s="90">
        <v>1</v>
      </c>
      <c r="F40" s="303">
        <v>0</v>
      </c>
      <c r="G40" s="101">
        <f>E40*F40</f>
        <v>0</v>
      </c>
      <c r="H40" s="85"/>
      <c r="I40" s="86"/>
    </row>
    <row r="41" spans="1:9" ht="19.5" customHeight="1" x14ac:dyDescent="0.25">
      <c r="A41" s="99" t="s">
        <v>348</v>
      </c>
      <c r="B41" s="100" t="s">
        <v>349</v>
      </c>
      <c r="C41" s="89"/>
      <c r="D41" s="89"/>
      <c r="E41" s="90">
        <v>2</v>
      </c>
      <c r="F41" s="303">
        <v>0</v>
      </c>
      <c r="G41" s="101">
        <f>E41*F41</f>
        <v>0</v>
      </c>
      <c r="H41" s="85"/>
      <c r="I41" s="86"/>
    </row>
    <row r="42" spans="1:9" ht="19.5" customHeight="1" x14ac:dyDescent="0.25">
      <c r="A42" s="99" t="s">
        <v>350</v>
      </c>
      <c r="B42" s="100" t="s">
        <v>351</v>
      </c>
      <c r="C42" s="89"/>
      <c r="D42" s="89" t="s">
        <v>57</v>
      </c>
      <c r="E42" s="90">
        <v>216</v>
      </c>
      <c r="F42" s="303">
        <v>0</v>
      </c>
      <c r="G42" s="101">
        <f>E42*F42</f>
        <v>0</v>
      </c>
      <c r="H42" s="85"/>
      <c r="I42" s="86"/>
    </row>
    <row r="43" spans="1:9" ht="19.5" customHeight="1" thickBot="1" x14ac:dyDescent="0.3">
      <c r="A43" s="99" t="s">
        <v>352</v>
      </c>
      <c r="B43" s="100" t="s">
        <v>353</v>
      </c>
      <c r="C43" s="89"/>
      <c r="D43" s="89" t="s">
        <v>90</v>
      </c>
      <c r="E43" s="90">
        <v>78</v>
      </c>
      <c r="F43" s="303">
        <v>0</v>
      </c>
      <c r="G43" s="101">
        <f>E43*F43</f>
        <v>0</v>
      </c>
      <c r="H43" s="85"/>
      <c r="I43" s="86"/>
    </row>
    <row r="44" spans="1:9" ht="19.5" customHeight="1" thickBot="1" x14ac:dyDescent="0.3">
      <c r="A44" s="80"/>
      <c r="B44" s="102" t="s">
        <v>35</v>
      </c>
      <c r="C44" s="103"/>
      <c r="D44" s="103"/>
      <c r="E44" s="104"/>
      <c r="F44" s="105"/>
      <c r="G44" s="106">
        <f>SUM(G39:G43)</f>
        <v>0</v>
      </c>
      <c r="H44" s="85"/>
      <c r="I44" s="192">
        <f>G36+G44</f>
        <v>0</v>
      </c>
    </row>
    <row r="45" spans="1:9" ht="19.5" customHeight="1" thickTop="1" x14ac:dyDescent="0.25">
      <c r="A45" s="80"/>
      <c r="B45" s="86"/>
      <c r="C45" s="86"/>
      <c r="D45" s="86"/>
      <c r="E45" s="86"/>
      <c r="F45" s="86"/>
      <c r="G45" s="86"/>
      <c r="H45" s="85"/>
      <c r="I45" s="86"/>
    </row>
    <row r="46" spans="1:9" s="115" customFormat="1" ht="19.5" customHeight="1" x14ac:dyDescent="0.25">
      <c r="A46" s="109" t="s">
        <v>354</v>
      </c>
      <c r="B46" s="110" t="s">
        <v>355</v>
      </c>
      <c r="C46" s="131"/>
      <c r="D46" s="131"/>
      <c r="E46" s="132"/>
      <c r="F46" s="133"/>
      <c r="G46" s="134"/>
      <c r="H46" s="114"/>
    </row>
    <row r="47" spans="1:9" s="115" customFormat="1" ht="35.65" customHeight="1" x14ac:dyDescent="0.25">
      <c r="A47" s="116" t="s">
        <v>356</v>
      </c>
      <c r="B47" s="135" t="s">
        <v>357</v>
      </c>
      <c r="C47" s="89"/>
      <c r="D47" s="89"/>
      <c r="E47" s="90">
        <v>16</v>
      </c>
      <c r="F47" s="303">
        <v>0</v>
      </c>
      <c r="G47" s="101">
        <f>E47*F47</f>
        <v>0</v>
      </c>
      <c r="H47" s="114"/>
    </row>
    <row r="48" spans="1:9" s="115" customFormat="1" ht="19.5" customHeight="1" x14ac:dyDescent="0.25">
      <c r="A48" s="131"/>
      <c r="B48" s="92" t="s">
        <v>358</v>
      </c>
      <c r="C48" s="89"/>
      <c r="D48" s="89"/>
      <c r="E48" s="93"/>
      <c r="F48" s="94"/>
      <c r="G48" s="95">
        <f>SUM(G47:G47)</f>
        <v>0</v>
      </c>
      <c r="H48" s="114"/>
    </row>
    <row r="49" spans="1:9" ht="19.5" customHeight="1" x14ac:dyDescent="0.25">
      <c r="A49" s="136"/>
      <c r="B49" s="92"/>
      <c r="C49" s="89"/>
      <c r="D49" s="89"/>
      <c r="E49" s="93"/>
      <c r="F49" s="94"/>
      <c r="G49" s="95"/>
      <c r="H49" s="85"/>
      <c r="I49" s="86"/>
    </row>
    <row r="50" spans="1:9" ht="19.5" customHeight="1" x14ac:dyDescent="0.25">
      <c r="A50" s="136"/>
      <c r="B50" s="92" t="s">
        <v>359</v>
      </c>
      <c r="C50" s="89"/>
      <c r="D50" s="89"/>
      <c r="E50" s="93"/>
      <c r="F50" s="94"/>
      <c r="G50" s="95"/>
      <c r="H50" s="85"/>
      <c r="I50" s="86"/>
    </row>
    <row r="51" spans="1:9" ht="19.5" customHeight="1" x14ac:dyDescent="0.25">
      <c r="A51" s="99" t="s">
        <v>360</v>
      </c>
      <c r="B51" s="100" t="s">
        <v>361</v>
      </c>
      <c r="C51" s="89"/>
      <c r="D51" s="89"/>
      <c r="E51" s="90">
        <v>16</v>
      </c>
      <c r="F51" s="303">
        <v>0</v>
      </c>
      <c r="G51" s="101">
        <f>E51*F51</f>
        <v>0</v>
      </c>
      <c r="H51" s="85"/>
      <c r="I51" s="86"/>
    </row>
    <row r="52" spans="1:9" ht="19.149999999999999" customHeight="1" thickBot="1" x14ac:dyDescent="0.3">
      <c r="A52" s="99" t="s">
        <v>362</v>
      </c>
      <c r="B52" s="100" t="s">
        <v>349</v>
      </c>
      <c r="C52" s="89"/>
      <c r="D52" s="89"/>
      <c r="E52" s="90">
        <v>16</v>
      </c>
      <c r="F52" s="303">
        <v>0</v>
      </c>
      <c r="G52" s="101">
        <f>E52*F52</f>
        <v>0</v>
      </c>
      <c r="H52" s="85"/>
      <c r="I52" s="86"/>
    </row>
    <row r="53" spans="1:9" ht="19.5" customHeight="1" thickBot="1" x14ac:dyDescent="0.3">
      <c r="A53" s="136"/>
      <c r="B53" s="102" t="s">
        <v>35</v>
      </c>
      <c r="C53" s="103"/>
      <c r="D53" s="103"/>
      <c r="E53" s="104"/>
      <c r="F53" s="304"/>
      <c r="G53" s="106">
        <f>SUM(G50:G52)</f>
        <v>0</v>
      </c>
      <c r="H53" s="85"/>
      <c r="I53" s="192">
        <f>G48+G53</f>
        <v>0</v>
      </c>
    </row>
    <row r="54" spans="1:9" ht="19.5" customHeight="1" thickTop="1" x14ac:dyDescent="0.25">
      <c r="A54" s="136"/>
      <c r="B54" s="96"/>
      <c r="C54" s="97"/>
      <c r="D54" s="97"/>
      <c r="E54" s="83"/>
      <c r="F54" s="84"/>
      <c r="G54" s="98"/>
      <c r="H54" s="86"/>
      <c r="I54" s="86"/>
    </row>
    <row r="55" spans="1:9" s="115" customFormat="1" ht="19.5" customHeight="1" x14ac:dyDescent="0.25">
      <c r="A55" s="109" t="s">
        <v>363</v>
      </c>
      <c r="B55" s="110" t="s">
        <v>364</v>
      </c>
      <c r="C55" s="111"/>
      <c r="D55" s="111"/>
      <c r="E55" s="137"/>
      <c r="F55" s="137"/>
      <c r="G55" s="137"/>
      <c r="H55" s="114"/>
    </row>
    <row r="56" spans="1:9" s="115" customFormat="1" ht="19.5" customHeight="1" x14ac:dyDescent="0.25">
      <c r="A56" s="116" t="s">
        <v>365</v>
      </c>
      <c r="B56" s="117" t="s">
        <v>366</v>
      </c>
      <c r="C56" s="111"/>
      <c r="D56" s="111"/>
      <c r="E56" s="118">
        <v>1</v>
      </c>
      <c r="F56" s="303">
        <v>0</v>
      </c>
      <c r="G56" s="119">
        <f t="shared" ref="G56:G68" si="2">E56*F56</f>
        <v>0</v>
      </c>
      <c r="H56" s="114"/>
    </row>
    <row r="57" spans="1:9" s="115" customFormat="1" ht="19.5" customHeight="1" x14ac:dyDescent="0.25">
      <c r="A57" s="116" t="s">
        <v>367</v>
      </c>
      <c r="B57" s="117" t="s">
        <v>368</v>
      </c>
      <c r="C57" s="111"/>
      <c r="D57" s="111"/>
      <c r="E57" s="118">
        <v>1</v>
      </c>
      <c r="F57" s="303">
        <v>0</v>
      </c>
      <c r="G57" s="119">
        <f t="shared" si="2"/>
        <v>0</v>
      </c>
      <c r="H57" s="114"/>
    </row>
    <row r="58" spans="1:9" s="115" customFormat="1" ht="19.5" customHeight="1" x14ac:dyDescent="0.25">
      <c r="A58" s="116" t="s">
        <v>369</v>
      </c>
      <c r="B58" s="117" t="s">
        <v>370</v>
      </c>
      <c r="C58" s="111"/>
      <c r="D58" s="111"/>
      <c r="E58" s="118">
        <v>1</v>
      </c>
      <c r="F58" s="303">
        <v>0</v>
      </c>
      <c r="G58" s="119">
        <f t="shared" si="2"/>
        <v>0</v>
      </c>
      <c r="H58" s="114"/>
    </row>
    <row r="59" spans="1:9" s="115" customFormat="1" ht="19.5" customHeight="1" x14ac:dyDescent="0.25">
      <c r="A59" s="116" t="s">
        <v>371</v>
      </c>
      <c r="B59" s="138" t="s">
        <v>372</v>
      </c>
      <c r="C59" s="111"/>
      <c r="D59" s="111"/>
      <c r="E59" s="118">
        <v>4</v>
      </c>
      <c r="F59" s="303">
        <v>0</v>
      </c>
      <c r="G59" s="119">
        <f t="shared" si="2"/>
        <v>0</v>
      </c>
      <c r="H59" s="114"/>
    </row>
    <row r="60" spans="1:9" s="115" customFormat="1" ht="19.5" customHeight="1" x14ac:dyDescent="0.25">
      <c r="A60" s="116" t="s">
        <v>373</v>
      </c>
      <c r="B60" s="117" t="s">
        <v>374</v>
      </c>
      <c r="C60" s="111"/>
      <c r="D60" s="111"/>
      <c r="E60" s="118">
        <v>1</v>
      </c>
      <c r="F60" s="303">
        <v>0</v>
      </c>
      <c r="G60" s="119">
        <f t="shared" si="2"/>
        <v>0</v>
      </c>
      <c r="H60" s="114"/>
    </row>
    <row r="61" spans="1:9" s="115" customFormat="1" ht="21.75" customHeight="1" x14ac:dyDescent="0.25">
      <c r="A61" s="116" t="s">
        <v>375</v>
      </c>
      <c r="B61" s="117" t="s">
        <v>376</v>
      </c>
      <c r="C61" s="111"/>
      <c r="D61" s="111"/>
      <c r="E61" s="118">
        <v>1</v>
      </c>
      <c r="F61" s="303">
        <v>0</v>
      </c>
      <c r="G61" s="119">
        <f t="shared" si="2"/>
        <v>0</v>
      </c>
      <c r="H61" s="114"/>
    </row>
    <row r="62" spans="1:9" s="115" customFormat="1" ht="21.75" customHeight="1" x14ac:dyDescent="0.25">
      <c r="A62" s="116" t="s">
        <v>377</v>
      </c>
      <c r="B62" s="114" t="s">
        <v>378</v>
      </c>
      <c r="C62" s="111"/>
      <c r="D62" s="111"/>
      <c r="E62" s="118">
        <v>4</v>
      </c>
      <c r="F62" s="303">
        <v>0</v>
      </c>
      <c r="G62" s="119">
        <f t="shared" si="2"/>
        <v>0</v>
      </c>
      <c r="H62" s="114"/>
    </row>
    <row r="63" spans="1:9" s="115" customFormat="1" ht="19.5" customHeight="1" x14ac:dyDescent="0.25">
      <c r="A63" s="116" t="s">
        <v>379</v>
      </c>
      <c r="B63" s="117" t="s">
        <v>380</v>
      </c>
      <c r="C63" s="111"/>
      <c r="D63" s="111"/>
      <c r="E63" s="118">
        <v>3</v>
      </c>
      <c r="F63" s="303">
        <v>0</v>
      </c>
      <c r="G63" s="119">
        <f t="shared" si="2"/>
        <v>0</v>
      </c>
      <c r="H63" s="114"/>
    </row>
    <row r="64" spans="1:9" s="115" customFormat="1" ht="19.5" customHeight="1" x14ac:dyDescent="0.25">
      <c r="A64" s="116" t="s">
        <v>381</v>
      </c>
      <c r="B64" s="117" t="s">
        <v>382</v>
      </c>
      <c r="C64" s="111"/>
      <c r="D64" s="111"/>
      <c r="E64" s="118">
        <v>1</v>
      </c>
      <c r="F64" s="303">
        <v>0</v>
      </c>
      <c r="G64" s="119">
        <f t="shared" si="2"/>
        <v>0</v>
      </c>
      <c r="H64" s="114"/>
    </row>
    <row r="65" spans="1:10" s="115" customFormat="1" ht="19.5" customHeight="1" x14ac:dyDescent="0.25">
      <c r="A65" s="116" t="s">
        <v>383</v>
      </c>
      <c r="B65" s="117" t="s">
        <v>384</v>
      </c>
      <c r="C65" s="111"/>
      <c r="D65" s="111"/>
      <c r="E65" s="118">
        <v>1</v>
      </c>
      <c r="F65" s="303">
        <v>0</v>
      </c>
      <c r="G65" s="119">
        <f t="shared" si="2"/>
        <v>0</v>
      </c>
      <c r="H65" s="114"/>
    </row>
    <row r="66" spans="1:10" s="115" customFormat="1" ht="19.5" customHeight="1" x14ac:dyDescent="0.25">
      <c r="A66" s="116" t="s">
        <v>385</v>
      </c>
      <c r="B66" s="117" t="s">
        <v>386</v>
      </c>
      <c r="C66" s="111"/>
      <c r="D66" s="111"/>
      <c r="E66" s="118">
        <v>2</v>
      </c>
      <c r="F66" s="303">
        <v>0</v>
      </c>
      <c r="G66" s="119">
        <f t="shared" si="2"/>
        <v>0</v>
      </c>
      <c r="H66" s="114"/>
    </row>
    <row r="67" spans="1:10" s="115" customFormat="1" ht="19.5" customHeight="1" x14ac:dyDescent="0.25">
      <c r="A67" s="116" t="s">
        <v>387</v>
      </c>
      <c r="B67" s="117" t="s">
        <v>388</v>
      </c>
      <c r="C67" s="111"/>
      <c r="D67" s="111"/>
      <c r="E67" s="118">
        <v>1</v>
      </c>
      <c r="F67" s="303">
        <v>0</v>
      </c>
      <c r="G67" s="119">
        <f t="shared" si="2"/>
        <v>0</v>
      </c>
      <c r="H67" s="114"/>
    </row>
    <row r="68" spans="1:10" s="115" customFormat="1" ht="19.5" customHeight="1" x14ac:dyDescent="0.25">
      <c r="A68" s="116" t="s">
        <v>389</v>
      </c>
      <c r="B68" s="117" t="s">
        <v>254</v>
      </c>
      <c r="C68" s="111"/>
      <c r="D68" s="111"/>
      <c r="E68" s="139">
        <v>1</v>
      </c>
      <c r="F68" s="303">
        <v>0</v>
      </c>
      <c r="G68" s="119">
        <f t="shared" si="2"/>
        <v>0</v>
      </c>
      <c r="H68" s="114"/>
    </row>
    <row r="69" spans="1:10" s="115" customFormat="1" ht="19.5" customHeight="1" x14ac:dyDescent="0.25">
      <c r="A69" s="140"/>
      <c r="B69" s="110" t="s">
        <v>390</v>
      </c>
      <c r="C69" s="111"/>
      <c r="D69" s="111"/>
      <c r="E69" s="112"/>
      <c r="F69" s="141"/>
      <c r="G69" s="113">
        <f>SUM(G56:G68)</f>
        <v>0</v>
      </c>
      <c r="H69" s="114"/>
    </row>
    <row r="70" spans="1:10" ht="10.9" customHeight="1" x14ac:dyDescent="0.25">
      <c r="A70" s="136"/>
      <c r="B70" s="96"/>
      <c r="C70" s="97"/>
      <c r="D70" s="97"/>
      <c r="E70" s="83"/>
      <c r="F70" s="84"/>
      <c r="G70" s="98"/>
      <c r="H70" s="85"/>
      <c r="I70" s="86"/>
      <c r="J70" s="86"/>
    </row>
    <row r="71" spans="1:10" ht="19.5" customHeight="1" x14ac:dyDescent="0.25">
      <c r="A71" s="142"/>
      <c r="B71" s="92" t="s">
        <v>391</v>
      </c>
      <c r="C71" s="97"/>
      <c r="D71" s="97"/>
      <c r="E71" s="83"/>
      <c r="F71" s="84"/>
      <c r="G71" s="98"/>
      <c r="H71" s="85"/>
      <c r="I71" s="86"/>
      <c r="J71" s="86"/>
    </row>
    <row r="72" spans="1:10" s="115" customFormat="1" ht="19.5" customHeight="1" x14ac:dyDescent="0.25">
      <c r="A72" s="116" t="s">
        <v>392</v>
      </c>
      <c r="B72" s="100" t="s">
        <v>393</v>
      </c>
      <c r="C72" s="89"/>
      <c r="D72" s="89"/>
      <c r="E72" s="90">
        <v>1</v>
      </c>
      <c r="F72" s="303">
        <v>0</v>
      </c>
      <c r="G72" s="101">
        <f>E72*F72</f>
        <v>0</v>
      </c>
      <c r="H72" s="85"/>
      <c r="I72" s="86"/>
      <c r="J72" s="86"/>
    </row>
    <row r="73" spans="1:10" s="115" customFormat="1" ht="19.5" customHeight="1" x14ac:dyDescent="0.25">
      <c r="A73" s="116" t="s">
        <v>394</v>
      </c>
      <c r="B73" s="100" t="s">
        <v>395</v>
      </c>
      <c r="C73" s="89"/>
      <c r="D73" s="89"/>
      <c r="E73" s="90">
        <v>1</v>
      </c>
      <c r="F73" s="303">
        <v>0</v>
      </c>
      <c r="G73" s="101">
        <f>E73*F73</f>
        <v>0</v>
      </c>
      <c r="H73" s="85"/>
      <c r="I73" s="86"/>
      <c r="J73" s="86"/>
    </row>
    <row r="74" spans="1:10" s="115" customFormat="1" ht="19.5" customHeight="1" thickBot="1" x14ac:dyDescent="0.3">
      <c r="A74" s="116" t="s">
        <v>396</v>
      </c>
      <c r="B74" s="100" t="s">
        <v>349</v>
      </c>
      <c r="C74" s="89"/>
      <c r="D74" s="89"/>
      <c r="E74" s="90">
        <v>1</v>
      </c>
      <c r="F74" s="303">
        <v>0</v>
      </c>
      <c r="G74" s="101">
        <f>E74*F74</f>
        <v>0</v>
      </c>
      <c r="H74" s="85"/>
      <c r="I74" s="86"/>
      <c r="J74" s="86"/>
    </row>
    <row r="75" spans="1:10" ht="19.5" customHeight="1" thickBot="1" x14ac:dyDescent="0.3">
      <c r="A75" s="143"/>
      <c r="B75" s="144" t="s">
        <v>35</v>
      </c>
      <c r="C75" s="145"/>
      <c r="D75" s="145"/>
      <c r="E75" s="104"/>
      <c r="F75" s="105"/>
      <c r="G75" s="146">
        <f>SUM(G72:G74)</f>
        <v>0</v>
      </c>
      <c r="H75" s="85"/>
      <c r="I75" s="192">
        <f>G69+G75</f>
        <v>0</v>
      </c>
      <c r="J75" s="86"/>
    </row>
    <row r="76" spans="1:10" s="115" customFormat="1" ht="19.5" customHeight="1" thickTop="1" x14ac:dyDescent="0.25">
      <c r="A76" s="116"/>
      <c r="B76" s="120"/>
      <c r="C76" s="147"/>
      <c r="D76" s="147"/>
      <c r="E76" s="121"/>
      <c r="F76" s="148"/>
      <c r="G76" s="122"/>
      <c r="H76" s="85"/>
      <c r="I76" s="86"/>
      <c r="J76" s="86"/>
    </row>
    <row r="77" spans="1:10" s="115" customFormat="1" ht="19.5" customHeight="1" x14ac:dyDescent="0.25">
      <c r="A77" s="116" t="s">
        <v>397</v>
      </c>
      <c r="B77" s="110" t="s">
        <v>398</v>
      </c>
      <c r="C77" s="111"/>
      <c r="D77" s="111"/>
      <c r="E77" s="112"/>
      <c r="F77" s="141"/>
      <c r="G77" s="113"/>
      <c r="H77" s="114"/>
    </row>
    <row r="78" spans="1:10" s="115" customFormat="1" ht="19.5" customHeight="1" x14ac:dyDescent="0.25">
      <c r="A78" s="116" t="s">
        <v>399</v>
      </c>
      <c r="B78" s="117" t="s">
        <v>400</v>
      </c>
      <c r="C78" s="111"/>
      <c r="D78" s="111"/>
      <c r="E78" s="139">
        <v>1</v>
      </c>
      <c r="F78" s="303">
        <v>0</v>
      </c>
      <c r="G78" s="101">
        <f>E78*F78</f>
        <v>0</v>
      </c>
      <c r="H78" s="114"/>
    </row>
    <row r="79" spans="1:10" s="115" customFormat="1" ht="19.5" customHeight="1" x14ac:dyDescent="0.25">
      <c r="A79" s="131"/>
      <c r="B79" s="110" t="s">
        <v>401</v>
      </c>
      <c r="C79" s="111"/>
      <c r="D79" s="111"/>
      <c r="E79" s="112"/>
      <c r="F79" s="141"/>
      <c r="G79" s="113">
        <f>E78*F78</f>
        <v>0</v>
      </c>
      <c r="H79" s="114"/>
      <c r="I79" s="149"/>
    </row>
    <row r="80" spans="1:10" ht="19.5" customHeight="1" x14ac:dyDescent="0.25">
      <c r="A80" s="136"/>
      <c r="B80" s="96"/>
      <c r="C80" s="97"/>
      <c r="D80" s="97"/>
      <c r="E80" s="83"/>
      <c r="F80" s="84"/>
      <c r="G80" s="98"/>
      <c r="H80" s="85"/>
      <c r="I80" s="86"/>
      <c r="J80" s="86"/>
    </row>
    <row r="81" spans="1:10" ht="19.5" customHeight="1" x14ac:dyDescent="0.25">
      <c r="A81" s="87"/>
      <c r="B81" s="92" t="s">
        <v>402</v>
      </c>
      <c r="C81" s="89"/>
      <c r="D81" s="89"/>
      <c r="E81" s="150"/>
      <c r="F81" s="150"/>
      <c r="G81" s="150"/>
      <c r="H81" s="85"/>
      <c r="I81" s="86"/>
      <c r="J81" s="86"/>
    </row>
    <row r="82" spans="1:10" s="115" customFormat="1" ht="19.5" customHeight="1" x14ac:dyDescent="0.25">
      <c r="A82" s="116" t="s">
        <v>403</v>
      </c>
      <c r="B82" s="100" t="s">
        <v>361</v>
      </c>
      <c r="C82" s="89"/>
      <c r="D82" s="89"/>
      <c r="E82" s="151">
        <v>1</v>
      </c>
      <c r="F82" s="303">
        <v>0</v>
      </c>
      <c r="G82" s="101">
        <f>E82*F82</f>
        <v>0</v>
      </c>
      <c r="H82" s="85"/>
      <c r="I82" s="86"/>
      <c r="J82" s="86"/>
    </row>
    <row r="83" spans="1:10" s="115" customFormat="1" ht="19.5" customHeight="1" thickBot="1" x14ac:dyDescent="0.3">
      <c r="A83" s="116" t="s">
        <v>404</v>
      </c>
      <c r="B83" s="100" t="s">
        <v>405</v>
      </c>
      <c r="C83" s="89"/>
      <c r="D83" s="89"/>
      <c r="E83" s="90">
        <v>1</v>
      </c>
      <c r="F83" s="303">
        <v>0</v>
      </c>
      <c r="G83" s="101">
        <f>E83*F83</f>
        <v>0</v>
      </c>
      <c r="H83" s="85"/>
      <c r="I83" s="86"/>
      <c r="J83" s="86"/>
    </row>
    <row r="84" spans="1:10" ht="19.5" customHeight="1" thickBot="1" x14ac:dyDescent="0.3">
      <c r="A84" s="136"/>
      <c r="B84" s="144" t="s">
        <v>35</v>
      </c>
      <c r="C84" s="145"/>
      <c r="D84" s="145"/>
      <c r="E84" s="152"/>
      <c r="F84" s="153"/>
      <c r="G84" s="146">
        <f>SUM(G82:G83)</f>
        <v>0</v>
      </c>
      <c r="H84" s="85"/>
      <c r="I84" s="192">
        <f>G79+G84</f>
        <v>0</v>
      </c>
      <c r="J84" s="86"/>
    </row>
    <row r="85" spans="1:10" ht="19.5" customHeight="1" thickTop="1" x14ac:dyDescent="0.25">
      <c r="A85" s="142"/>
      <c r="B85" s="120"/>
      <c r="C85" s="120"/>
      <c r="D85" s="120"/>
      <c r="E85" s="154"/>
      <c r="F85" s="155"/>
      <c r="G85" s="155"/>
      <c r="H85" s="85"/>
      <c r="I85" s="86"/>
      <c r="J85" s="86"/>
    </row>
    <row r="86" spans="1:10" ht="19.5" customHeight="1" x14ac:dyDescent="0.25">
      <c r="A86" s="156" t="s">
        <v>406</v>
      </c>
      <c r="B86" s="92" t="s">
        <v>407</v>
      </c>
      <c r="C86" s="89"/>
      <c r="D86" s="89"/>
      <c r="E86" s="93"/>
      <c r="F86" s="94"/>
      <c r="G86" s="95"/>
      <c r="H86" s="157"/>
    </row>
    <row r="87" spans="1:10" ht="19.5" customHeight="1" x14ac:dyDescent="0.25">
      <c r="A87" s="99" t="s">
        <v>408</v>
      </c>
      <c r="B87" s="100" t="s">
        <v>409</v>
      </c>
      <c r="C87" s="158"/>
      <c r="D87" s="159"/>
      <c r="E87" s="160">
        <v>45</v>
      </c>
      <c r="F87" s="303">
        <v>0</v>
      </c>
      <c r="G87" s="161">
        <f t="shared" ref="G87:G100" si="3">E87*F87</f>
        <v>0</v>
      </c>
      <c r="H87" s="142"/>
    </row>
    <row r="88" spans="1:10" ht="15.4" customHeight="1" x14ac:dyDescent="0.25">
      <c r="A88" s="99" t="s">
        <v>410</v>
      </c>
      <c r="B88" s="100" t="s">
        <v>411</v>
      </c>
      <c r="C88" s="162"/>
      <c r="D88" s="89"/>
      <c r="E88" s="151">
        <v>15</v>
      </c>
      <c r="F88" s="303">
        <v>0</v>
      </c>
      <c r="G88" s="101">
        <f t="shared" si="3"/>
        <v>0</v>
      </c>
      <c r="H88" s="157"/>
    </row>
    <row r="89" spans="1:10" ht="15.75" customHeight="1" x14ac:dyDescent="0.25">
      <c r="A89" s="99" t="s">
        <v>412</v>
      </c>
      <c r="B89" s="100" t="s">
        <v>413</v>
      </c>
      <c r="C89" s="162"/>
      <c r="D89" s="89"/>
      <c r="E89" s="90">
        <v>226</v>
      </c>
      <c r="F89" s="303">
        <v>0</v>
      </c>
      <c r="G89" s="101">
        <f t="shared" si="3"/>
        <v>0</v>
      </c>
      <c r="H89" s="157"/>
    </row>
    <row r="90" spans="1:10" ht="19.5" customHeight="1" x14ac:dyDescent="0.25">
      <c r="A90" s="99" t="s">
        <v>414</v>
      </c>
      <c r="B90" s="163" t="s">
        <v>415</v>
      </c>
      <c r="C90" s="158"/>
      <c r="D90" s="159"/>
      <c r="E90" s="160">
        <v>50</v>
      </c>
      <c r="F90" s="303">
        <v>0</v>
      </c>
      <c r="G90" s="161">
        <f t="shared" si="3"/>
        <v>0</v>
      </c>
      <c r="H90" s="142"/>
    </row>
    <row r="91" spans="1:10" ht="19.5" customHeight="1" x14ac:dyDescent="0.25">
      <c r="A91" s="99" t="s">
        <v>416</v>
      </c>
      <c r="B91" s="163" t="s">
        <v>417</v>
      </c>
      <c r="C91" s="158" t="s">
        <v>418</v>
      </c>
      <c r="D91" s="159"/>
      <c r="E91" s="160">
        <v>350</v>
      </c>
      <c r="F91" s="303">
        <v>0</v>
      </c>
      <c r="G91" s="161">
        <f t="shared" si="3"/>
        <v>0</v>
      </c>
      <c r="H91" s="142"/>
    </row>
    <row r="92" spans="1:10" ht="19.5" customHeight="1" x14ac:dyDescent="0.25">
      <c r="A92" s="99" t="s">
        <v>419</v>
      </c>
      <c r="B92" s="163" t="s">
        <v>420</v>
      </c>
      <c r="C92" s="158"/>
      <c r="D92" s="159"/>
      <c r="E92" s="160">
        <v>113</v>
      </c>
      <c r="F92" s="303">
        <v>0</v>
      </c>
      <c r="G92" s="161">
        <f t="shared" si="3"/>
        <v>0</v>
      </c>
      <c r="H92" s="142"/>
    </row>
    <row r="93" spans="1:10" ht="19.5" customHeight="1" x14ac:dyDescent="0.25">
      <c r="A93" s="99" t="s">
        <v>421</v>
      </c>
      <c r="B93" s="163" t="s">
        <v>422</v>
      </c>
      <c r="C93" s="158" t="s">
        <v>423</v>
      </c>
      <c r="D93" s="159"/>
      <c r="E93" s="160">
        <v>40</v>
      </c>
      <c r="F93" s="303">
        <v>0</v>
      </c>
      <c r="G93" s="161">
        <f t="shared" si="3"/>
        <v>0</v>
      </c>
      <c r="H93" s="142"/>
    </row>
    <row r="94" spans="1:10" ht="19.5" customHeight="1" x14ac:dyDescent="0.25">
      <c r="A94" s="99" t="s">
        <v>424</v>
      </c>
      <c r="B94" s="100" t="s">
        <v>425</v>
      </c>
      <c r="C94" s="162" t="s">
        <v>426</v>
      </c>
      <c r="D94" s="89"/>
      <c r="E94" s="90">
        <v>200</v>
      </c>
      <c r="F94" s="303">
        <v>0</v>
      </c>
      <c r="G94" s="101">
        <f t="shared" si="3"/>
        <v>0</v>
      </c>
      <c r="H94" s="157"/>
    </row>
    <row r="95" spans="1:10" ht="19.5" customHeight="1" x14ac:dyDescent="0.25">
      <c r="A95" s="99" t="s">
        <v>427</v>
      </c>
      <c r="B95" s="100" t="s">
        <v>428</v>
      </c>
      <c r="C95" s="162" t="s">
        <v>429</v>
      </c>
      <c r="D95" s="89"/>
      <c r="E95" s="90">
        <v>780</v>
      </c>
      <c r="F95" s="303">
        <v>0</v>
      </c>
      <c r="G95" s="101">
        <f t="shared" si="3"/>
        <v>0</v>
      </c>
      <c r="H95" s="157"/>
    </row>
    <row r="96" spans="1:10" ht="19.5" customHeight="1" x14ac:dyDescent="0.25">
      <c r="A96" s="99" t="s">
        <v>430</v>
      </c>
      <c r="B96" s="100" t="s">
        <v>431</v>
      </c>
      <c r="C96" s="162" t="s">
        <v>432</v>
      </c>
      <c r="D96" s="89"/>
      <c r="E96" s="90">
        <v>120</v>
      </c>
      <c r="F96" s="303">
        <v>0</v>
      </c>
      <c r="G96" s="101">
        <f t="shared" si="3"/>
        <v>0</v>
      </c>
      <c r="H96" s="157"/>
    </row>
    <row r="97" spans="1:10" ht="19.5" customHeight="1" x14ac:dyDescent="0.25">
      <c r="A97" s="99" t="s">
        <v>433</v>
      </c>
      <c r="B97" s="100" t="s">
        <v>434</v>
      </c>
      <c r="C97" s="89"/>
      <c r="D97" s="89"/>
      <c r="E97" s="90">
        <v>1</v>
      </c>
      <c r="F97" s="303">
        <v>0</v>
      </c>
      <c r="G97" s="101">
        <f t="shared" si="3"/>
        <v>0</v>
      </c>
      <c r="H97" s="157"/>
    </row>
    <row r="98" spans="1:10" ht="27.4" customHeight="1" x14ac:dyDescent="0.25">
      <c r="A98" s="99" t="s">
        <v>435</v>
      </c>
      <c r="B98" s="100" t="s">
        <v>436</v>
      </c>
      <c r="C98" s="89"/>
      <c r="D98" s="89"/>
      <c r="E98" s="90">
        <v>35</v>
      </c>
      <c r="F98" s="303">
        <v>0</v>
      </c>
      <c r="G98" s="101">
        <f t="shared" si="3"/>
        <v>0</v>
      </c>
      <c r="H98" s="157"/>
    </row>
    <row r="99" spans="1:10" ht="37.5" customHeight="1" x14ac:dyDescent="0.25">
      <c r="A99" s="99" t="s">
        <v>437</v>
      </c>
      <c r="B99" s="100" t="s">
        <v>438</v>
      </c>
      <c r="C99" s="89"/>
      <c r="D99" s="89"/>
      <c r="E99" s="90">
        <v>94</v>
      </c>
      <c r="F99" s="303">
        <v>0</v>
      </c>
      <c r="G99" s="101">
        <f t="shared" si="3"/>
        <v>0</v>
      </c>
      <c r="H99" s="157"/>
    </row>
    <row r="100" spans="1:10" ht="19.5" customHeight="1" x14ac:dyDescent="0.25">
      <c r="A100" s="99" t="s">
        <v>439</v>
      </c>
      <c r="B100" s="100" t="s">
        <v>254</v>
      </c>
      <c r="C100" s="89"/>
      <c r="D100" s="89"/>
      <c r="E100" s="90">
        <v>1</v>
      </c>
      <c r="F100" s="303">
        <v>0</v>
      </c>
      <c r="G100" s="101">
        <f t="shared" si="3"/>
        <v>0</v>
      </c>
      <c r="H100" s="157"/>
    </row>
    <row r="101" spans="1:10" ht="17.649999999999999" customHeight="1" x14ac:dyDescent="0.25">
      <c r="A101" s="99"/>
      <c r="B101" s="164" t="s">
        <v>440</v>
      </c>
      <c r="C101" s="165"/>
      <c r="D101" s="165"/>
      <c r="E101" s="166"/>
      <c r="F101" s="167"/>
      <c r="G101" s="95">
        <f>SUM(G87:G100)</f>
        <v>0</v>
      </c>
      <c r="H101" s="157"/>
    </row>
    <row r="102" spans="1:10" ht="19.899999999999999" customHeight="1" x14ac:dyDescent="0.25">
      <c r="A102" s="87"/>
      <c r="B102" s="96"/>
      <c r="C102" s="97"/>
      <c r="D102" s="97"/>
      <c r="E102" s="83"/>
      <c r="F102" s="84"/>
      <c r="G102" s="98"/>
      <c r="H102" s="85"/>
      <c r="I102" s="86"/>
      <c r="J102" s="86"/>
    </row>
    <row r="103" spans="1:10" ht="19.5" customHeight="1" x14ac:dyDescent="0.25">
      <c r="A103" s="87"/>
      <c r="B103" s="92" t="s">
        <v>441</v>
      </c>
      <c r="C103" s="97"/>
      <c r="D103" s="97"/>
      <c r="E103" s="83"/>
      <c r="F103" s="84"/>
      <c r="G103" s="98"/>
      <c r="H103" s="85"/>
      <c r="I103" s="86"/>
      <c r="J103" s="86"/>
    </row>
    <row r="104" spans="1:10" ht="19.5" customHeight="1" x14ac:dyDescent="0.25">
      <c r="A104" s="99" t="s">
        <v>442</v>
      </c>
      <c r="B104" s="100" t="s">
        <v>361</v>
      </c>
      <c r="C104" s="89"/>
      <c r="D104" s="89"/>
      <c r="E104" s="90">
        <v>1939</v>
      </c>
      <c r="F104" s="303">
        <v>0</v>
      </c>
      <c r="G104" s="101">
        <f>E104*F104</f>
        <v>0</v>
      </c>
      <c r="H104" s="85"/>
      <c r="I104" s="86"/>
      <c r="J104" s="86"/>
    </row>
    <row r="105" spans="1:10" ht="19.5" customHeight="1" x14ac:dyDescent="0.25">
      <c r="A105" s="99" t="s">
        <v>443</v>
      </c>
      <c r="B105" s="100" t="s">
        <v>444</v>
      </c>
      <c r="C105" s="89"/>
      <c r="D105" s="89"/>
      <c r="E105" s="90">
        <v>258</v>
      </c>
      <c r="F105" s="303">
        <v>0</v>
      </c>
      <c r="G105" s="101">
        <f>E105*F105</f>
        <v>0</v>
      </c>
      <c r="H105" s="85"/>
      <c r="I105" s="86"/>
      <c r="J105" s="86"/>
    </row>
    <row r="106" spans="1:10" ht="19.149999999999999" customHeight="1" x14ac:dyDescent="0.25">
      <c r="A106" s="99" t="s">
        <v>445</v>
      </c>
      <c r="B106" s="100" t="s">
        <v>446</v>
      </c>
      <c r="C106" s="89"/>
      <c r="D106" s="89"/>
      <c r="E106" s="90">
        <v>120</v>
      </c>
      <c r="F106" s="303">
        <v>0</v>
      </c>
      <c r="G106" s="101">
        <f>E106*F106</f>
        <v>0</v>
      </c>
      <c r="H106" s="85"/>
      <c r="I106" s="86"/>
      <c r="J106" s="86"/>
    </row>
    <row r="107" spans="1:10" ht="19.5" customHeight="1" thickBot="1" x14ac:dyDescent="0.3">
      <c r="A107" s="99" t="s">
        <v>447</v>
      </c>
      <c r="B107" s="100" t="s">
        <v>448</v>
      </c>
      <c r="C107" s="89"/>
      <c r="D107" s="89"/>
      <c r="E107" s="90">
        <v>1</v>
      </c>
      <c r="F107" s="303">
        <v>0</v>
      </c>
      <c r="G107" s="101">
        <f>E107*F107</f>
        <v>0</v>
      </c>
      <c r="H107" s="85"/>
      <c r="I107" s="86"/>
      <c r="J107" s="86"/>
    </row>
    <row r="108" spans="1:10" ht="19.5" customHeight="1" thickBot="1" x14ac:dyDescent="0.3">
      <c r="A108" s="163"/>
      <c r="B108" s="144" t="s">
        <v>35</v>
      </c>
      <c r="C108" s="168"/>
      <c r="D108" s="168"/>
      <c r="E108" s="152"/>
      <c r="F108" s="169"/>
      <c r="G108" s="146">
        <f>SUM(G104:G107)</f>
        <v>0</v>
      </c>
      <c r="H108" s="85"/>
      <c r="I108" s="192">
        <f>G101+G108</f>
        <v>0</v>
      </c>
      <c r="J108" s="86"/>
    </row>
    <row r="109" spans="1:10" ht="37.15" customHeight="1" thickTop="1" x14ac:dyDescent="0.25">
      <c r="A109" s="142"/>
      <c r="B109" s="120"/>
      <c r="C109" s="120"/>
      <c r="D109" s="120"/>
      <c r="E109" s="120"/>
      <c r="F109" s="155"/>
      <c r="G109" s="155"/>
      <c r="H109" s="85"/>
      <c r="I109" s="86"/>
      <c r="J109" s="86"/>
    </row>
    <row r="110" spans="1:10" ht="19.5" customHeight="1" x14ac:dyDescent="0.25">
      <c r="A110" s="170"/>
      <c r="B110" s="171"/>
      <c r="C110" s="75"/>
      <c r="D110" s="75"/>
      <c r="E110" s="76"/>
      <c r="F110" s="77"/>
      <c r="G110" s="172"/>
    </row>
    <row r="111" spans="1:10" ht="19.5" customHeight="1" x14ac:dyDescent="0.25">
      <c r="A111" s="173"/>
      <c r="B111" s="75"/>
      <c r="C111" s="75"/>
      <c r="D111" s="75"/>
      <c r="E111" s="76"/>
      <c r="F111" s="77"/>
      <c r="G111" s="174"/>
    </row>
    <row r="112" spans="1:10" ht="28.5" customHeight="1" x14ac:dyDescent="0.25">
      <c r="A112" s="173"/>
      <c r="B112" s="75"/>
      <c r="C112" s="75"/>
      <c r="D112" s="75"/>
      <c r="E112" s="76"/>
      <c r="F112" s="77"/>
      <c r="G112" s="174"/>
    </row>
    <row r="113" spans="1:7" ht="30.75" customHeight="1" x14ac:dyDescent="0.25">
      <c r="A113" s="173"/>
      <c r="B113" s="75"/>
      <c r="C113" s="75"/>
      <c r="D113" s="75"/>
      <c r="E113" s="76"/>
      <c r="F113" s="77"/>
      <c r="G113" s="174"/>
    </row>
    <row r="114" spans="1:7" ht="19.5" customHeight="1" x14ac:dyDescent="0.25">
      <c r="A114" s="173"/>
      <c r="B114" s="75"/>
      <c r="C114" s="75"/>
      <c r="D114" s="75"/>
      <c r="E114" s="76"/>
      <c r="F114" s="77"/>
      <c r="G114" s="174"/>
    </row>
    <row r="115" spans="1:7" ht="19.5" customHeight="1" x14ac:dyDescent="0.25">
      <c r="A115" s="175"/>
      <c r="B115" s="176"/>
      <c r="C115" s="176"/>
      <c r="D115" s="176"/>
      <c r="E115" s="176"/>
      <c r="F115" s="177"/>
      <c r="G115" s="172"/>
    </row>
  </sheetData>
  <sheetProtection algorithmName="SHA-512" hashValue="2pcrAUH5HpPUlHkCkk1XDr/A9SLoD0WqCIOOHYjFHM5qbCAf0EW+nH7z6yBPN18KBBn06Hp6nPU6GJN5ZOVS0A==" saltValue="YTZAjUYJui3VujDvxTNMIQ==" spinCount="100000" sheet="1" objects="1" scenarios="1"/>
  <mergeCells count="7">
    <mergeCell ref="A6:G6"/>
    <mergeCell ref="A7:G7"/>
    <mergeCell ref="A8:G8"/>
    <mergeCell ref="A10:A11"/>
    <mergeCell ref="B10:B11"/>
    <mergeCell ref="C10:C11"/>
    <mergeCell ref="D10:D11"/>
  </mergeCells>
  <hyperlinks>
    <hyperlink ref="G5" r:id="rId1" xr:uid="{51072DC8-89BB-4738-9292-B55C19C5F452}"/>
  </hyperlinks>
  <printOptions horizontalCentered="1"/>
  <pageMargins left="0.70866141732283472" right="0.70866141732283472" top="0.78740157480314965" bottom="0.78740157480314965" header="0.31496062992125984" footer="0.31496062992125984"/>
  <pageSetup paperSize="9" scale="57" fitToHeight="4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5"/>
  <sheetViews>
    <sheetView workbookViewId="0">
      <selection activeCell="A45" sqref="A45:E45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234" t="s">
        <v>196</v>
      </c>
      <c r="B1" s="235"/>
      <c r="C1" s="235"/>
      <c r="D1" s="235"/>
      <c r="E1" s="235"/>
      <c r="F1" s="235"/>
      <c r="G1" s="235"/>
      <c r="H1" s="235"/>
      <c r="I1" s="235"/>
    </row>
    <row r="2" spans="1:9" x14ac:dyDescent="0.25">
      <c r="A2" s="236" t="s">
        <v>1</v>
      </c>
      <c r="B2" s="237"/>
      <c r="C2" s="242" t="str">
        <f>'Stavební rozpočet'!C2</f>
        <v>Využití obnovitelných zdrojů energie na ZŠ a Gymnáziu Konice</v>
      </c>
      <c r="D2" s="243"/>
      <c r="E2" s="233" t="s">
        <v>5</v>
      </c>
      <c r="F2" s="233" t="str">
        <f>'Stavební rozpočet'!I2</f>
        <v> </v>
      </c>
      <c r="G2" s="237"/>
      <c r="H2" s="233" t="s">
        <v>231</v>
      </c>
      <c r="I2" s="239" t="s">
        <v>49</v>
      </c>
    </row>
    <row r="3" spans="1:9" ht="25.5" customHeight="1" x14ac:dyDescent="0.25">
      <c r="A3" s="238"/>
      <c r="B3" s="194"/>
      <c r="C3" s="244"/>
      <c r="D3" s="244"/>
      <c r="E3" s="194"/>
      <c r="F3" s="194"/>
      <c r="G3" s="194"/>
      <c r="H3" s="194"/>
      <c r="I3" s="240"/>
    </row>
    <row r="4" spans="1:9" x14ac:dyDescent="0.25">
      <c r="A4" s="231" t="s">
        <v>7</v>
      </c>
      <c r="B4" s="194"/>
      <c r="C4" s="193" t="str">
        <f>'Stavební rozpočet'!C4</f>
        <v>D2 - Fotovoltaické systémy</v>
      </c>
      <c r="D4" s="194"/>
      <c r="E4" s="193" t="s">
        <v>9</v>
      </c>
      <c r="F4" s="193" t="str">
        <f>'Stavební rozpočet'!I4</f>
        <v>HEGAs, s.r.o., Kaštanová 182, 739 61 Třinec</v>
      </c>
      <c r="G4" s="194"/>
      <c r="H4" s="193" t="s">
        <v>231</v>
      </c>
      <c r="I4" s="240" t="s">
        <v>232</v>
      </c>
    </row>
    <row r="5" spans="1:9" ht="15" customHeight="1" x14ac:dyDescent="0.25">
      <c r="A5" s="238"/>
      <c r="B5" s="194"/>
      <c r="C5" s="194"/>
      <c r="D5" s="194"/>
      <c r="E5" s="194"/>
      <c r="F5" s="194"/>
      <c r="G5" s="194"/>
      <c r="H5" s="194"/>
      <c r="I5" s="240"/>
    </row>
    <row r="6" spans="1:9" x14ac:dyDescent="0.25">
      <c r="A6" s="231" t="s">
        <v>11</v>
      </c>
      <c r="B6" s="194"/>
      <c r="C6" s="193" t="str">
        <f>'Stavební rozpočet'!C6</f>
        <v>ZŠ a G města Konice</v>
      </c>
      <c r="D6" s="194"/>
      <c r="E6" s="193" t="s">
        <v>14</v>
      </c>
      <c r="F6" s="193" t="str">
        <f>'Stavební rozpočet'!I6</f>
        <v> </v>
      </c>
      <c r="G6" s="194"/>
      <c r="H6" s="193" t="s">
        <v>231</v>
      </c>
      <c r="I6" s="240" t="s">
        <v>49</v>
      </c>
    </row>
    <row r="7" spans="1:9" ht="15" customHeight="1" x14ac:dyDescent="0.25">
      <c r="A7" s="238"/>
      <c r="B7" s="194"/>
      <c r="C7" s="194"/>
      <c r="D7" s="194"/>
      <c r="E7" s="194"/>
      <c r="F7" s="194"/>
      <c r="G7" s="194"/>
      <c r="H7" s="194"/>
      <c r="I7" s="240"/>
    </row>
    <row r="8" spans="1:9" x14ac:dyDescent="0.25">
      <c r="A8" s="231" t="s">
        <v>8</v>
      </c>
      <c r="B8" s="194"/>
      <c r="C8" s="193" t="str">
        <f>'Stavební rozpočet'!G4</f>
        <v xml:space="preserve"> </v>
      </c>
      <c r="D8" s="194"/>
      <c r="E8" s="193" t="s">
        <v>13</v>
      </c>
      <c r="F8" s="193" t="str">
        <f>'Stavební rozpočet'!G6</f>
        <v xml:space="preserve"> </v>
      </c>
      <c r="G8" s="194"/>
      <c r="H8" s="194" t="s">
        <v>233</v>
      </c>
      <c r="I8" s="241">
        <v>41</v>
      </c>
    </row>
    <row r="9" spans="1:9" x14ac:dyDescent="0.25">
      <c r="A9" s="238"/>
      <c r="B9" s="194"/>
      <c r="C9" s="194"/>
      <c r="D9" s="194"/>
      <c r="E9" s="194"/>
      <c r="F9" s="194"/>
      <c r="G9" s="194"/>
      <c r="H9" s="194"/>
      <c r="I9" s="240"/>
    </row>
    <row r="10" spans="1:9" x14ac:dyDescent="0.25">
      <c r="A10" s="231" t="s">
        <v>15</v>
      </c>
      <c r="B10" s="194"/>
      <c r="C10" s="193" t="str">
        <f>'Stavební rozpočet'!C8</f>
        <v xml:space="preserve"> </v>
      </c>
      <c r="D10" s="194"/>
      <c r="E10" s="193" t="s">
        <v>18</v>
      </c>
      <c r="F10" s="193" t="str">
        <f>'Stavební rozpočet'!I8</f>
        <v>Ing. Wania</v>
      </c>
      <c r="G10" s="194"/>
      <c r="H10" s="194" t="s">
        <v>234</v>
      </c>
      <c r="I10" s="225" t="str">
        <f>'Stavební rozpočet'!G8</f>
        <v>28.04.2025</v>
      </c>
    </row>
    <row r="11" spans="1:9" x14ac:dyDescent="0.25">
      <c r="A11" s="232"/>
      <c r="B11" s="230"/>
      <c r="C11" s="230"/>
      <c r="D11" s="230"/>
      <c r="E11" s="230"/>
      <c r="F11" s="230"/>
      <c r="G11" s="230"/>
      <c r="H11" s="230"/>
      <c r="I11" s="226"/>
    </row>
    <row r="13" spans="1:9" ht="15.75" x14ac:dyDescent="0.25">
      <c r="A13" s="292" t="s">
        <v>274</v>
      </c>
      <c r="B13" s="292"/>
      <c r="C13" s="292"/>
      <c r="D13" s="292"/>
      <c r="E13" s="292"/>
    </row>
    <row r="14" spans="1:9" x14ac:dyDescent="0.25">
      <c r="A14" s="293" t="s">
        <v>275</v>
      </c>
      <c r="B14" s="294"/>
      <c r="C14" s="294"/>
      <c r="D14" s="294"/>
      <c r="E14" s="295"/>
      <c r="F14" s="51" t="s">
        <v>276</v>
      </c>
      <c r="G14" s="51" t="s">
        <v>277</v>
      </c>
      <c r="H14" s="51" t="s">
        <v>278</v>
      </c>
      <c r="I14" s="51" t="s">
        <v>276</v>
      </c>
    </row>
    <row r="15" spans="1:9" x14ac:dyDescent="0.25">
      <c r="A15" s="280" t="s">
        <v>244</v>
      </c>
      <c r="B15" s="262"/>
      <c r="C15" s="262"/>
      <c r="D15" s="262"/>
      <c r="E15" s="281"/>
      <c r="F15" s="54">
        <v>0</v>
      </c>
      <c r="G15" s="55" t="s">
        <v>49</v>
      </c>
      <c r="H15" s="55" t="s">
        <v>49</v>
      </c>
      <c r="I15" s="54">
        <f>F15</f>
        <v>0</v>
      </c>
    </row>
    <row r="16" spans="1:9" x14ac:dyDescent="0.25">
      <c r="A16" s="280" t="s">
        <v>245</v>
      </c>
      <c r="B16" s="262"/>
      <c r="C16" s="262"/>
      <c r="D16" s="262"/>
      <c r="E16" s="281"/>
      <c r="F16" s="54">
        <v>0</v>
      </c>
      <c r="G16" s="55" t="s">
        <v>49</v>
      </c>
      <c r="H16" s="55" t="s">
        <v>49</v>
      </c>
      <c r="I16" s="54">
        <f>F16</f>
        <v>0</v>
      </c>
    </row>
    <row r="17" spans="1:9" x14ac:dyDescent="0.25">
      <c r="A17" s="274" t="s">
        <v>248</v>
      </c>
      <c r="B17" s="272"/>
      <c r="C17" s="272"/>
      <c r="D17" s="272"/>
      <c r="E17" s="282"/>
      <c r="F17" s="57">
        <v>0</v>
      </c>
      <c r="G17" s="58" t="s">
        <v>49</v>
      </c>
      <c r="H17" s="58" t="s">
        <v>49</v>
      </c>
      <c r="I17" s="57">
        <f>F17</f>
        <v>0</v>
      </c>
    </row>
    <row r="18" spans="1:9" x14ac:dyDescent="0.25">
      <c r="A18" s="283" t="s">
        <v>279</v>
      </c>
      <c r="B18" s="284"/>
      <c r="C18" s="284"/>
      <c r="D18" s="284"/>
      <c r="E18" s="285"/>
      <c r="F18" s="59" t="s">
        <v>49</v>
      </c>
      <c r="G18" s="60" t="s">
        <v>49</v>
      </c>
      <c r="H18" s="60" t="s">
        <v>49</v>
      </c>
      <c r="I18" s="61">
        <f>SUM(I15:I17)</f>
        <v>0</v>
      </c>
    </row>
    <row r="20" spans="1:9" x14ac:dyDescent="0.25">
      <c r="A20" s="293" t="s">
        <v>241</v>
      </c>
      <c r="B20" s="294"/>
      <c r="C20" s="294"/>
      <c r="D20" s="294"/>
      <c r="E20" s="295"/>
      <c r="F20" s="51" t="s">
        <v>276</v>
      </c>
      <c r="G20" s="51" t="s">
        <v>277</v>
      </c>
      <c r="H20" s="51" t="s">
        <v>278</v>
      </c>
      <c r="I20" s="51" t="s">
        <v>276</v>
      </c>
    </row>
    <row r="21" spans="1:9" x14ac:dyDescent="0.25">
      <c r="A21" s="280" t="s">
        <v>198</v>
      </c>
      <c r="B21" s="262"/>
      <c r="C21" s="262"/>
      <c r="D21" s="262"/>
      <c r="E21" s="281"/>
      <c r="F21" s="54">
        <v>0</v>
      </c>
      <c r="G21" s="55" t="s">
        <v>49</v>
      </c>
      <c r="H21" s="55" t="s">
        <v>49</v>
      </c>
      <c r="I21" s="54">
        <f t="shared" ref="I21:I26" si="0">F21</f>
        <v>0</v>
      </c>
    </row>
    <row r="22" spans="1:9" x14ac:dyDescent="0.25">
      <c r="A22" s="280" t="s">
        <v>246</v>
      </c>
      <c r="B22" s="262"/>
      <c r="C22" s="262"/>
      <c r="D22" s="262"/>
      <c r="E22" s="281"/>
      <c r="F22" s="54">
        <v>0</v>
      </c>
      <c r="G22" s="55" t="s">
        <v>49</v>
      </c>
      <c r="H22" s="55" t="s">
        <v>49</v>
      </c>
      <c r="I22" s="54">
        <f t="shared" si="0"/>
        <v>0</v>
      </c>
    </row>
    <row r="23" spans="1:9" x14ac:dyDescent="0.25">
      <c r="A23" s="280" t="s">
        <v>249</v>
      </c>
      <c r="B23" s="262"/>
      <c r="C23" s="262"/>
      <c r="D23" s="262"/>
      <c r="E23" s="281"/>
      <c r="F23" s="54">
        <v>0</v>
      </c>
      <c r="G23" s="55" t="s">
        <v>49</v>
      </c>
      <c r="H23" s="55" t="s">
        <v>49</v>
      </c>
      <c r="I23" s="54">
        <f t="shared" si="0"/>
        <v>0</v>
      </c>
    </row>
    <row r="24" spans="1:9" x14ac:dyDescent="0.25">
      <c r="A24" s="280" t="s">
        <v>250</v>
      </c>
      <c r="B24" s="262"/>
      <c r="C24" s="262"/>
      <c r="D24" s="262"/>
      <c r="E24" s="281"/>
      <c r="F24" s="54">
        <v>0</v>
      </c>
      <c r="G24" s="55" t="s">
        <v>49</v>
      </c>
      <c r="H24" s="55" t="s">
        <v>49</v>
      </c>
      <c r="I24" s="54">
        <f t="shared" si="0"/>
        <v>0</v>
      </c>
    </row>
    <row r="25" spans="1:9" x14ac:dyDescent="0.25">
      <c r="A25" s="280" t="s">
        <v>252</v>
      </c>
      <c r="B25" s="262"/>
      <c r="C25" s="262"/>
      <c r="D25" s="262"/>
      <c r="E25" s="281"/>
      <c r="F25" s="54">
        <v>0</v>
      </c>
      <c r="G25" s="55" t="s">
        <v>49</v>
      </c>
      <c r="H25" s="55" t="s">
        <v>49</v>
      </c>
      <c r="I25" s="54">
        <f t="shared" si="0"/>
        <v>0</v>
      </c>
    </row>
    <row r="26" spans="1:9" x14ac:dyDescent="0.25">
      <c r="A26" s="274" t="s">
        <v>253</v>
      </c>
      <c r="B26" s="272"/>
      <c r="C26" s="272"/>
      <c r="D26" s="272"/>
      <c r="E26" s="282"/>
      <c r="F26" s="57">
        <v>0</v>
      </c>
      <c r="G26" s="58" t="s">
        <v>49</v>
      </c>
      <c r="H26" s="58" t="s">
        <v>49</v>
      </c>
      <c r="I26" s="57">
        <f t="shared" si="0"/>
        <v>0</v>
      </c>
    </row>
    <row r="27" spans="1:9" x14ac:dyDescent="0.25">
      <c r="A27" s="283" t="s">
        <v>280</v>
      </c>
      <c r="B27" s="284"/>
      <c r="C27" s="284"/>
      <c r="D27" s="284"/>
      <c r="E27" s="285"/>
      <c r="F27" s="59" t="s">
        <v>49</v>
      </c>
      <c r="G27" s="60" t="s">
        <v>49</v>
      </c>
      <c r="H27" s="60" t="s">
        <v>49</v>
      </c>
      <c r="I27" s="61">
        <f>SUM(I21:I26)</f>
        <v>0</v>
      </c>
    </row>
    <row r="29" spans="1:9" ht="15.75" x14ac:dyDescent="0.25">
      <c r="A29" s="286" t="s">
        <v>281</v>
      </c>
      <c r="B29" s="287"/>
      <c r="C29" s="287"/>
      <c r="D29" s="287"/>
      <c r="E29" s="288"/>
      <c r="F29" s="289">
        <f>I18+I27</f>
        <v>0</v>
      </c>
      <c r="G29" s="290"/>
      <c r="H29" s="290"/>
      <c r="I29" s="291"/>
    </row>
    <row r="33" spans="1:9" ht="15.75" x14ac:dyDescent="0.25">
      <c r="A33" s="292" t="s">
        <v>282</v>
      </c>
      <c r="B33" s="292"/>
      <c r="C33" s="292"/>
      <c r="D33" s="292"/>
      <c r="E33" s="292"/>
    </row>
    <row r="34" spans="1:9" x14ac:dyDescent="0.25">
      <c r="A34" s="293" t="s">
        <v>283</v>
      </c>
      <c r="B34" s="294"/>
      <c r="C34" s="294"/>
      <c r="D34" s="294"/>
      <c r="E34" s="295"/>
      <c r="F34" s="51" t="s">
        <v>276</v>
      </c>
      <c r="G34" s="51" t="s">
        <v>277</v>
      </c>
      <c r="H34" s="51" t="s">
        <v>278</v>
      </c>
      <c r="I34" s="51" t="s">
        <v>276</v>
      </c>
    </row>
    <row r="35" spans="1:9" x14ac:dyDescent="0.25">
      <c r="A35" s="280" t="s">
        <v>284</v>
      </c>
      <c r="B35" s="262"/>
      <c r="C35" s="262"/>
      <c r="D35" s="262"/>
      <c r="E35" s="281"/>
      <c r="F35" s="54">
        <f>SUM('Stavební rozpočet'!BM12:BM128)</f>
        <v>0</v>
      </c>
      <c r="G35" s="55" t="s">
        <v>49</v>
      </c>
      <c r="H35" s="55" t="s">
        <v>49</v>
      </c>
      <c r="I35" s="54">
        <f t="shared" ref="I35:I44" si="1">F35</f>
        <v>0</v>
      </c>
    </row>
    <row r="36" spans="1:9" x14ac:dyDescent="0.25">
      <c r="A36" s="280" t="s">
        <v>285</v>
      </c>
      <c r="B36" s="262"/>
      <c r="C36" s="262"/>
      <c r="D36" s="262"/>
      <c r="E36" s="281"/>
      <c r="F36" s="54">
        <f>SUM('Stavební rozpočet'!BN12:BN128)</f>
        <v>0</v>
      </c>
      <c r="G36" s="55" t="s">
        <v>49</v>
      </c>
      <c r="H36" s="55" t="s">
        <v>49</v>
      </c>
      <c r="I36" s="54">
        <f t="shared" si="1"/>
        <v>0</v>
      </c>
    </row>
    <row r="37" spans="1:9" x14ac:dyDescent="0.25">
      <c r="A37" s="280" t="s">
        <v>198</v>
      </c>
      <c r="B37" s="262"/>
      <c r="C37" s="262"/>
      <c r="D37" s="262"/>
      <c r="E37" s="281"/>
      <c r="F37" s="54">
        <f>SUM('Stavební rozpočet'!BO12:BO128)</f>
        <v>0</v>
      </c>
      <c r="G37" s="55" t="s">
        <v>49</v>
      </c>
      <c r="H37" s="55" t="s">
        <v>49</v>
      </c>
      <c r="I37" s="54">
        <f t="shared" si="1"/>
        <v>0</v>
      </c>
    </row>
    <row r="38" spans="1:9" x14ac:dyDescent="0.25">
      <c r="A38" s="280" t="s">
        <v>286</v>
      </c>
      <c r="B38" s="262"/>
      <c r="C38" s="262"/>
      <c r="D38" s="262"/>
      <c r="E38" s="281"/>
      <c r="F38" s="54">
        <f>SUM('Stavební rozpočet'!BP12:BP128)</f>
        <v>0</v>
      </c>
      <c r="G38" s="55" t="s">
        <v>49</v>
      </c>
      <c r="H38" s="55" t="s">
        <v>49</v>
      </c>
      <c r="I38" s="54">
        <f t="shared" si="1"/>
        <v>0</v>
      </c>
    </row>
    <row r="39" spans="1:9" x14ac:dyDescent="0.25">
      <c r="A39" s="280" t="s">
        <v>287</v>
      </c>
      <c r="B39" s="262"/>
      <c r="C39" s="262"/>
      <c r="D39" s="262"/>
      <c r="E39" s="281"/>
      <c r="F39" s="54">
        <f>SUM('Stavební rozpočet'!BQ12:BQ128)</f>
        <v>0</v>
      </c>
      <c r="G39" s="55" t="s">
        <v>49</v>
      </c>
      <c r="H39" s="55" t="s">
        <v>49</v>
      </c>
      <c r="I39" s="54">
        <f t="shared" si="1"/>
        <v>0</v>
      </c>
    </row>
    <row r="40" spans="1:9" x14ac:dyDescent="0.25">
      <c r="A40" s="280" t="s">
        <v>249</v>
      </c>
      <c r="B40" s="262"/>
      <c r="C40" s="262"/>
      <c r="D40" s="262"/>
      <c r="E40" s="281"/>
      <c r="F40" s="54">
        <f>SUM('Stavební rozpočet'!BR12:BR128)</f>
        <v>0</v>
      </c>
      <c r="G40" s="55" t="s">
        <v>49</v>
      </c>
      <c r="H40" s="55" t="s">
        <v>49</v>
      </c>
      <c r="I40" s="54">
        <f t="shared" si="1"/>
        <v>0</v>
      </c>
    </row>
    <row r="41" spans="1:9" x14ac:dyDescent="0.25">
      <c r="A41" s="280" t="s">
        <v>250</v>
      </c>
      <c r="B41" s="262"/>
      <c r="C41" s="262"/>
      <c r="D41" s="262"/>
      <c r="E41" s="281"/>
      <c r="F41" s="54">
        <f>SUM('Stavební rozpočet'!BS12:BS128)</f>
        <v>0</v>
      </c>
      <c r="G41" s="55" t="s">
        <v>49</v>
      </c>
      <c r="H41" s="55" t="s">
        <v>49</v>
      </c>
      <c r="I41" s="54">
        <f t="shared" si="1"/>
        <v>0</v>
      </c>
    </row>
    <row r="42" spans="1:9" x14ac:dyDescent="0.25">
      <c r="A42" s="280" t="s">
        <v>288</v>
      </c>
      <c r="B42" s="262"/>
      <c r="C42" s="262"/>
      <c r="D42" s="262"/>
      <c r="E42" s="281"/>
      <c r="F42" s="54">
        <f>SUM('Stavební rozpočet'!BT12:BT128)</f>
        <v>0</v>
      </c>
      <c r="G42" s="55" t="s">
        <v>49</v>
      </c>
      <c r="H42" s="55" t="s">
        <v>49</v>
      </c>
      <c r="I42" s="54">
        <f t="shared" si="1"/>
        <v>0</v>
      </c>
    </row>
    <row r="43" spans="1:9" x14ac:dyDescent="0.25">
      <c r="A43" s="280" t="s">
        <v>289</v>
      </c>
      <c r="B43" s="262"/>
      <c r="C43" s="262"/>
      <c r="D43" s="262"/>
      <c r="E43" s="281"/>
      <c r="F43" s="54">
        <f>SUM('Stavební rozpočet'!BU12:BU128)</f>
        <v>0</v>
      </c>
      <c r="G43" s="55" t="s">
        <v>49</v>
      </c>
      <c r="H43" s="55" t="s">
        <v>49</v>
      </c>
      <c r="I43" s="54">
        <f t="shared" si="1"/>
        <v>0</v>
      </c>
    </row>
    <row r="44" spans="1:9" x14ac:dyDescent="0.25">
      <c r="A44" s="274" t="s">
        <v>290</v>
      </c>
      <c r="B44" s="272"/>
      <c r="C44" s="272"/>
      <c r="D44" s="272"/>
      <c r="E44" s="282"/>
      <c r="F44" s="57">
        <f>SUM('Stavební rozpočet'!BV12:BV128)</f>
        <v>0</v>
      </c>
      <c r="G44" s="58" t="s">
        <v>49</v>
      </c>
      <c r="H44" s="58" t="s">
        <v>49</v>
      </c>
      <c r="I44" s="57">
        <f t="shared" si="1"/>
        <v>0</v>
      </c>
    </row>
    <row r="45" spans="1:9" x14ac:dyDescent="0.25">
      <c r="A45" s="283" t="s">
        <v>291</v>
      </c>
      <c r="B45" s="284"/>
      <c r="C45" s="284"/>
      <c r="D45" s="284"/>
      <c r="E45" s="285"/>
      <c r="F45" s="59" t="s">
        <v>49</v>
      </c>
      <c r="G45" s="60" t="s">
        <v>49</v>
      </c>
      <c r="H45" s="60" t="s">
        <v>49</v>
      </c>
      <c r="I45" s="61">
        <f>SUM(I35:I44)</f>
        <v>0</v>
      </c>
    </row>
  </sheetData>
  <mergeCells count="60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Krycí list rozpočtu</vt:lpstr>
      <vt:lpstr>Stavební rozpočet</vt:lpstr>
      <vt:lpstr>stavební práce pol 16</vt:lpstr>
      <vt:lpstr>příloha rozpočtu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Ženožička Martin</cp:lastModifiedBy>
  <cp:lastPrinted>2025-05-12T08:53:14Z</cp:lastPrinted>
  <dcterms:created xsi:type="dcterms:W3CDTF">2021-06-10T20:06:38Z</dcterms:created>
  <dcterms:modified xsi:type="dcterms:W3CDTF">2025-05-14T14:20:23Z</dcterms:modified>
</cp:coreProperties>
</file>