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nderacz-my.sharepoint.com/personal/pestalova_tendera_cz/Documents/IPE/IPE ZAKÁZKY 2025/25056_Město Konice_ ZŠ a G Konice/Elektronický spis/01_Zadávací dokumentace/ZD-final/"/>
    </mc:Choice>
  </mc:AlternateContent>
  <xr:revisionPtr revIDLastSave="0" documentId="13_ncr:1_{3C5776B4-7839-4425-9D58-1459BDB62CA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Krycí list rozpočtu" sheetId="2" r:id="rId1"/>
    <sheet name="Stavební rozpočet" sheetId="1" r:id="rId2"/>
    <sheet name="VORN" sheetId="3" state="hidden" r:id="rId3"/>
  </sheets>
  <definedNames>
    <definedName name="vorn_sum">VORN!$I$36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3" l="1"/>
  <c r="I36" i="3" s="1"/>
  <c r="I24" i="2" s="1"/>
  <c r="I26" i="3"/>
  <c r="I25" i="3"/>
  <c r="I18" i="2" s="1"/>
  <c r="I24" i="3"/>
  <c r="I23" i="3"/>
  <c r="I16" i="2" s="1"/>
  <c r="I22" i="3"/>
  <c r="I17" i="3"/>
  <c r="I16" i="3"/>
  <c r="F15" i="2" s="1"/>
  <c r="I15" i="3"/>
  <c r="I10" i="3"/>
  <c r="F10" i="3"/>
  <c r="C10" i="3"/>
  <c r="F8" i="3"/>
  <c r="C8" i="3"/>
  <c r="F6" i="3"/>
  <c r="C6" i="3"/>
  <c r="F4" i="3"/>
  <c r="C4" i="3"/>
  <c r="F2" i="3"/>
  <c r="C2" i="3"/>
  <c r="I19" i="2"/>
  <c r="I17" i="2"/>
  <c r="F16" i="2"/>
  <c r="I15" i="2"/>
  <c r="F14" i="2"/>
  <c r="I10" i="2"/>
  <c r="F10" i="2"/>
  <c r="C10" i="2"/>
  <c r="F8" i="2"/>
  <c r="C8" i="2"/>
  <c r="F6" i="2"/>
  <c r="C6" i="2"/>
  <c r="F4" i="2"/>
  <c r="C4" i="2"/>
  <c r="F2" i="2"/>
  <c r="C2" i="2"/>
  <c r="BW414" i="1"/>
  <c r="BJ414" i="1"/>
  <c r="BD414" i="1"/>
  <c r="AP414" i="1"/>
  <c r="AO414" i="1"/>
  <c r="AK414" i="1"/>
  <c r="AJ414" i="1"/>
  <c r="AH414" i="1"/>
  <c r="AG414" i="1"/>
  <c r="AF414" i="1"/>
  <c r="AE414" i="1"/>
  <c r="AD414" i="1"/>
  <c r="Z414" i="1"/>
  <c r="O414" i="1"/>
  <c r="BF414" i="1" s="1"/>
  <c r="L414" i="1"/>
  <c r="M414" i="1" s="1"/>
  <c r="BW413" i="1"/>
  <c r="BJ413" i="1"/>
  <c r="BD413" i="1"/>
  <c r="AX413" i="1"/>
  <c r="AP413" i="1"/>
  <c r="BI413" i="1" s="1"/>
  <c r="AC413" i="1" s="1"/>
  <c r="AO413" i="1"/>
  <c r="J413" i="1" s="1"/>
  <c r="AK413" i="1"/>
  <c r="AJ413" i="1"/>
  <c r="AH413" i="1"/>
  <c r="AG413" i="1"/>
  <c r="AF413" i="1"/>
  <c r="AE413" i="1"/>
  <c r="AD413" i="1"/>
  <c r="Z413" i="1"/>
  <c r="O413" i="1"/>
  <c r="BF413" i="1" s="1"/>
  <c r="L413" i="1"/>
  <c r="M413" i="1" s="1"/>
  <c r="K413" i="1"/>
  <c r="BW412" i="1"/>
  <c r="BJ412" i="1"/>
  <c r="BI412" i="1"/>
  <c r="AC412" i="1" s="1"/>
  <c r="BD412" i="1"/>
  <c r="AW412" i="1"/>
  <c r="AP412" i="1"/>
  <c r="AO412" i="1"/>
  <c r="J412" i="1" s="1"/>
  <c r="AK412" i="1"/>
  <c r="AJ412" i="1"/>
  <c r="AH412" i="1"/>
  <c r="AG412" i="1"/>
  <c r="AF412" i="1"/>
  <c r="AE412" i="1"/>
  <c r="AD412" i="1"/>
  <c r="Z412" i="1"/>
  <c r="O412" i="1"/>
  <c r="L412" i="1"/>
  <c r="BW411" i="1"/>
  <c r="BJ411" i="1"/>
  <c r="BD411" i="1"/>
  <c r="AP411" i="1"/>
  <c r="AX411" i="1" s="1"/>
  <c r="AO411" i="1"/>
  <c r="AL411" i="1"/>
  <c r="AK411" i="1"/>
  <c r="AJ411" i="1"/>
  <c r="AH411" i="1"/>
  <c r="AG411" i="1"/>
  <c r="AF411" i="1"/>
  <c r="AE411" i="1"/>
  <c r="AD411" i="1"/>
  <c r="Z411" i="1"/>
  <c r="O411" i="1"/>
  <c r="BF411" i="1" s="1"/>
  <c r="L411" i="1"/>
  <c r="M411" i="1" s="1"/>
  <c r="BW410" i="1"/>
  <c r="BJ410" i="1"/>
  <c r="BD410" i="1"/>
  <c r="AP410" i="1"/>
  <c r="K410" i="1" s="1"/>
  <c r="AO410" i="1"/>
  <c r="J410" i="1" s="1"/>
  <c r="AK410" i="1"/>
  <c r="AJ410" i="1"/>
  <c r="AH410" i="1"/>
  <c r="AG410" i="1"/>
  <c r="AF410" i="1"/>
  <c r="AE410" i="1"/>
  <c r="AD410" i="1"/>
  <c r="Z410" i="1"/>
  <c r="O410" i="1"/>
  <c r="BF410" i="1" s="1"/>
  <c r="L410" i="1"/>
  <c r="AL410" i="1" s="1"/>
  <c r="BW407" i="1"/>
  <c r="BJ407" i="1"/>
  <c r="AH407" i="1" s="1"/>
  <c r="BF407" i="1"/>
  <c r="BD407" i="1"/>
  <c r="AP407" i="1"/>
  <c r="K407" i="1" s="1"/>
  <c r="AO407" i="1"/>
  <c r="AW407" i="1" s="1"/>
  <c r="AK407" i="1"/>
  <c r="AJ407" i="1"/>
  <c r="AG407" i="1"/>
  <c r="AF407" i="1"/>
  <c r="AE407" i="1"/>
  <c r="AD407" i="1"/>
  <c r="AC407" i="1"/>
  <c r="AB407" i="1"/>
  <c r="Z407" i="1"/>
  <c r="O407" i="1"/>
  <c r="L407" i="1"/>
  <c r="AL407" i="1" s="1"/>
  <c r="J407" i="1"/>
  <c r="BW406" i="1"/>
  <c r="BJ406" i="1"/>
  <c r="BD406" i="1"/>
  <c r="AP406" i="1"/>
  <c r="AO406" i="1"/>
  <c r="BH406" i="1" s="1"/>
  <c r="AK406" i="1"/>
  <c r="AJ406" i="1"/>
  <c r="AH406" i="1"/>
  <c r="AG406" i="1"/>
  <c r="AF406" i="1"/>
  <c r="AE406" i="1"/>
  <c r="AD406" i="1"/>
  <c r="AC406" i="1"/>
  <c r="AB406" i="1"/>
  <c r="Z406" i="1"/>
  <c r="O406" i="1"/>
  <c r="L406" i="1"/>
  <c r="AL406" i="1" s="1"/>
  <c r="BW404" i="1"/>
  <c r="BJ404" i="1"/>
  <c r="Z404" i="1" s="1"/>
  <c r="BD404" i="1"/>
  <c r="AP404" i="1"/>
  <c r="AO404" i="1"/>
  <c r="BH404" i="1" s="1"/>
  <c r="AK404" i="1"/>
  <c r="AJ404" i="1"/>
  <c r="AS399" i="1" s="1"/>
  <c r="AH404" i="1"/>
  <c r="AG404" i="1"/>
  <c r="AF404" i="1"/>
  <c r="AE404" i="1"/>
  <c r="AD404" i="1"/>
  <c r="AC404" i="1"/>
  <c r="AB404" i="1"/>
  <c r="O404" i="1"/>
  <c r="BF404" i="1" s="1"/>
  <c r="L404" i="1"/>
  <c r="AL404" i="1" s="1"/>
  <c r="BW403" i="1"/>
  <c r="BJ403" i="1"/>
  <c r="Z403" i="1" s="1"/>
  <c r="BD403" i="1"/>
  <c r="AP403" i="1"/>
  <c r="BI403" i="1" s="1"/>
  <c r="AO403" i="1"/>
  <c r="AK403" i="1"/>
  <c r="AJ403" i="1"/>
  <c r="AH403" i="1"/>
  <c r="AG403" i="1"/>
  <c r="AF403" i="1"/>
  <c r="AE403" i="1"/>
  <c r="AD403" i="1"/>
  <c r="AC403" i="1"/>
  <c r="AB403" i="1"/>
  <c r="O403" i="1"/>
  <c r="BF403" i="1" s="1"/>
  <c r="L403" i="1"/>
  <c r="BW402" i="1"/>
  <c r="BJ402" i="1"/>
  <c r="Z402" i="1" s="1"/>
  <c r="BD402" i="1"/>
  <c r="AW402" i="1"/>
  <c r="AP402" i="1"/>
  <c r="AX402" i="1" s="1"/>
  <c r="AV402" i="1" s="1"/>
  <c r="AO402" i="1"/>
  <c r="J402" i="1" s="1"/>
  <c r="AK402" i="1"/>
  <c r="AJ402" i="1"/>
  <c r="AH402" i="1"/>
  <c r="AG402" i="1"/>
  <c r="AF402" i="1"/>
  <c r="AE402" i="1"/>
  <c r="AD402" i="1"/>
  <c r="AC402" i="1"/>
  <c r="AB402" i="1"/>
  <c r="O402" i="1"/>
  <c r="BF402" i="1" s="1"/>
  <c r="L402" i="1"/>
  <c r="BW401" i="1"/>
  <c r="BJ401" i="1"/>
  <c r="Z401" i="1" s="1"/>
  <c r="BD401" i="1"/>
  <c r="AP401" i="1"/>
  <c r="AO401" i="1"/>
  <c r="AW401" i="1" s="1"/>
  <c r="AK401" i="1"/>
  <c r="AJ401" i="1"/>
  <c r="AH401" i="1"/>
  <c r="AG401" i="1"/>
  <c r="AF401" i="1"/>
  <c r="AE401" i="1"/>
  <c r="AD401" i="1"/>
  <c r="AC401" i="1"/>
  <c r="AB401" i="1"/>
  <c r="O401" i="1"/>
  <c r="BF401" i="1" s="1"/>
  <c r="L401" i="1"/>
  <c r="AL401" i="1" s="1"/>
  <c r="BW400" i="1"/>
  <c r="BJ400" i="1"/>
  <c r="Z400" i="1" s="1"/>
  <c r="BD400" i="1"/>
  <c r="AW400" i="1"/>
  <c r="AP400" i="1"/>
  <c r="BI400" i="1" s="1"/>
  <c r="AO400" i="1"/>
  <c r="AK400" i="1"/>
  <c r="AJ400" i="1"/>
  <c r="AH400" i="1"/>
  <c r="AG400" i="1"/>
  <c r="AF400" i="1"/>
  <c r="AE400" i="1"/>
  <c r="AD400" i="1"/>
  <c r="AC400" i="1"/>
  <c r="AB400" i="1"/>
  <c r="O400" i="1"/>
  <c r="BF400" i="1" s="1"/>
  <c r="L400" i="1"/>
  <c r="BW398" i="1"/>
  <c r="BJ398" i="1"/>
  <c r="BD398" i="1"/>
  <c r="AP398" i="1"/>
  <c r="BI398" i="1" s="1"/>
  <c r="AC398" i="1" s="1"/>
  <c r="AO398" i="1"/>
  <c r="AK398" i="1"/>
  <c r="AJ398" i="1"/>
  <c r="AH398" i="1"/>
  <c r="AG398" i="1"/>
  <c r="AF398" i="1"/>
  <c r="AE398" i="1"/>
  <c r="AD398" i="1"/>
  <c r="Z398" i="1"/>
  <c r="O398" i="1"/>
  <c r="BF398" i="1" s="1"/>
  <c r="L398" i="1"/>
  <c r="K398" i="1"/>
  <c r="BW397" i="1"/>
  <c r="BJ397" i="1"/>
  <c r="BD397" i="1"/>
  <c r="AP397" i="1"/>
  <c r="K397" i="1" s="1"/>
  <c r="AO397" i="1"/>
  <c r="BH397" i="1" s="1"/>
  <c r="AB397" i="1" s="1"/>
  <c r="AK397" i="1"/>
  <c r="AT396" i="1" s="1"/>
  <c r="AJ397" i="1"/>
  <c r="AH397" i="1"/>
  <c r="AG397" i="1"/>
  <c r="AF397" i="1"/>
  <c r="AE397" i="1"/>
  <c r="AD397" i="1"/>
  <c r="Z397" i="1"/>
  <c r="O397" i="1"/>
  <c r="O396" i="1" s="1"/>
  <c r="L397" i="1"/>
  <c r="M397" i="1" s="1"/>
  <c r="J397" i="1"/>
  <c r="BW395" i="1"/>
  <c r="BJ395" i="1"/>
  <c r="BH395" i="1"/>
  <c r="AB395" i="1" s="1"/>
  <c r="BD395" i="1"/>
  <c r="AP395" i="1"/>
  <c r="AO395" i="1"/>
  <c r="AW395" i="1" s="1"/>
  <c r="AK395" i="1"/>
  <c r="AJ395" i="1"/>
  <c r="AH395" i="1"/>
  <c r="AG395" i="1"/>
  <c r="AF395" i="1"/>
  <c r="AE395" i="1"/>
  <c r="AD395" i="1"/>
  <c r="Z395" i="1"/>
  <c r="O395" i="1"/>
  <c r="BF395" i="1" s="1"/>
  <c r="L395" i="1"/>
  <c r="K395" i="1"/>
  <c r="J395" i="1"/>
  <c r="BW394" i="1"/>
  <c r="BJ394" i="1"/>
  <c r="BD394" i="1"/>
  <c r="AP394" i="1"/>
  <c r="AO394" i="1"/>
  <c r="AW394" i="1" s="1"/>
  <c r="AK394" i="1"/>
  <c r="AJ394" i="1"/>
  <c r="AH394" i="1"/>
  <c r="AG394" i="1"/>
  <c r="AF394" i="1"/>
  <c r="AE394" i="1"/>
  <c r="AD394" i="1"/>
  <c r="Z394" i="1"/>
  <c r="O394" i="1"/>
  <c r="BF394" i="1" s="1"/>
  <c r="L394" i="1"/>
  <c r="M394" i="1" s="1"/>
  <c r="J394" i="1"/>
  <c r="BW393" i="1"/>
  <c r="BJ393" i="1"/>
  <c r="BD393" i="1"/>
  <c r="AP393" i="1"/>
  <c r="BI393" i="1" s="1"/>
  <c r="AC393" i="1" s="1"/>
  <c r="AO393" i="1"/>
  <c r="AK393" i="1"/>
  <c r="AJ393" i="1"/>
  <c r="AH393" i="1"/>
  <c r="AG393" i="1"/>
  <c r="AF393" i="1"/>
  <c r="AE393" i="1"/>
  <c r="AD393" i="1"/>
  <c r="Z393" i="1"/>
  <c r="O393" i="1"/>
  <c r="BF393" i="1" s="1"/>
  <c r="L393" i="1"/>
  <c r="K393" i="1"/>
  <c r="BW392" i="1"/>
  <c r="BJ392" i="1"/>
  <c r="BD392" i="1"/>
  <c r="AW392" i="1"/>
  <c r="AP392" i="1"/>
  <c r="AO392" i="1"/>
  <c r="BH392" i="1" s="1"/>
  <c r="AB392" i="1" s="1"/>
  <c r="AK392" i="1"/>
  <c r="AJ392" i="1"/>
  <c r="AH392" i="1"/>
  <c r="AG392" i="1"/>
  <c r="AF392" i="1"/>
  <c r="AE392" i="1"/>
  <c r="AD392" i="1"/>
  <c r="Z392" i="1"/>
  <c r="O392" i="1"/>
  <c r="BF392" i="1" s="1"/>
  <c r="L392" i="1"/>
  <c r="K392" i="1"/>
  <c r="J392" i="1"/>
  <c r="BW391" i="1"/>
  <c r="BJ391" i="1"/>
  <c r="BD391" i="1"/>
  <c r="AP391" i="1"/>
  <c r="AO391" i="1"/>
  <c r="AW391" i="1" s="1"/>
  <c r="AK391" i="1"/>
  <c r="AJ391" i="1"/>
  <c r="AH391" i="1"/>
  <c r="AG391" i="1"/>
  <c r="AF391" i="1"/>
  <c r="AE391" i="1"/>
  <c r="AD391" i="1"/>
  <c r="Z391" i="1"/>
  <c r="O391" i="1"/>
  <c r="BF391" i="1" s="1"/>
  <c r="L391" i="1"/>
  <c r="M391" i="1" s="1"/>
  <c r="J391" i="1"/>
  <c r="BW390" i="1"/>
  <c r="BJ390" i="1"/>
  <c r="BD390" i="1"/>
  <c r="AP390" i="1"/>
  <c r="AX390" i="1" s="1"/>
  <c r="AO390" i="1"/>
  <c r="AK390" i="1"/>
  <c r="AJ390" i="1"/>
  <c r="AH390" i="1"/>
  <c r="AG390" i="1"/>
  <c r="AF390" i="1"/>
  <c r="AE390" i="1"/>
  <c r="AD390" i="1"/>
  <c r="Z390" i="1"/>
  <c r="O390" i="1"/>
  <c r="L390" i="1"/>
  <c r="K390" i="1"/>
  <c r="BW388" i="1"/>
  <c r="BJ388" i="1"/>
  <c r="BD388" i="1"/>
  <c r="AP388" i="1"/>
  <c r="K388" i="1" s="1"/>
  <c r="K386" i="1" s="1"/>
  <c r="AO388" i="1"/>
  <c r="AW388" i="1" s="1"/>
  <c r="AK388" i="1"/>
  <c r="AJ388" i="1"/>
  <c r="AH388" i="1"/>
  <c r="AG388" i="1"/>
  <c r="AF388" i="1"/>
  <c r="AE388" i="1"/>
  <c r="AD388" i="1"/>
  <c r="Z388" i="1"/>
  <c r="O388" i="1"/>
  <c r="O386" i="1" s="1"/>
  <c r="L388" i="1"/>
  <c r="L386" i="1" s="1"/>
  <c r="BW387" i="1"/>
  <c r="BJ387" i="1"/>
  <c r="BD387" i="1"/>
  <c r="AP387" i="1"/>
  <c r="BI387" i="1" s="1"/>
  <c r="AC387" i="1" s="1"/>
  <c r="AO387" i="1"/>
  <c r="BH387" i="1" s="1"/>
  <c r="AB387" i="1" s="1"/>
  <c r="AK387" i="1"/>
  <c r="AJ387" i="1"/>
  <c r="AS386" i="1" s="1"/>
  <c r="AH387" i="1"/>
  <c r="AG387" i="1"/>
  <c r="AF387" i="1"/>
  <c r="AE387" i="1"/>
  <c r="AD387" i="1"/>
  <c r="Z387" i="1"/>
  <c r="O387" i="1"/>
  <c r="BF387" i="1" s="1"/>
  <c r="L387" i="1"/>
  <c r="AL387" i="1" s="1"/>
  <c r="K387" i="1"/>
  <c r="J387" i="1"/>
  <c r="BW385" i="1"/>
  <c r="BJ385" i="1"/>
  <c r="BF385" i="1"/>
  <c r="BD385" i="1"/>
  <c r="AX385" i="1"/>
  <c r="AP385" i="1"/>
  <c r="BI385" i="1" s="1"/>
  <c r="AC385" i="1" s="1"/>
  <c r="AO385" i="1"/>
  <c r="AW385" i="1" s="1"/>
  <c r="AK385" i="1"/>
  <c r="AT384" i="1" s="1"/>
  <c r="AJ385" i="1"/>
  <c r="AS384" i="1" s="1"/>
  <c r="AH385" i="1"/>
  <c r="AG385" i="1"/>
  <c r="AF385" i="1"/>
  <c r="AE385" i="1"/>
  <c r="AD385" i="1"/>
  <c r="Z385" i="1"/>
  <c r="O385" i="1"/>
  <c r="L385" i="1"/>
  <c r="AL385" i="1" s="1"/>
  <c r="AU384" i="1" s="1"/>
  <c r="J385" i="1"/>
  <c r="J384" i="1" s="1"/>
  <c r="O384" i="1"/>
  <c r="BW383" i="1"/>
  <c r="BJ383" i="1"/>
  <c r="BD383" i="1"/>
  <c r="AP383" i="1"/>
  <c r="BI383" i="1" s="1"/>
  <c r="AC383" i="1" s="1"/>
  <c r="AO383" i="1"/>
  <c r="BH383" i="1" s="1"/>
  <c r="AB383" i="1" s="1"/>
  <c r="AK383" i="1"/>
  <c r="AT382" i="1" s="1"/>
  <c r="AJ383" i="1"/>
  <c r="AS382" i="1" s="1"/>
  <c r="AH383" i="1"/>
  <c r="AG383" i="1"/>
  <c r="AF383" i="1"/>
  <c r="AE383" i="1"/>
  <c r="AD383" i="1"/>
  <c r="Z383" i="1"/>
  <c r="O383" i="1"/>
  <c r="BF383" i="1" s="1"/>
  <c r="L383" i="1"/>
  <c r="AL383" i="1" s="1"/>
  <c r="AU382" i="1" s="1"/>
  <c r="K383" i="1"/>
  <c r="K382" i="1" s="1"/>
  <c r="J383" i="1"/>
  <c r="J382" i="1" s="1"/>
  <c r="O382" i="1"/>
  <c r="BW381" i="1"/>
  <c r="BJ381" i="1"/>
  <c r="BD381" i="1"/>
  <c r="AP381" i="1"/>
  <c r="K381" i="1" s="1"/>
  <c r="AO381" i="1"/>
  <c r="J381" i="1" s="1"/>
  <c r="J379" i="1" s="1"/>
  <c r="AK381" i="1"/>
  <c r="AJ381" i="1"/>
  <c r="AH381" i="1"/>
  <c r="AG381" i="1"/>
  <c r="AF381" i="1"/>
  <c r="AE381" i="1"/>
  <c r="AD381" i="1"/>
  <c r="Z381" i="1"/>
  <c r="O381" i="1"/>
  <c r="BF381" i="1" s="1"/>
  <c r="L381" i="1"/>
  <c r="AL381" i="1" s="1"/>
  <c r="BW380" i="1"/>
  <c r="BJ380" i="1"/>
  <c r="BD380" i="1"/>
  <c r="AP380" i="1"/>
  <c r="AO380" i="1"/>
  <c r="BH380" i="1" s="1"/>
  <c r="AB380" i="1" s="1"/>
  <c r="AL380" i="1"/>
  <c r="AK380" i="1"/>
  <c r="AJ380" i="1"/>
  <c r="AH380" i="1"/>
  <c r="AG380" i="1"/>
  <c r="AF380" i="1"/>
  <c r="AE380" i="1"/>
  <c r="AD380" i="1"/>
  <c r="Z380" i="1"/>
  <c r="O380" i="1"/>
  <c r="L380" i="1"/>
  <c r="J380" i="1"/>
  <c r="AT379" i="1"/>
  <c r="BW378" i="1"/>
  <c r="BJ378" i="1"/>
  <c r="BD378" i="1"/>
  <c r="AP378" i="1"/>
  <c r="AO378" i="1"/>
  <c r="AW378" i="1" s="1"/>
  <c r="AL378" i="1"/>
  <c r="AU377" i="1" s="1"/>
  <c r="AK378" i="1"/>
  <c r="AT377" i="1" s="1"/>
  <c r="AJ378" i="1"/>
  <c r="AS377" i="1" s="1"/>
  <c r="AH378" i="1"/>
  <c r="AG378" i="1"/>
  <c r="AF378" i="1"/>
  <c r="AC378" i="1"/>
  <c r="AB378" i="1"/>
  <c r="Z378" i="1"/>
  <c r="O378" i="1"/>
  <c r="L378" i="1"/>
  <c r="J378" i="1"/>
  <c r="J377" i="1" s="1"/>
  <c r="BW376" i="1"/>
  <c r="M376" i="1" s="1"/>
  <c r="BJ376" i="1"/>
  <c r="BD376" i="1"/>
  <c r="AP376" i="1"/>
  <c r="AO376" i="1"/>
  <c r="BH376" i="1" s="1"/>
  <c r="AD376" i="1" s="1"/>
  <c r="AL376" i="1"/>
  <c r="AK376" i="1"/>
  <c r="AJ376" i="1"/>
  <c r="AH376" i="1"/>
  <c r="AG376" i="1"/>
  <c r="AF376" i="1"/>
  <c r="AC376" i="1"/>
  <c r="AB376" i="1"/>
  <c r="Z376" i="1"/>
  <c r="O376" i="1"/>
  <c r="BF376" i="1" s="1"/>
  <c r="L376" i="1"/>
  <c r="J376" i="1"/>
  <c r="BW375" i="1"/>
  <c r="BJ375" i="1"/>
  <c r="BD375" i="1"/>
  <c r="AW375" i="1"/>
  <c r="AP375" i="1"/>
  <c r="AX375" i="1" s="1"/>
  <c r="AO375" i="1"/>
  <c r="AK375" i="1"/>
  <c r="AJ375" i="1"/>
  <c r="AH375" i="1"/>
  <c r="AG375" i="1"/>
  <c r="AF375" i="1"/>
  <c r="AC375" i="1"/>
  <c r="AB375" i="1"/>
  <c r="Z375" i="1"/>
  <c r="O375" i="1"/>
  <c r="BF375" i="1" s="1"/>
  <c r="L375" i="1"/>
  <c r="K375" i="1"/>
  <c r="BW374" i="1"/>
  <c r="BJ374" i="1"/>
  <c r="BD374" i="1"/>
  <c r="AP374" i="1"/>
  <c r="BI374" i="1" s="1"/>
  <c r="AE374" i="1" s="1"/>
  <c r="AO374" i="1"/>
  <c r="BH374" i="1" s="1"/>
  <c r="AD374" i="1" s="1"/>
  <c r="AK374" i="1"/>
  <c r="AJ374" i="1"/>
  <c r="AH374" i="1"/>
  <c r="AG374" i="1"/>
  <c r="AF374" i="1"/>
  <c r="AC374" i="1"/>
  <c r="AB374" i="1"/>
  <c r="Z374" i="1"/>
  <c r="O374" i="1"/>
  <c r="BF374" i="1" s="1"/>
  <c r="L374" i="1"/>
  <c r="K374" i="1"/>
  <c r="J374" i="1"/>
  <c r="O373" i="1"/>
  <c r="BW372" i="1"/>
  <c r="BJ372" i="1"/>
  <c r="BD372" i="1"/>
  <c r="AX372" i="1"/>
  <c r="AP372" i="1"/>
  <c r="K372" i="1" s="1"/>
  <c r="K371" i="1" s="1"/>
  <c r="AO372" i="1"/>
  <c r="BH372" i="1" s="1"/>
  <c r="AD372" i="1" s="1"/>
  <c r="AK372" i="1"/>
  <c r="AT371" i="1" s="1"/>
  <c r="AJ372" i="1"/>
  <c r="AS371" i="1" s="1"/>
  <c r="AH372" i="1"/>
  <c r="AG372" i="1"/>
  <c r="AF372" i="1"/>
  <c r="AC372" i="1"/>
  <c r="AB372" i="1"/>
  <c r="Z372" i="1"/>
  <c r="O372" i="1"/>
  <c r="BF372" i="1" s="1"/>
  <c r="L372" i="1"/>
  <c r="L371" i="1" s="1"/>
  <c r="J372" i="1"/>
  <c r="J371" i="1" s="1"/>
  <c r="BW370" i="1"/>
  <c r="BJ370" i="1"/>
  <c r="BF370" i="1"/>
  <c r="BD370" i="1"/>
  <c r="AX370" i="1"/>
  <c r="AP370" i="1"/>
  <c r="BI370" i="1" s="1"/>
  <c r="AE370" i="1" s="1"/>
  <c r="AO370" i="1"/>
  <c r="BH370" i="1" s="1"/>
  <c r="AD370" i="1" s="1"/>
  <c r="AK370" i="1"/>
  <c r="AT369" i="1" s="1"/>
  <c r="AJ370" i="1"/>
  <c r="AS369" i="1" s="1"/>
  <c r="AH370" i="1"/>
  <c r="AG370" i="1"/>
  <c r="AF370" i="1"/>
  <c r="AC370" i="1"/>
  <c r="AB370" i="1"/>
  <c r="Z370" i="1"/>
  <c r="O370" i="1"/>
  <c r="L370" i="1"/>
  <c r="M370" i="1" s="1"/>
  <c r="M369" i="1" s="1"/>
  <c r="K370" i="1"/>
  <c r="K369" i="1" s="1"/>
  <c r="J370" i="1"/>
  <c r="J369" i="1" s="1"/>
  <c r="O369" i="1"/>
  <c r="BW368" i="1"/>
  <c r="BJ368" i="1"/>
  <c r="BD368" i="1"/>
  <c r="AP368" i="1"/>
  <c r="AO368" i="1"/>
  <c r="BH368" i="1" s="1"/>
  <c r="AD368" i="1" s="1"/>
  <c r="AK368" i="1"/>
  <c r="AJ368" i="1"/>
  <c r="AH368" i="1"/>
  <c r="AG368" i="1"/>
  <c r="AF368" i="1"/>
  <c r="AC368" i="1"/>
  <c r="AB368" i="1"/>
  <c r="Z368" i="1"/>
  <c r="O368" i="1"/>
  <c r="BF368" i="1" s="1"/>
  <c r="L368" i="1"/>
  <c r="J368" i="1"/>
  <c r="BW367" i="1"/>
  <c r="BJ367" i="1"/>
  <c r="BD367" i="1"/>
  <c r="AP367" i="1"/>
  <c r="AO367" i="1"/>
  <c r="BH367" i="1" s="1"/>
  <c r="AD367" i="1" s="1"/>
  <c r="AK367" i="1"/>
  <c r="AJ367" i="1"/>
  <c r="AH367" i="1"/>
  <c r="AG367" i="1"/>
  <c r="AF367" i="1"/>
  <c r="AC367" i="1"/>
  <c r="AB367" i="1"/>
  <c r="Z367" i="1"/>
  <c r="O367" i="1"/>
  <c r="BF367" i="1" s="1"/>
  <c r="L367" i="1"/>
  <c r="AL367" i="1" s="1"/>
  <c r="J367" i="1"/>
  <c r="BW366" i="1"/>
  <c r="BJ366" i="1"/>
  <c r="BD366" i="1"/>
  <c r="AX366" i="1"/>
  <c r="AW366" i="1"/>
  <c r="AP366" i="1"/>
  <c r="BI366" i="1" s="1"/>
  <c r="AE366" i="1" s="1"/>
  <c r="AO366" i="1"/>
  <c r="AK366" i="1"/>
  <c r="AT362" i="1" s="1"/>
  <c r="AJ366" i="1"/>
  <c r="AH366" i="1"/>
  <c r="AG366" i="1"/>
  <c r="AF366" i="1"/>
  <c r="AC366" i="1"/>
  <c r="AB366" i="1"/>
  <c r="Z366" i="1"/>
  <c r="O366" i="1"/>
  <c r="BF366" i="1" s="1"/>
  <c r="L366" i="1"/>
  <c r="K366" i="1"/>
  <c r="BW365" i="1"/>
  <c r="BJ365" i="1"/>
  <c r="BI365" i="1"/>
  <c r="AE365" i="1" s="1"/>
  <c r="BD365" i="1"/>
  <c r="AP365" i="1"/>
  <c r="K365" i="1" s="1"/>
  <c r="AO365" i="1"/>
  <c r="BH365" i="1" s="1"/>
  <c r="AD365" i="1" s="1"/>
  <c r="AK365" i="1"/>
  <c r="AJ365" i="1"/>
  <c r="AH365" i="1"/>
  <c r="AG365" i="1"/>
  <c r="AF365" i="1"/>
  <c r="AC365" i="1"/>
  <c r="AB365" i="1"/>
  <c r="Z365" i="1"/>
  <c r="O365" i="1"/>
  <c r="BF365" i="1" s="1"/>
  <c r="L365" i="1"/>
  <c r="M365" i="1" s="1"/>
  <c r="J365" i="1"/>
  <c r="BW364" i="1"/>
  <c r="BJ364" i="1"/>
  <c r="BD364" i="1"/>
  <c r="AP364" i="1"/>
  <c r="AO364" i="1"/>
  <c r="BH364" i="1" s="1"/>
  <c r="AD364" i="1" s="1"/>
  <c r="AK364" i="1"/>
  <c r="AJ364" i="1"/>
  <c r="AH364" i="1"/>
  <c r="AG364" i="1"/>
  <c r="AF364" i="1"/>
  <c r="AC364" i="1"/>
  <c r="AB364" i="1"/>
  <c r="Z364" i="1"/>
  <c r="O364" i="1"/>
  <c r="BF364" i="1" s="1"/>
  <c r="L364" i="1"/>
  <c r="AL364" i="1" s="1"/>
  <c r="BW363" i="1"/>
  <c r="BJ363" i="1"/>
  <c r="BD363" i="1"/>
  <c r="AP363" i="1"/>
  <c r="BI363" i="1" s="1"/>
  <c r="AE363" i="1" s="1"/>
  <c r="AO363" i="1"/>
  <c r="AW363" i="1" s="1"/>
  <c r="AK363" i="1"/>
  <c r="AJ363" i="1"/>
  <c r="AH363" i="1"/>
  <c r="AG363" i="1"/>
  <c r="AF363" i="1"/>
  <c r="AC363" i="1"/>
  <c r="AB363" i="1"/>
  <c r="Z363" i="1"/>
  <c r="O363" i="1"/>
  <c r="L363" i="1"/>
  <c r="K363" i="1"/>
  <c r="BW361" i="1"/>
  <c r="BJ361" i="1"/>
  <c r="BI361" i="1"/>
  <c r="AC361" i="1" s="1"/>
  <c r="BD361" i="1"/>
  <c r="AP361" i="1"/>
  <c r="AX361" i="1" s="1"/>
  <c r="AO361" i="1"/>
  <c r="AW361" i="1" s="1"/>
  <c r="AK361" i="1"/>
  <c r="AT360" i="1" s="1"/>
  <c r="AJ361" i="1"/>
  <c r="AS360" i="1" s="1"/>
  <c r="AH361" i="1"/>
  <c r="AG361" i="1"/>
  <c r="AF361" i="1"/>
  <c r="AE361" i="1"/>
  <c r="AD361" i="1"/>
  <c r="Z361" i="1"/>
  <c r="O361" i="1"/>
  <c r="O360" i="1" s="1"/>
  <c r="L361" i="1"/>
  <c r="K361" i="1"/>
  <c r="K360" i="1" s="1"/>
  <c r="BW359" i="1"/>
  <c r="BJ359" i="1"/>
  <c r="BD359" i="1"/>
  <c r="AP359" i="1"/>
  <c r="AX359" i="1" s="1"/>
  <c r="AO359" i="1"/>
  <c r="AW359" i="1" s="1"/>
  <c r="AK359" i="1"/>
  <c r="AT358" i="1" s="1"/>
  <c r="AJ359" i="1"/>
  <c r="AS358" i="1" s="1"/>
  <c r="AH359" i="1"/>
  <c r="AG359" i="1"/>
  <c r="AF359" i="1"/>
  <c r="AE359" i="1"/>
  <c r="AD359" i="1"/>
  <c r="Z359" i="1"/>
  <c r="O359" i="1"/>
  <c r="O358" i="1" s="1"/>
  <c r="L359" i="1"/>
  <c r="K359" i="1"/>
  <c r="K358" i="1" s="1"/>
  <c r="BW357" i="1"/>
  <c r="BJ357" i="1"/>
  <c r="BD357" i="1"/>
  <c r="AP357" i="1"/>
  <c r="BI357" i="1" s="1"/>
  <c r="AC357" i="1" s="1"/>
  <c r="AO357" i="1"/>
  <c r="AW357" i="1" s="1"/>
  <c r="AK357" i="1"/>
  <c r="AJ357" i="1"/>
  <c r="AH357" i="1"/>
  <c r="AG357" i="1"/>
  <c r="AF357" i="1"/>
  <c r="AE357" i="1"/>
  <c r="AD357" i="1"/>
  <c r="Z357" i="1"/>
  <c r="O357" i="1"/>
  <c r="BF357" i="1" s="1"/>
  <c r="L357" i="1"/>
  <c r="K357" i="1"/>
  <c r="BW356" i="1"/>
  <c r="BJ356" i="1"/>
  <c r="BI356" i="1"/>
  <c r="AC356" i="1" s="1"/>
  <c r="BD356" i="1"/>
  <c r="AP356" i="1"/>
  <c r="K356" i="1" s="1"/>
  <c r="AO356" i="1"/>
  <c r="AW356" i="1" s="1"/>
  <c r="AK356" i="1"/>
  <c r="AJ356" i="1"/>
  <c r="AH356" i="1"/>
  <c r="AG356" i="1"/>
  <c r="AF356" i="1"/>
  <c r="AE356" i="1"/>
  <c r="AD356" i="1"/>
  <c r="Z356" i="1"/>
  <c r="O356" i="1"/>
  <c r="BF356" i="1" s="1"/>
  <c r="L356" i="1"/>
  <c r="M356" i="1" s="1"/>
  <c r="BW355" i="1"/>
  <c r="BJ355" i="1"/>
  <c r="BD355" i="1"/>
  <c r="AP355" i="1"/>
  <c r="AO355" i="1"/>
  <c r="BH355" i="1" s="1"/>
  <c r="AB355" i="1" s="1"/>
  <c r="AK355" i="1"/>
  <c r="AJ355" i="1"/>
  <c r="AH355" i="1"/>
  <c r="AG355" i="1"/>
  <c r="AF355" i="1"/>
  <c r="AE355" i="1"/>
  <c r="AD355" i="1"/>
  <c r="Z355" i="1"/>
  <c r="O355" i="1"/>
  <c r="L355" i="1"/>
  <c r="AL355" i="1" s="1"/>
  <c r="J355" i="1"/>
  <c r="BW353" i="1"/>
  <c r="BJ353" i="1"/>
  <c r="BD353" i="1"/>
  <c r="AP353" i="1"/>
  <c r="AO353" i="1"/>
  <c r="AL353" i="1"/>
  <c r="AK353" i="1"/>
  <c r="AJ353" i="1"/>
  <c r="AH353" i="1"/>
  <c r="AG353" i="1"/>
  <c r="AF353" i="1"/>
  <c r="AE353" i="1"/>
  <c r="AD353" i="1"/>
  <c r="Z353" i="1"/>
  <c r="O353" i="1"/>
  <c r="BF353" i="1" s="1"/>
  <c r="L353" i="1"/>
  <c r="J353" i="1"/>
  <c r="BW352" i="1"/>
  <c r="BJ352" i="1"/>
  <c r="BF352" i="1"/>
  <c r="BD352" i="1"/>
  <c r="AP352" i="1"/>
  <c r="BI352" i="1" s="1"/>
  <c r="AC352" i="1" s="1"/>
  <c r="AO352" i="1"/>
  <c r="AW352" i="1" s="1"/>
  <c r="AK352" i="1"/>
  <c r="AJ352" i="1"/>
  <c r="AH352" i="1"/>
  <c r="AG352" i="1"/>
  <c r="AF352" i="1"/>
  <c r="AE352" i="1"/>
  <c r="AD352" i="1"/>
  <c r="Z352" i="1"/>
  <c r="O352" i="1"/>
  <c r="O351" i="1" s="1"/>
  <c r="L352" i="1"/>
  <c r="AL352" i="1" s="1"/>
  <c r="K352" i="1"/>
  <c r="BW350" i="1"/>
  <c r="BJ350" i="1"/>
  <c r="BD350" i="1"/>
  <c r="AP350" i="1"/>
  <c r="AX350" i="1" s="1"/>
  <c r="AO350" i="1"/>
  <c r="AL350" i="1"/>
  <c r="AU349" i="1" s="1"/>
  <c r="AK350" i="1"/>
  <c r="AT349" i="1" s="1"/>
  <c r="AJ350" i="1"/>
  <c r="AS349" i="1" s="1"/>
  <c r="AH350" i="1"/>
  <c r="AG350" i="1"/>
  <c r="AF350" i="1"/>
  <c r="AE350" i="1"/>
  <c r="AD350" i="1"/>
  <c r="Z350" i="1"/>
  <c r="O350" i="1"/>
  <c r="BF350" i="1" s="1"/>
  <c r="L350" i="1"/>
  <c r="L349" i="1" s="1"/>
  <c r="BW348" i="1"/>
  <c r="BJ348" i="1"/>
  <c r="BI348" i="1"/>
  <c r="AC348" i="1" s="1"/>
  <c r="BF348" i="1"/>
  <c r="BD348" i="1"/>
  <c r="AX348" i="1"/>
  <c r="AW348" i="1"/>
  <c r="AV348" i="1" s="1"/>
  <c r="AP348" i="1"/>
  <c r="AO348" i="1"/>
  <c r="AK348" i="1"/>
  <c r="AT347" i="1" s="1"/>
  <c r="AJ348" i="1"/>
  <c r="AS347" i="1" s="1"/>
  <c r="AH348" i="1"/>
  <c r="AG348" i="1"/>
  <c r="AF348" i="1"/>
  <c r="AE348" i="1"/>
  <c r="AD348" i="1"/>
  <c r="Z348" i="1"/>
  <c r="O348" i="1"/>
  <c r="O347" i="1" s="1"/>
  <c r="L348" i="1"/>
  <c r="AL348" i="1" s="1"/>
  <c r="AU347" i="1" s="1"/>
  <c r="K348" i="1"/>
  <c r="K347" i="1" s="1"/>
  <c r="BW346" i="1"/>
  <c r="BJ346" i="1"/>
  <c r="BD346" i="1"/>
  <c r="AX346" i="1"/>
  <c r="AP346" i="1"/>
  <c r="BI346" i="1" s="1"/>
  <c r="AC346" i="1" s="1"/>
  <c r="AO346" i="1"/>
  <c r="AL346" i="1"/>
  <c r="AU345" i="1" s="1"/>
  <c r="AK346" i="1"/>
  <c r="AT345" i="1" s="1"/>
  <c r="AJ346" i="1"/>
  <c r="AS345" i="1" s="1"/>
  <c r="AH346" i="1"/>
  <c r="AG346" i="1"/>
  <c r="AF346" i="1"/>
  <c r="AE346" i="1"/>
  <c r="AD346" i="1"/>
  <c r="Z346" i="1"/>
  <c r="O346" i="1"/>
  <c r="BF346" i="1" s="1"/>
  <c r="L346" i="1"/>
  <c r="L345" i="1" s="1"/>
  <c r="K346" i="1"/>
  <c r="K345" i="1" s="1"/>
  <c r="BW343" i="1"/>
  <c r="BJ343" i="1"/>
  <c r="Z343" i="1" s="1"/>
  <c r="BH343" i="1"/>
  <c r="BD343" i="1"/>
  <c r="AW343" i="1"/>
  <c r="AP343" i="1"/>
  <c r="AX343" i="1" s="1"/>
  <c r="AO343" i="1"/>
  <c r="J343" i="1" s="1"/>
  <c r="J342" i="1" s="1"/>
  <c r="AK343" i="1"/>
  <c r="AT342" i="1" s="1"/>
  <c r="AJ343" i="1"/>
  <c r="AS342" i="1" s="1"/>
  <c r="AH343" i="1"/>
  <c r="AG343" i="1"/>
  <c r="AF343" i="1"/>
  <c r="AE343" i="1"/>
  <c r="AD343" i="1"/>
  <c r="AC343" i="1"/>
  <c r="AB343" i="1"/>
  <c r="O343" i="1"/>
  <c r="BF343" i="1" s="1"/>
  <c r="L343" i="1"/>
  <c r="O342" i="1"/>
  <c r="BW341" i="1"/>
  <c r="BJ341" i="1"/>
  <c r="BI341" i="1"/>
  <c r="AC341" i="1" s="1"/>
  <c r="BD341" i="1"/>
  <c r="AP341" i="1"/>
  <c r="AX341" i="1" s="1"/>
  <c r="AO341" i="1"/>
  <c r="AW341" i="1" s="1"/>
  <c r="AK341" i="1"/>
  <c r="AT339" i="1" s="1"/>
  <c r="AJ341" i="1"/>
  <c r="AH341" i="1"/>
  <c r="AG341" i="1"/>
  <c r="AF341" i="1"/>
  <c r="AE341" i="1"/>
  <c r="AD341" i="1"/>
  <c r="Z341" i="1"/>
  <c r="O341" i="1"/>
  <c r="BF341" i="1" s="1"/>
  <c r="M341" i="1"/>
  <c r="L341" i="1"/>
  <c r="AL341" i="1" s="1"/>
  <c r="K341" i="1"/>
  <c r="BW340" i="1"/>
  <c r="BJ340" i="1"/>
  <c r="BD340" i="1"/>
  <c r="AP340" i="1"/>
  <c r="K340" i="1" s="1"/>
  <c r="AO340" i="1"/>
  <c r="BH340" i="1" s="1"/>
  <c r="AB340" i="1" s="1"/>
  <c r="AK340" i="1"/>
  <c r="AJ340" i="1"/>
  <c r="AH340" i="1"/>
  <c r="AG340" i="1"/>
  <c r="AF340" i="1"/>
  <c r="AE340" i="1"/>
  <c r="AD340" i="1"/>
  <c r="Z340" i="1"/>
  <c r="O340" i="1"/>
  <c r="L340" i="1"/>
  <c r="AL340" i="1" s="1"/>
  <c r="AU339" i="1" s="1"/>
  <c r="BW338" i="1"/>
  <c r="BJ338" i="1"/>
  <c r="BD338" i="1"/>
  <c r="AP338" i="1"/>
  <c r="BI338" i="1" s="1"/>
  <c r="AE338" i="1" s="1"/>
  <c r="AO338" i="1"/>
  <c r="AK338" i="1"/>
  <c r="AJ338" i="1"/>
  <c r="AS337" i="1" s="1"/>
  <c r="AH338" i="1"/>
  <c r="AG338" i="1"/>
  <c r="AF338" i="1"/>
  <c r="AC338" i="1"/>
  <c r="AB338" i="1"/>
  <c r="Z338" i="1"/>
  <c r="O338" i="1"/>
  <c r="BF338" i="1" s="1"/>
  <c r="L338" i="1"/>
  <c r="AL338" i="1" s="1"/>
  <c r="AU337" i="1" s="1"/>
  <c r="K338" i="1"/>
  <c r="K337" i="1" s="1"/>
  <c r="AT337" i="1"/>
  <c r="BW336" i="1"/>
  <c r="BJ336" i="1"/>
  <c r="BD336" i="1"/>
  <c r="AP336" i="1"/>
  <c r="BI336" i="1" s="1"/>
  <c r="AE336" i="1" s="1"/>
  <c r="AO336" i="1"/>
  <c r="AW336" i="1" s="1"/>
  <c r="AK336" i="1"/>
  <c r="AJ336" i="1"/>
  <c r="AH336" i="1"/>
  <c r="AG336" i="1"/>
  <c r="AF336" i="1"/>
  <c r="AC336" i="1"/>
  <c r="AB336" i="1"/>
  <c r="Z336" i="1"/>
  <c r="O336" i="1"/>
  <c r="BF336" i="1" s="1"/>
  <c r="L336" i="1"/>
  <c r="AL336" i="1" s="1"/>
  <c r="K336" i="1"/>
  <c r="J336" i="1"/>
  <c r="BW335" i="1"/>
  <c r="BJ335" i="1"/>
  <c r="BH335" i="1"/>
  <c r="AD335" i="1" s="1"/>
  <c r="BD335" i="1"/>
  <c r="AP335" i="1"/>
  <c r="AX335" i="1" s="1"/>
  <c r="BC335" i="1" s="1"/>
  <c r="AO335" i="1"/>
  <c r="AW335" i="1" s="1"/>
  <c r="AK335" i="1"/>
  <c r="AJ335" i="1"/>
  <c r="AH335" i="1"/>
  <c r="AG335" i="1"/>
  <c r="AF335" i="1"/>
  <c r="AC335" i="1"/>
  <c r="AB335" i="1"/>
  <c r="Z335" i="1"/>
  <c r="O335" i="1"/>
  <c r="BF335" i="1" s="1"/>
  <c r="L335" i="1"/>
  <c r="J335" i="1"/>
  <c r="BW334" i="1"/>
  <c r="BJ334" i="1"/>
  <c r="BD334" i="1"/>
  <c r="AP334" i="1"/>
  <c r="AX334" i="1" s="1"/>
  <c r="AO334" i="1"/>
  <c r="AK334" i="1"/>
  <c r="AJ334" i="1"/>
  <c r="AH334" i="1"/>
  <c r="AG334" i="1"/>
  <c r="AF334" i="1"/>
  <c r="AC334" i="1"/>
  <c r="AB334" i="1"/>
  <c r="Z334" i="1"/>
  <c r="O334" i="1"/>
  <c r="L334" i="1"/>
  <c r="M334" i="1" s="1"/>
  <c r="K334" i="1"/>
  <c r="BW333" i="1"/>
  <c r="BJ333" i="1"/>
  <c r="BD333" i="1"/>
  <c r="AP333" i="1"/>
  <c r="BI333" i="1" s="1"/>
  <c r="AE333" i="1" s="1"/>
  <c r="AO333" i="1"/>
  <c r="BH333" i="1" s="1"/>
  <c r="AD333" i="1" s="1"/>
  <c r="AK333" i="1"/>
  <c r="AJ333" i="1"/>
  <c r="AH333" i="1"/>
  <c r="AG333" i="1"/>
  <c r="AF333" i="1"/>
  <c r="AC333" i="1"/>
  <c r="AB333" i="1"/>
  <c r="Z333" i="1"/>
  <c r="O333" i="1"/>
  <c r="BF333" i="1" s="1"/>
  <c r="L333" i="1"/>
  <c r="K333" i="1"/>
  <c r="J333" i="1"/>
  <c r="BW331" i="1"/>
  <c r="BJ331" i="1"/>
  <c r="BF331" i="1"/>
  <c r="BD331" i="1"/>
  <c r="AP331" i="1"/>
  <c r="BI331" i="1" s="1"/>
  <c r="AO331" i="1"/>
  <c r="BH331" i="1" s="1"/>
  <c r="AD331" i="1" s="1"/>
  <c r="AK331" i="1"/>
  <c r="AJ331" i="1"/>
  <c r="AH331" i="1"/>
  <c r="AG331" i="1"/>
  <c r="AF331" i="1"/>
  <c r="AE331" i="1"/>
  <c r="AC331" i="1"/>
  <c r="AB331" i="1"/>
  <c r="Z331" i="1"/>
  <c r="O331" i="1"/>
  <c r="L331" i="1"/>
  <c r="J331" i="1"/>
  <c r="BW330" i="1"/>
  <c r="BJ330" i="1"/>
  <c r="BD330" i="1"/>
  <c r="AP330" i="1"/>
  <c r="K330" i="1" s="1"/>
  <c r="AO330" i="1"/>
  <c r="AW330" i="1" s="1"/>
  <c r="AK330" i="1"/>
  <c r="AJ330" i="1"/>
  <c r="AH330" i="1"/>
  <c r="AG330" i="1"/>
  <c r="AF330" i="1"/>
  <c r="AC330" i="1"/>
  <c r="AB330" i="1"/>
  <c r="Z330" i="1"/>
  <c r="O330" i="1"/>
  <c r="BF330" i="1" s="1"/>
  <c r="L330" i="1"/>
  <c r="M330" i="1" s="1"/>
  <c r="BW327" i="1"/>
  <c r="BJ327" i="1"/>
  <c r="BD327" i="1"/>
  <c r="AP327" i="1"/>
  <c r="AO327" i="1"/>
  <c r="AK327" i="1"/>
  <c r="AJ327" i="1"/>
  <c r="AH327" i="1"/>
  <c r="AG327" i="1"/>
  <c r="AF327" i="1"/>
  <c r="AC327" i="1"/>
  <c r="AB327" i="1"/>
  <c r="Z327" i="1"/>
  <c r="O327" i="1"/>
  <c r="BF327" i="1" s="1"/>
  <c r="L327" i="1"/>
  <c r="BW326" i="1"/>
  <c r="BJ326" i="1"/>
  <c r="BD326" i="1"/>
  <c r="AP326" i="1"/>
  <c r="AX326" i="1" s="1"/>
  <c r="AO326" i="1"/>
  <c r="AW326" i="1" s="1"/>
  <c r="AV326" i="1" s="1"/>
  <c r="AK326" i="1"/>
  <c r="AJ326" i="1"/>
  <c r="AH326" i="1"/>
  <c r="AG326" i="1"/>
  <c r="AF326" i="1"/>
  <c r="AC326" i="1"/>
  <c r="AB326" i="1"/>
  <c r="Z326" i="1"/>
  <c r="O326" i="1"/>
  <c r="BF326" i="1" s="1"/>
  <c r="L326" i="1"/>
  <c r="M326" i="1" s="1"/>
  <c r="K326" i="1"/>
  <c r="J326" i="1"/>
  <c r="BW325" i="1"/>
  <c r="BJ325" i="1"/>
  <c r="BD325" i="1"/>
  <c r="AP325" i="1"/>
  <c r="AX325" i="1" s="1"/>
  <c r="AO325" i="1"/>
  <c r="AK325" i="1"/>
  <c r="AJ325" i="1"/>
  <c r="AH325" i="1"/>
  <c r="AG325" i="1"/>
  <c r="AF325" i="1"/>
  <c r="AC325" i="1"/>
  <c r="AB325" i="1"/>
  <c r="Z325" i="1"/>
  <c r="O325" i="1"/>
  <c r="BF325" i="1" s="1"/>
  <c r="L325" i="1"/>
  <c r="AL325" i="1" s="1"/>
  <c r="K325" i="1"/>
  <c r="BW324" i="1"/>
  <c r="BJ324" i="1"/>
  <c r="BD324" i="1"/>
  <c r="AP324" i="1"/>
  <c r="AX324" i="1" s="1"/>
  <c r="AO324" i="1"/>
  <c r="AK324" i="1"/>
  <c r="AJ324" i="1"/>
  <c r="AH324" i="1"/>
  <c r="AG324" i="1"/>
  <c r="AF324" i="1"/>
  <c r="AC324" i="1"/>
  <c r="AB324" i="1"/>
  <c r="Z324" i="1"/>
  <c r="O324" i="1"/>
  <c r="BF324" i="1" s="1"/>
  <c r="L324" i="1"/>
  <c r="BW323" i="1"/>
  <c r="BJ323" i="1"/>
  <c r="BD323" i="1"/>
  <c r="AP323" i="1"/>
  <c r="AO323" i="1"/>
  <c r="AW323" i="1" s="1"/>
  <c r="AK323" i="1"/>
  <c r="AJ323" i="1"/>
  <c r="AH323" i="1"/>
  <c r="AG323" i="1"/>
  <c r="AF323" i="1"/>
  <c r="AC323" i="1"/>
  <c r="AB323" i="1"/>
  <c r="Z323" i="1"/>
  <c r="O323" i="1"/>
  <c r="BF323" i="1" s="1"/>
  <c r="L323" i="1"/>
  <c r="AL323" i="1" s="1"/>
  <c r="J323" i="1"/>
  <c r="BW322" i="1"/>
  <c r="BJ322" i="1"/>
  <c r="BD322" i="1"/>
  <c r="AP322" i="1"/>
  <c r="BI322" i="1" s="1"/>
  <c r="AE322" i="1" s="1"/>
  <c r="AO322" i="1"/>
  <c r="BH322" i="1" s="1"/>
  <c r="AD322" i="1" s="1"/>
  <c r="AK322" i="1"/>
  <c r="AJ322" i="1"/>
  <c r="AH322" i="1"/>
  <c r="AG322" i="1"/>
  <c r="AF322" i="1"/>
  <c r="AC322" i="1"/>
  <c r="AB322" i="1"/>
  <c r="Z322" i="1"/>
  <c r="O322" i="1"/>
  <c r="BF322" i="1" s="1"/>
  <c r="L322" i="1"/>
  <c r="AL322" i="1" s="1"/>
  <c r="K322" i="1"/>
  <c r="J322" i="1"/>
  <c r="BW321" i="1"/>
  <c r="BJ321" i="1"/>
  <c r="BD321" i="1"/>
  <c r="AX321" i="1"/>
  <c r="AP321" i="1"/>
  <c r="BI321" i="1" s="1"/>
  <c r="AE321" i="1" s="1"/>
  <c r="AO321" i="1"/>
  <c r="AW321" i="1" s="1"/>
  <c r="AK321" i="1"/>
  <c r="AJ321" i="1"/>
  <c r="AH321" i="1"/>
  <c r="AG321" i="1"/>
  <c r="AF321" i="1"/>
  <c r="AC321" i="1"/>
  <c r="AB321" i="1"/>
  <c r="Z321" i="1"/>
  <c r="O321" i="1"/>
  <c r="BF321" i="1" s="1"/>
  <c r="L321" i="1"/>
  <c r="K321" i="1"/>
  <c r="BW320" i="1"/>
  <c r="BJ320" i="1"/>
  <c r="BH320" i="1"/>
  <c r="AD320" i="1" s="1"/>
  <c r="BD320" i="1"/>
  <c r="AP320" i="1"/>
  <c r="BI320" i="1" s="1"/>
  <c r="AE320" i="1" s="1"/>
  <c r="AO320" i="1"/>
  <c r="AW320" i="1" s="1"/>
  <c r="AK320" i="1"/>
  <c r="AJ320" i="1"/>
  <c r="AH320" i="1"/>
  <c r="AG320" i="1"/>
  <c r="AF320" i="1"/>
  <c r="AC320" i="1"/>
  <c r="AB320" i="1"/>
  <c r="Z320" i="1"/>
  <c r="O320" i="1"/>
  <c r="BF320" i="1" s="1"/>
  <c r="L320" i="1"/>
  <c r="K320" i="1"/>
  <c r="J320" i="1"/>
  <c r="BW319" i="1"/>
  <c r="BJ319" i="1"/>
  <c r="BD319" i="1"/>
  <c r="AP319" i="1"/>
  <c r="AO319" i="1"/>
  <c r="BH319" i="1" s="1"/>
  <c r="AD319" i="1" s="1"/>
  <c r="AK319" i="1"/>
  <c r="AJ319" i="1"/>
  <c r="AH319" i="1"/>
  <c r="AG319" i="1"/>
  <c r="AF319" i="1"/>
  <c r="AC319" i="1"/>
  <c r="AB319" i="1"/>
  <c r="Z319" i="1"/>
  <c r="O319" i="1"/>
  <c r="BF319" i="1" s="1"/>
  <c r="L319" i="1"/>
  <c r="AL319" i="1" s="1"/>
  <c r="K319" i="1"/>
  <c r="J319" i="1"/>
  <c r="BW318" i="1"/>
  <c r="BJ318" i="1"/>
  <c r="BD318" i="1"/>
  <c r="AP318" i="1"/>
  <c r="AO318" i="1"/>
  <c r="AW318" i="1" s="1"/>
  <c r="AK318" i="1"/>
  <c r="AJ318" i="1"/>
  <c r="AH318" i="1"/>
  <c r="AG318" i="1"/>
  <c r="AF318" i="1"/>
  <c r="AC318" i="1"/>
  <c r="AB318" i="1"/>
  <c r="Z318" i="1"/>
  <c r="O318" i="1"/>
  <c r="BF318" i="1" s="1"/>
  <c r="L318" i="1"/>
  <c r="BW317" i="1"/>
  <c r="BJ317" i="1"/>
  <c r="BD317" i="1"/>
  <c r="AP317" i="1"/>
  <c r="AO317" i="1"/>
  <c r="AW317" i="1" s="1"/>
  <c r="AK317" i="1"/>
  <c r="AJ317" i="1"/>
  <c r="AH317" i="1"/>
  <c r="AG317" i="1"/>
  <c r="AF317" i="1"/>
  <c r="AC317" i="1"/>
  <c r="AB317" i="1"/>
  <c r="Z317" i="1"/>
  <c r="O317" i="1"/>
  <c r="BF317" i="1" s="1"/>
  <c r="L317" i="1"/>
  <c r="AL317" i="1" s="1"/>
  <c r="BW316" i="1"/>
  <c r="BJ316" i="1"/>
  <c r="BD316" i="1"/>
  <c r="AP316" i="1"/>
  <c r="K316" i="1" s="1"/>
  <c r="AO316" i="1"/>
  <c r="BH316" i="1" s="1"/>
  <c r="AD316" i="1" s="1"/>
  <c r="AK316" i="1"/>
  <c r="AJ316" i="1"/>
  <c r="AH316" i="1"/>
  <c r="AG316" i="1"/>
  <c r="AF316" i="1"/>
  <c r="AC316" i="1"/>
  <c r="AB316" i="1"/>
  <c r="Z316" i="1"/>
  <c r="O316" i="1"/>
  <c r="BF316" i="1" s="1"/>
  <c r="L316" i="1"/>
  <c r="AL316" i="1" s="1"/>
  <c r="BW315" i="1"/>
  <c r="BJ315" i="1"/>
  <c r="BD315" i="1"/>
  <c r="AP315" i="1"/>
  <c r="AO315" i="1"/>
  <c r="AW315" i="1" s="1"/>
  <c r="AK315" i="1"/>
  <c r="AJ315" i="1"/>
  <c r="AH315" i="1"/>
  <c r="AG315" i="1"/>
  <c r="AF315" i="1"/>
  <c r="AC315" i="1"/>
  <c r="AB315" i="1"/>
  <c r="Z315" i="1"/>
  <c r="O315" i="1"/>
  <c r="BF315" i="1" s="1"/>
  <c r="L315" i="1"/>
  <c r="BW314" i="1"/>
  <c r="BJ314" i="1"/>
  <c r="BD314" i="1"/>
  <c r="AP314" i="1"/>
  <c r="AO314" i="1"/>
  <c r="AW314" i="1" s="1"/>
  <c r="AK314" i="1"/>
  <c r="AJ314" i="1"/>
  <c r="AH314" i="1"/>
  <c r="AG314" i="1"/>
  <c r="AF314" i="1"/>
  <c r="AC314" i="1"/>
  <c r="AB314" i="1"/>
  <c r="Z314" i="1"/>
  <c r="O314" i="1"/>
  <c r="BF314" i="1" s="1"/>
  <c r="L314" i="1"/>
  <c r="AL314" i="1" s="1"/>
  <c r="J314" i="1"/>
  <c r="BW313" i="1"/>
  <c r="BJ313" i="1"/>
  <c r="BD313" i="1"/>
  <c r="AP313" i="1"/>
  <c r="BI313" i="1" s="1"/>
  <c r="AE313" i="1" s="1"/>
  <c r="AO313" i="1"/>
  <c r="AK313" i="1"/>
  <c r="AJ313" i="1"/>
  <c r="AH313" i="1"/>
  <c r="AG313" i="1"/>
  <c r="AF313" i="1"/>
  <c r="AC313" i="1"/>
  <c r="AB313" i="1"/>
  <c r="Z313" i="1"/>
  <c r="O313" i="1"/>
  <c r="BF313" i="1" s="1"/>
  <c r="L313" i="1"/>
  <c r="AL313" i="1" s="1"/>
  <c r="K313" i="1"/>
  <c r="BW312" i="1"/>
  <c r="BJ312" i="1"/>
  <c r="BD312" i="1"/>
  <c r="AP312" i="1"/>
  <c r="AX312" i="1" s="1"/>
  <c r="AO312" i="1"/>
  <c r="AK312" i="1"/>
  <c r="AJ312" i="1"/>
  <c r="AH312" i="1"/>
  <c r="AG312" i="1"/>
  <c r="AF312" i="1"/>
  <c r="AC312" i="1"/>
  <c r="AB312" i="1"/>
  <c r="Z312" i="1"/>
  <c r="O312" i="1"/>
  <c r="BF312" i="1" s="1"/>
  <c r="L312" i="1"/>
  <c r="K312" i="1"/>
  <c r="BW311" i="1"/>
  <c r="BJ311" i="1"/>
  <c r="BD311" i="1"/>
  <c r="AP311" i="1"/>
  <c r="K311" i="1" s="1"/>
  <c r="AO311" i="1"/>
  <c r="AK311" i="1"/>
  <c r="AJ311" i="1"/>
  <c r="AH311" i="1"/>
  <c r="AG311" i="1"/>
  <c r="AF311" i="1"/>
  <c r="AC311" i="1"/>
  <c r="AB311" i="1"/>
  <c r="Z311" i="1"/>
  <c r="O311" i="1"/>
  <c r="BF311" i="1" s="1"/>
  <c r="L311" i="1"/>
  <c r="M311" i="1" s="1"/>
  <c r="BW310" i="1"/>
  <c r="BJ310" i="1"/>
  <c r="BD310" i="1"/>
  <c r="AP310" i="1"/>
  <c r="AX310" i="1" s="1"/>
  <c r="AO310" i="1"/>
  <c r="AW310" i="1" s="1"/>
  <c r="AK310" i="1"/>
  <c r="AJ310" i="1"/>
  <c r="AH310" i="1"/>
  <c r="AG310" i="1"/>
  <c r="AF310" i="1"/>
  <c r="AC310" i="1"/>
  <c r="AB310" i="1"/>
  <c r="Z310" i="1"/>
  <c r="O310" i="1"/>
  <c r="BF310" i="1" s="1"/>
  <c r="L310" i="1"/>
  <c r="AL310" i="1" s="1"/>
  <c r="K310" i="1"/>
  <c r="J310" i="1"/>
  <c r="BW309" i="1"/>
  <c r="BJ309" i="1"/>
  <c r="BF309" i="1"/>
  <c r="BD309" i="1"/>
  <c r="AP309" i="1"/>
  <c r="K309" i="1" s="1"/>
  <c r="AO309" i="1"/>
  <c r="AW309" i="1" s="1"/>
  <c r="AK309" i="1"/>
  <c r="AJ309" i="1"/>
  <c r="AH309" i="1"/>
  <c r="AG309" i="1"/>
  <c r="AF309" i="1"/>
  <c r="AC309" i="1"/>
  <c r="AB309" i="1"/>
  <c r="Z309" i="1"/>
  <c r="O309" i="1"/>
  <c r="L309" i="1"/>
  <c r="J309" i="1"/>
  <c r="BW308" i="1"/>
  <c r="BJ308" i="1"/>
  <c r="BD308" i="1"/>
  <c r="AP308" i="1"/>
  <c r="BI308" i="1" s="1"/>
  <c r="AE308" i="1" s="1"/>
  <c r="AO308" i="1"/>
  <c r="AW308" i="1" s="1"/>
  <c r="AK308" i="1"/>
  <c r="AJ308" i="1"/>
  <c r="AH308" i="1"/>
  <c r="AG308" i="1"/>
  <c r="AF308" i="1"/>
  <c r="AC308" i="1"/>
  <c r="AB308" i="1"/>
  <c r="Z308" i="1"/>
  <c r="O308" i="1"/>
  <c r="BF308" i="1" s="1"/>
  <c r="L308" i="1"/>
  <c r="K308" i="1"/>
  <c r="J308" i="1"/>
  <c r="BW307" i="1"/>
  <c r="BJ307" i="1"/>
  <c r="BD307" i="1"/>
  <c r="AP307" i="1"/>
  <c r="AO307" i="1"/>
  <c r="BH307" i="1" s="1"/>
  <c r="AD307" i="1" s="1"/>
  <c r="AK307" i="1"/>
  <c r="AJ307" i="1"/>
  <c r="AH307" i="1"/>
  <c r="AG307" i="1"/>
  <c r="AF307" i="1"/>
  <c r="AC307" i="1"/>
  <c r="AB307" i="1"/>
  <c r="Z307" i="1"/>
  <c r="O307" i="1"/>
  <c r="BF307" i="1" s="1"/>
  <c r="L307" i="1"/>
  <c r="AL307" i="1" s="1"/>
  <c r="K307" i="1"/>
  <c r="J307" i="1"/>
  <c r="BW306" i="1"/>
  <c r="BJ306" i="1"/>
  <c r="BD306" i="1"/>
  <c r="AP306" i="1"/>
  <c r="AO306" i="1"/>
  <c r="AW306" i="1" s="1"/>
  <c r="AK306" i="1"/>
  <c r="AJ306" i="1"/>
  <c r="AH306" i="1"/>
  <c r="AG306" i="1"/>
  <c r="AF306" i="1"/>
  <c r="AC306" i="1"/>
  <c r="AB306" i="1"/>
  <c r="Z306" i="1"/>
  <c r="O306" i="1"/>
  <c r="BF306" i="1" s="1"/>
  <c r="L306" i="1"/>
  <c r="K306" i="1"/>
  <c r="J306" i="1"/>
  <c r="BW305" i="1"/>
  <c r="BJ305" i="1"/>
  <c r="BD305" i="1"/>
  <c r="AP305" i="1"/>
  <c r="AO305" i="1"/>
  <c r="AW305" i="1" s="1"/>
  <c r="AK305" i="1"/>
  <c r="AJ305" i="1"/>
  <c r="AH305" i="1"/>
  <c r="AG305" i="1"/>
  <c r="AF305" i="1"/>
  <c r="AC305" i="1"/>
  <c r="AB305" i="1"/>
  <c r="Z305" i="1"/>
  <c r="O305" i="1"/>
  <c r="BF305" i="1" s="1"/>
  <c r="L305" i="1"/>
  <c r="J305" i="1"/>
  <c r="BW304" i="1"/>
  <c r="BJ304" i="1"/>
  <c r="BD304" i="1"/>
  <c r="AP304" i="1"/>
  <c r="K304" i="1" s="1"/>
  <c r="AO304" i="1"/>
  <c r="BH304" i="1" s="1"/>
  <c r="AD304" i="1" s="1"/>
  <c r="AK304" i="1"/>
  <c r="AJ304" i="1"/>
  <c r="AH304" i="1"/>
  <c r="AG304" i="1"/>
  <c r="AF304" i="1"/>
  <c r="AC304" i="1"/>
  <c r="AB304" i="1"/>
  <c r="Z304" i="1"/>
  <c r="O304" i="1"/>
  <c r="BF304" i="1" s="1"/>
  <c r="L304" i="1"/>
  <c r="AL304" i="1" s="1"/>
  <c r="BW303" i="1"/>
  <c r="BJ303" i="1"/>
  <c r="BD303" i="1"/>
  <c r="AP303" i="1"/>
  <c r="AX303" i="1" s="1"/>
  <c r="AO303" i="1"/>
  <c r="AW303" i="1" s="1"/>
  <c r="AK303" i="1"/>
  <c r="AJ303" i="1"/>
  <c r="AH303" i="1"/>
  <c r="AG303" i="1"/>
  <c r="AF303" i="1"/>
  <c r="AC303" i="1"/>
  <c r="AB303" i="1"/>
  <c r="Z303" i="1"/>
  <c r="O303" i="1"/>
  <c r="L303" i="1"/>
  <c r="BW302" i="1"/>
  <c r="BJ302" i="1"/>
  <c r="BD302" i="1"/>
  <c r="AP302" i="1"/>
  <c r="AO302" i="1"/>
  <c r="AW302" i="1" s="1"/>
  <c r="AK302" i="1"/>
  <c r="AJ302" i="1"/>
  <c r="AH302" i="1"/>
  <c r="AG302" i="1"/>
  <c r="AF302" i="1"/>
  <c r="AC302" i="1"/>
  <c r="AB302" i="1"/>
  <c r="Z302" i="1"/>
  <c r="O302" i="1"/>
  <c r="BF302" i="1" s="1"/>
  <c r="L302" i="1"/>
  <c r="AL302" i="1" s="1"/>
  <c r="BW301" i="1"/>
  <c r="BJ301" i="1"/>
  <c r="BD301" i="1"/>
  <c r="AP301" i="1"/>
  <c r="BI301" i="1" s="1"/>
  <c r="AE301" i="1" s="1"/>
  <c r="AO301" i="1"/>
  <c r="AK301" i="1"/>
  <c r="AJ301" i="1"/>
  <c r="AH301" i="1"/>
  <c r="AG301" i="1"/>
  <c r="AF301" i="1"/>
  <c r="AC301" i="1"/>
  <c r="AB301" i="1"/>
  <c r="Z301" i="1"/>
  <c r="O301" i="1"/>
  <c r="BF301" i="1" s="1"/>
  <c r="L301" i="1"/>
  <c r="AL301" i="1" s="1"/>
  <c r="K301" i="1"/>
  <c r="BW300" i="1"/>
  <c r="BJ300" i="1"/>
  <c r="BD300" i="1"/>
  <c r="AP300" i="1"/>
  <c r="K300" i="1" s="1"/>
  <c r="AO300" i="1"/>
  <c r="AK300" i="1"/>
  <c r="AJ300" i="1"/>
  <c r="AH300" i="1"/>
  <c r="AG300" i="1"/>
  <c r="AF300" i="1"/>
  <c r="AC300" i="1"/>
  <c r="AB300" i="1"/>
  <c r="Z300" i="1"/>
  <c r="O300" i="1"/>
  <c r="BF300" i="1" s="1"/>
  <c r="L300" i="1"/>
  <c r="M300" i="1" s="1"/>
  <c r="BW297" i="1"/>
  <c r="BJ297" i="1"/>
  <c r="BD297" i="1"/>
  <c r="AP297" i="1"/>
  <c r="BI297" i="1" s="1"/>
  <c r="AC297" i="1" s="1"/>
  <c r="AO297" i="1"/>
  <c r="BH297" i="1" s="1"/>
  <c r="AB297" i="1" s="1"/>
  <c r="AK297" i="1"/>
  <c r="AJ297" i="1"/>
  <c r="AH297" i="1"/>
  <c r="AG297" i="1"/>
  <c r="AF297" i="1"/>
  <c r="AE297" i="1"/>
  <c r="AD297" i="1"/>
  <c r="Z297" i="1"/>
  <c r="O297" i="1"/>
  <c r="BF297" i="1" s="1"/>
  <c r="L297" i="1"/>
  <c r="L295" i="1" s="1"/>
  <c r="J297" i="1"/>
  <c r="BW296" i="1"/>
  <c r="BJ296" i="1"/>
  <c r="BD296" i="1"/>
  <c r="AP296" i="1"/>
  <c r="AO296" i="1"/>
  <c r="AW296" i="1" s="1"/>
  <c r="AK296" i="1"/>
  <c r="AJ296" i="1"/>
  <c r="AH296" i="1"/>
  <c r="AG296" i="1"/>
  <c r="AF296" i="1"/>
  <c r="AE296" i="1"/>
  <c r="AD296" i="1"/>
  <c r="Z296" i="1"/>
  <c r="O296" i="1"/>
  <c r="L296" i="1"/>
  <c r="AL296" i="1" s="1"/>
  <c r="BW294" i="1"/>
  <c r="BJ294" i="1"/>
  <c r="BF294" i="1"/>
  <c r="BD294" i="1"/>
  <c r="AW294" i="1"/>
  <c r="AP294" i="1"/>
  <c r="AO294" i="1"/>
  <c r="BH294" i="1" s="1"/>
  <c r="AF294" i="1" s="1"/>
  <c r="AK294" i="1"/>
  <c r="AJ294" i="1"/>
  <c r="AH294" i="1"/>
  <c r="AE294" i="1"/>
  <c r="AD294" i="1"/>
  <c r="AC294" i="1"/>
  <c r="AB294" i="1"/>
  <c r="Z294" i="1"/>
  <c r="O294" i="1"/>
  <c r="L294" i="1"/>
  <c r="AL294" i="1" s="1"/>
  <c r="BW293" i="1"/>
  <c r="BJ293" i="1"/>
  <c r="BD293" i="1"/>
  <c r="AP293" i="1"/>
  <c r="BI293" i="1" s="1"/>
  <c r="AO293" i="1"/>
  <c r="AL293" i="1"/>
  <c r="AK293" i="1"/>
  <c r="AJ293" i="1"/>
  <c r="AH293" i="1"/>
  <c r="AG293" i="1"/>
  <c r="AE293" i="1"/>
  <c r="AD293" i="1"/>
  <c r="AC293" i="1"/>
  <c r="AB293" i="1"/>
  <c r="Z293" i="1"/>
  <c r="O293" i="1"/>
  <c r="BF293" i="1" s="1"/>
  <c r="L293" i="1"/>
  <c r="BW292" i="1"/>
  <c r="M292" i="1" s="1"/>
  <c r="BJ292" i="1"/>
  <c r="BD292" i="1"/>
  <c r="AP292" i="1"/>
  <c r="BI292" i="1" s="1"/>
  <c r="AE292" i="1" s="1"/>
  <c r="AO292" i="1"/>
  <c r="AW292" i="1" s="1"/>
  <c r="AK292" i="1"/>
  <c r="AJ292" i="1"/>
  <c r="AH292" i="1"/>
  <c r="AG292" i="1"/>
  <c r="AF292" i="1"/>
  <c r="AC292" i="1"/>
  <c r="AB292" i="1"/>
  <c r="Z292" i="1"/>
  <c r="O292" i="1"/>
  <c r="BF292" i="1" s="1"/>
  <c r="L292" i="1"/>
  <c r="AL292" i="1" s="1"/>
  <c r="J292" i="1"/>
  <c r="BW291" i="1"/>
  <c r="BJ291" i="1"/>
  <c r="BF291" i="1"/>
  <c r="BD291" i="1"/>
  <c r="AP291" i="1"/>
  <c r="AO291" i="1"/>
  <c r="BH291" i="1" s="1"/>
  <c r="AD291" i="1" s="1"/>
  <c r="AK291" i="1"/>
  <c r="AJ291" i="1"/>
  <c r="AH291" i="1"/>
  <c r="AG291" i="1"/>
  <c r="AF291" i="1"/>
  <c r="AC291" i="1"/>
  <c r="AB291" i="1"/>
  <c r="Z291" i="1"/>
  <c r="O291" i="1"/>
  <c r="L291" i="1"/>
  <c r="AL291" i="1" s="1"/>
  <c r="BW290" i="1"/>
  <c r="BJ290" i="1"/>
  <c r="BD290" i="1"/>
  <c r="AP290" i="1"/>
  <c r="BI290" i="1" s="1"/>
  <c r="AE290" i="1" s="1"/>
  <c r="AO290" i="1"/>
  <c r="AK290" i="1"/>
  <c r="AJ290" i="1"/>
  <c r="AH290" i="1"/>
  <c r="AG290" i="1"/>
  <c r="AF290" i="1"/>
  <c r="AC290" i="1"/>
  <c r="AB290" i="1"/>
  <c r="Z290" i="1"/>
  <c r="O290" i="1"/>
  <c r="BF290" i="1" s="1"/>
  <c r="L290" i="1"/>
  <c r="BW289" i="1"/>
  <c r="BJ289" i="1"/>
  <c r="BI289" i="1"/>
  <c r="AE289" i="1" s="1"/>
  <c r="BD289" i="1"/>
  <c r="AP289" i="1"/>
  <c r="AX289" i="1" s="1"/>
  <c r="AO289" i="1"/>
  <c r="AW289" i="1" s="1"/>
  <c r="AK289" i="1"/>
  <c r="AJ289" i="1"/>
  <c r="AH289" i="1"/>
  <c r="AG289" i="1"/>
  <c r="AF289" i="1"/>
  <c r="AC289" i="1"/>
  <c r="AB289" i="1"/>
  <c r="Z289" i="1"/>
  <c r="O289" i="1"/>
  <c r="BF289" i="1" s="1"/>
  <c r="L289" i="1"/>
  <c r="AL289" i="1" s="1"/>
  <c r="J289" i="1"/>
  <c r="BW288" i="1"/>
  <c r="BJ288" i="1"/>
  <c r="BD288" i="1"/>
  <c r="AP288" i="1"/>
  <c r="AO288" i="1"/>
  <c r="BH288" i="1" s="1"/>
  <c r="AD288" i="1" s="1"/>
  <c r="AK288" i="1"/>
  <c r="AJ288" i="1"/>
  <c r="AH288" i="1"/>
  <c r="AG288" i="1"/>
  <c r="AF288" i="1"/>
  <c r="AC288" i="1"/>
  <c r="AB288" i="1"/>
  <c r="Z288" i="1"/>
  <c r="O288" i="1"/>
  <c r="BF288" i="1" s="1"/>
  <c r="L288" i="1"/>
  <c r="AL288" i="1" s="1"/>
  <c r="BW287" i="1"/>
  <c r="BJ287" i="1"/>
  <c r="BD287" i="1"/>
  <c r="AP287" i="1"/>
  <c r="BI287" i="1" s="1"/>
  <c r="AE287" i="1" s="1"/>
  <c r="AO287" i="1"/>
  <c r="AK287" i="1"/>
  <c r="AJ287" i="1"/>
  <c r="AH287" i="1"/>
  <c r="AG287" i="1"/>
  <c r="AF287" i="1"/>
  <c r="AC287" i="1"/>
  <c r="AB287" i="1"/>
  <c r="Z287" i="1"/>
  <c r="O287" i="1"/>
  <c r="BF287" i="1" s="1"/>
  <c r="L287" i="1"/>
  <c r="AL287" i="1" s="1"/>
  <c r="BW286" i="1"/>
  <c r="M286" i="1" s="1"/>
  <c r="BJ286" i="1"/>
  <c r="BI286" i="1"/>
  <c r="AE286" i="1" s="1"/>
  <c r="BH286" i="1"/>
  <c r="AD286" i="1" s="1"/>
  <c r="BD286" i="1"/>
  <c r="AX286" i="1"/>
  <c r="AP286" i="1"/>
  <c r="AO286" i="1"/>
  <c r="AW286" i="1" s="1"/>
  <c r="AK286" i="1"/>
  <c r="AJ286" i="1"/>
  <c r="AH286" i="1"/>
  <c r="AG286" i="1"/>
  <c r="AF286" i="1"/>
  <c r="AC286" i="1"/>
  <c r="AB286" i="1"/>
  <c r="Z286" i="1"/>
  <c r="O286" i="1"/>
  <c r="BF286" i="1" s="1"/>
  <c r="L286" i="1"/>
  <c r="AL286" i="1" s="1"/>
  <c r="K286" i="1"/>
  <c r="J286" i="1"/>
  <c r="BW285" i="1"/>
  <c r="BJ285" i="1"/>
  <c r="BD285" i="1"/>
  <c r="AP285" i="1"/>
  <c r="AO285" i="1"/>
  <c r="AK285" i="1"/>
  <c r="AJ285" i="1"/>
  <c r="AH285" i="1"/>
  <c r="AG285" i="1"/>
  <c r="AF285" i="1"/>
  <c r="AC285" i="1"/>
  <c r="AB285" i="1"/>
  <c r="Z285" i="1"/>
  <c r="O285" i="1"/>
  <c r="BF285" i="1" s="1"/>
  <c r="L285" i="1"/>
  <c r="AL285" i="1" s="1"/>
  <c r="BW282" i="1"/>
  <c r="BJ282" i="1"/>
  <c r="AH282" i="1" s="1"/>
  <c r="BH282" i="1"/>
  <c r="BD282" i="1"/>
  <c r="AP282" i="1"/>
  <c r="AO282" i="1"/>
  <c r="AW282" i="1" s="1"/>
  <c r="AK282" i="1"/>
  <c r="AJ282" i="1"/>
  <c r="AG282" i="1"/>
  <c r="AF282" i="1"/>
  <c r="AE282" i="1"/>
  <c r="AD282" i="1"/>
  <c r="AC282" i="1"/>
  <c r="AB282" i="1"/>
  <c r="Z282" i="1"/>
  <c r="O282" i="1"/>
  <c r="BF282" i="1" s="1"/>
  <c r="L282" i="1"/>
  <c r="AL282" i="1" s="1"/>
  <c r="J282" i="1"/>
  <c r="BW281" i="1"/>
  <c r="BJ281" i="1"/>
  <c r="AH281" i="1" s="1"/>
  <c r="BI281" i="1"/>
  <c r="BD281" i="1"/>
  <c r="AX281" i="1"/>
  <c r="AP281" i="1"/>
  <c r="AO281" i="1"/>
  <c r="AK281" i="1"/>
  <c r="AJ281" i="1"/>
  <c r="AG281" i="1"/>
  <c r="AF281" i="1"/>
  <c r="AE281" i="1"/>
  <c r="AD281" i="1"/>
  <c r="AC281" i="1"/>
  <c r="AB281" i="1"/>
  <c r="Z281" i="1"/>
  <c r="O281" i="1"/>
  <c r="BF281" i="1" s="1"/>
  <c r="L281" i="1"/>
  <c r="K281" i="1"/>
  <c r="BW280" i="1"/>
  <c r="BJ280" i="1"/>
  <c r="AH280" i="1" s="1"/>
  <c r="BD280" i="1"/>
  <c r="AP280" i="1"/>
  <c r="BI280" i="1" s="1"/>
  <c r="AO280" i="1"/>
  <c r="AW280" i="1" s="1"/>
  <c r="AK280" i="1"/>
  <c r="AJ280" i="1"/>
  <c r="AG280" i="1"/>
  <c r="AF280" i="1"/>
  <c r="AE280" i="1"/>
  <c r="AD280" i="1"/>
  <c r="AC280" i="1"/>
  <c r="AB280" i="1"/>
  <c r="Z280" i="1"/>
  <c r="O280" i="1"/>
  <c r="BF280" i="1" s="1"/>
  <c r="L280" i="1"/>
  <c r="AL280" i="1" s="1"/>
  <c r="K280" i="1"/>
  <c r="BW279" i="1"/>
  <c r="BJ279" i="1"/>
  <c r="AH279" i="1" s="1"/>
  <c r="BD279" i="1"/>
  <c r="AP279" i="1"/>
  <c r="AO279" i="1"/>
  <c r="AK279" i="1"/>
  <c r="AJ279" i="1"/>
  <c r="AG279" i="1"/>
  <c r="AF279" i="1"/>
  <c r="AE279" i="1"/>
  <c r="AD279" i="1"/>
  <c r="AC279" i="1"/>
  <c r="AB279" i="1"/>
  <c r="Z279" i="1"/>
  <c r="O279" i="1"/>
  <c r="BF279" i="1" s="1"/>
  <c r="L279" i="1"/>
  <c r="AL279" i="1" s="1"/>
  <c r="BW278" i="1"/>
  <c r="BJ278" i="1"/>
  <c r="AH278" i="1" s="1"/>
  <c r="BD278" i="1"/>
  <c r="AP278" i="1"/>
  <c r="BI278" i="1" s="1"/>
  <c r="AO278" i="1"/>
  <c r="AW278" i="1" s="1"/>
  <c r="AK278" i="1"/>
  <c r="AJ278" i="1"/>
  <c r="AG278" i="1"/>
  <c r="AF278" i="1"/>
  <c r="AE278" i="1"/>
  <c r="AD278" i="1"/>
  <c r="AC278" i="1"/>
  <c r="AB278" i="1"/>
  <c r="Z278" i="1"/>
  <c r="O278" i="1"/>
  <c r="BF278" i="1" s="1"/>
  <c r="L278" i="1"/>
  <c r="K278" i="1"/>
  <c r="J278" i="1"/>
  <c r="BW277" i="1"/>
  <c r="BJ277" i="1"/>
  <c r="AH277" i="1" s="1"/>
  <c r="BD277" i="1"/>
  <c r="AP277" i="1"/>
  <c r="BI277" i="1" s="1"/>
  <c r="AO277" i="1"/>
  <c r="AW277" i="1" s="1"/>
  <c r="AK277" i="1"/>
  <c r="AJ277" i="1"/>
  <c r="AG277" i="1"/>
  <c r="AF277" i="1"/>
  <c r="AE277" i="1"/>
  <c r="AD277" i="1"/>
  <c r="AC277" i="1"/>
  <c r="AB277" i="1"/>
  <c r="Z277" i="1"/>
  <c r="O277" i="1"/>
  <c r="BF277" i="1" s="1"/>
  <c r="L277" i="1"/>
  <c r="AL277" i="1" s="1"/>
  <c r="K277" i="1"/>
  <c r="BW276" i="1"/>
  <c r="BJ276" i="1"/>
  <c r="AH276" i="1" s="1"/>
  <c r="BD276" i="1"/>
  <c r="AP276" i="1"/>
  <c r="AO276" i="1"/>
  <c r="AK276" i="1"/>
  <c r="AJ276" i="1"/>
  <c r="AG276" i="1"/>
  <c r="AF276" i="1"/>
  <c r="AE276" i="1"/>
  <c r="AD276" i="1"/>
  <c r="AC276" i="1"/>
  <c r="AB276" i="1"/>
  <c r="Z276" i="1"/>
  <c r="O276" i="1"/>
  <c r="BF276" i="1" s="1"/>
  <c r="L276" i="1"/>
  <c r="AL276" i="1" s="1"/>
  <c r="BW275" i="1"/>
  <c r="BJ275" i="1"/>
  <c r="AH275" i="1" s="1"/>
  <c r="BD275" i="1"/>
  <c r="AP275" i="1"/>
  <c r="BI275" i="1" s="1"/>
  <c r="AO275" i="1"/>
  <c r="AW275" i="1" s="1"/>
  <c r="AK275" i="1"/>
  <c r="AJ275" i="1"/>
  <c r="AG275" i="1"/>
  <c r="AF275" i="1"/>
  <c r="AE275" i="1"/>
  <c r="AD275" i="1"/>
  <c r="AC275" i="1"/>
  <c r="AB275" i="1"/>
  <c r="Z275" i="1"/>
  <c r="O275" i="1"/>
  <c r="BF275" i="1" s="1"/>
  <c r="L275" i="1"/>
  <c r="J275" i="1"/>
  <c r="BW274" i="1"/>
  <c r="BJ274" i="1"/>
  <c r="AH274" i="1" s="1"/>
  <c r="BD274" i="1"/>
  <c r="AP274" i="1"/>
  <c r="BI274" i="1" s="1"/>
  <c r="AO274" i="1"/>
  <c r="AK274" i="1"/>
  <c r="AJ274" i="1"/>
  <c r="AG274" i="1"/>
  <c r="AF274" i="1"/>
  <c r="AE274" i="1"/>
  <c r="AD274" i="1"/>
  <c r="AC274" i="1"/>
  <c r="AB274" i="1"/>
  <c r="Z274" i="1"/>
  <c r="O274" i="1"/>
  <c r="BF274" i="1" s="1"/>
  <c r="L274" i="1"/>
  <c r="AL274" i="1" s="1"/>
  <c r="BW273" i="1"/>
  <c r="BJ273" i="1"/>
  <c r="AH273" i="1" s="1"/>
  <c r="BD273" i="1"/>
  <c r="AX273" i="1"/>
  <c r="AP273" i="1"/>
  <c r="BI273" i="1" s="1"/>
  <c r="AO273" i="1"/>
  <c r="AW273" i="1" s="1"/>
  <c r="AK273" i="1"/>
  <c r="AJ273" i="1"/>
  <c r="AG273" i="1"/>
  <c r="AF273" i="1"/>
  <c r="AE273" i="1"/>
  <c r="AD273" i="1"/>
  <c r="AC273" i="1"/>
  <c r="AB273" i="1"/>
  <c r="Z273" i="1"/>
  <c r="O273" i="1"/>
  <c r="BF273" i="1" s="1"/>
  <c r="L273" i="1"/>
  <c r="AL273" i="1" s="1"/>
  <c r="BW272" i="1"/>
  <c r="BJ272" i="1"/>
  <c r="AH272" i="1" s="1"/>
  <c r="BD272" i="1"/>
  <c r="AP272" i="1"/>
  <c r="K272" i="1" s="1"/>
  <c r="AO272" i="1"/>
  <c r="AW272" i="1" s="1"/>
  <c r="AK272" i="1"/>
  <c r="AJ272" i="1"/>
  <c r="AG272" i="1"/>
  <c r="AF272" i="1"/>
  <c r="AE272" i="1"/>
  <c r="AD272" i="1"/>
  <c r="AC272" i="1"/>
  <c r="AB272" i="1"/>
  <c r="Z272" i="1"/>
  <c r="O272" i="1"/>
  <c r="BF272" i="1" s="1"/>
  <c r="L272" i="1"/>
  <c r="BW271" i="1"/>
  <c r="BJ271" i="1"/>
  <c r="AH271" i="1" s="1"/>
  <c r="BI271" i="1"/>
  <c r="BD271" i="1"/>
  <c r="AP271" i="1"/>
  <c r="AO271" i="1"/>
  <c r="AW271" i="1" s="1"/>
  <c r="AK271" i="1"/>
  <c r="AJ271" i="1"/>
  <c r="AG271" i="1"/>
  <c r="AF271" i="1"/>
  <c r="AE271" i="1"/>
  <c r="AD271" i="1"/>
  <c r="AC271" i="1"/>
  <c r="AB271" i="1"/>
  <c r="Z271" i="1"/>
  <c r="O271" i="1"/>
  <c r="BF271" i="1" s="1"/>
  <c r="L271" i="1"/>
  <c r="AL271" i="1" s="1"/>
  <c r="BW270" i="1"/>
  <c r="BJ270" i="1"/>
  <c r="AH270" i="1" s="1"/>
  <c r="BI270" i="1"/>
  <c r="BD270" i="1"/>
  <c r="AP270" i="1"/>
  <c r="AO270" i="1"/>
  <c r="BH270" i="1" s="1"/>
  <c r="AK270" i="1"/>
  <c r="AJ270" i="1"/>
  <c r="AG270" i="1"/>
  <c r="AF270" i="1"/>
  <c r="AE270" i="1"/>
  <c r="AD270" i="1"/>
  <c r="AC270" i="1"/>
  <c r="AB270" i="1"/>
  <c r="Z270" i="1"/>
  <c r="O270" i="1"/>
  <c r="BF270" i="1" s="1"/>
  <c r="L270" i="1"/>
  <c r="AL270" i="1" s="1"/>
  <c r="BW269" i="1"/>
  <c r="BJ269" i="1"/>
  <c r="AH269" i="1" s="1"/>
  <c r="BD269" i="1"/>
  <c r="AP269" i="1"/>
  <c r="BI269" i="1" s="1"/>
  <c r="AO269" i="1"/>
  <c r="BH269" i="1" s="1"/>
  <c r="AK269" i="1"/>
  <c r="AJ269" i="1"/>
  <c r="AG269" i="1"/>
  <c r="AF269" i="1"/>
  <c r="AE269" i="1"/>
  <c r="AD269" i="1"/>
  <c r="AC269" i="1"/>
  <c r="AB269" i="1"/>
  <c r="Z269" i="1"/>
  <c r="O269" i="1"/>
  <c r="BF269" i="1" s="1"/>
  <c r="L269" i="1"/>
  <c r="BW268" i="1"/>
  <c r="BJ268" i="1"/>
  <c r="AH268" i="1" s="1"/>
  <c r="BD268" i="1"/>
  <c r="AP268" i="1"/>
  <c r="AX268" i="1" s="1"/>
  <c r="AO268" i="1"/>
  <c r="AK268" i="1"/>
  <c r="AJ268" i="1"/>
  <c r="AG268" i="1"/>
  <c r="AF268" i="1"/>
  <c r="AE268" i="1"/>
  <c r="AD268" i="1"/>
  <c r="AC268" i="1"/>
  <c r="AB268" i="1"/>
  <c r="Z268" i="1"/>
  <c r="O268" i="1"/>
  <c r="BF268" i="1" s="1"/>
  <c r="L268" i="1"/>
  <c r="K268" i="1"/>
  <c r="BW267" i="1"/>
  <c r="BJ267" i="1"/>
  <c r="AH267" i="1" s="1"/>
  <c r="BD267" i="1"/>
  <c r="AP267" i="1"/>
  <c r="AX267" i="1" s="1"/>
  <c r="AO267" i="1"/>
  <c r="AK267" i="1"/>
  <c r="AJ267" i="1"/>
  <c r="AG267" i="1"/>
  <c r="AF267" i="1"/>
  <c r="AE267" i="1"/>
  <c r="AD267" i="1"/>
  <c r="AC267" i="1"/>
  <c r="AB267" i="1"/>
  <c r="Z267" i="1"/>
  <c r="O267" i="1"/>
  <c r="BF267" i="1" s="1"/>
  <c r="L267" i="1"/>
  <c r="AL267" i="1" s="1"/>
  <c r="BW266" i="1"/>
  <c r="BJ266" i="1"/>
  <c r="BD266" i="1"/>
  <c r="AP266" i="1"/>
  <c r="AX266" i="1" s="1"/>
  <c r="AO266" i="1"/>
  <c r="AW266" i="1" s="1"/>
  <c r="AK266" i="1"/>
  <c r="AJ266" i="1"/>
  <c r="AH266" i="1"/>
  <c r="AG266" i="1"/>
  <c r="AF266" i="1"/>
  <c r="AE266" i="1"/>
  <c r="AD266" i="1"/>
  <c r="AC266" i="1"/>
  <c r="AB266" i="1"/>
  <c r="Z266" i="1"/>
  <c r="O266" i="1"/>
  <c r="BF266" i="1" s="1"/>
  <c r="L266" i="1"/>
  <c r="BW265" i="1"/>
  <c r="BJ265" i="1"/>
  <c r="BD265" i="1"/>
  <c r="AP265" i="1"/>
  <c r="BI265" i="1" s="1"/>
  <c r="AO265" i="1"/>
  <c r="AW265" i="1" s="1"/>
  <c r="AK265" i="1"/>
  <c r="AJ265" i="1"/>
  <c r="AH265" i="1"/>
  <c r="AG265" i="1"/>
  <c r="AF265" i="1"/>
  <c r="AE265" i="1"/>
  <c r="AD265" i="1"/>
  <c r="AC265" i="1"/>
  <c r="AB265" i="1"/>
  <c r="Z265" i="1"/>
  <c r="O265" i="1"/>
  <c r="BF265" i="1" s="1"/>
  <c r="L265" i="1"/>
  <c r="K265" i="1"/>
  <c r="BW264" i="1"/>
  <c r="BJ264" i="1"/>
  <c r="AH264" i="1" s="1"/>
  <c r="BD264" i="1"/>
  <c r="AP264" i="1"/>
  <c r="BI264" i="1" s="1"/>
  <c r="AO264" i="1"/>
  <c r="AW264" i="1" s="1"/>
  <c r="AK264" i="1"/>
  <c r="AJ264" i="1"/>
  <c r="AG264" i="1"/>
  <c r="AF264" i="1"/>
  <c r="AE264" i="1"/>
  <c r="AD264" i="1"/>
  <c r="AC264" i="1"/>
  <c r="AB264" i="1"/>
  <c r="Z264" i="1"/>
  <c r="O264" i="1"/>
  <c r="BF264" i="1" s="1"/>
  <c r="L264" i="1"/>
  <c r="AL264" i="1" s="1"/>
  <c r="J264" i="1"/>
  <c r="BW263" i="1"/>
  <c r="BJ263" i="1"/>
  <c r="BD263" i="1"/>
  <c r="AP263" i="1"/>
  <c r="BI263" i="1" s="1"/>
  <c r="AO263" i="1"/>
  <c r="AW263" i="1" s="1"/>
  <c r="AK263" i="1"/>
  <c r="AJ263" i="1"/>
  <c r="AH263" i="1"/>
  <c r="AG263" i="1"/>
  <c r="AF263" i="1"/>
  <c r="AE263" i="1"/>
  <c r="AD263" i="1"/>
  <c r="AC263" i="1"/>
  <c r="AB263" i="1"/>
  <c r="Z263" i="1"/>
  <c r="O263" i="1"/>
  <c r="BF263" i="1" s="1"/>
  <c r="L263" i="1"/>
  <c r="BW262" i="1"/>
  <c r="BJ262" i="1"/>
  <c r="AH262" i="1" s="1"/>
  <c r="BD262" i="1"/>
  <c r="AX262" i="1"/>
  <c r="AV262" i="1" s="1"/>
  <c r="AP262" i="1"/>
  <c r="BI262" i="1" s="1"/>
  <c r="AO262" i="1"/>
  <c r="AW262" i="1" s="1"/>
  <c r="AK262" i="1"/>
  <c r="AJ262" i="1"/>
  <c r="AG262" i="1"/>
  <c r="AF262" i="1"/>
  <c r="AE262" i="1"/>
  <c r="AD262" i="1"/>
  <c r="AC262" i="1"/>
  <c r="AB262" i="1"/>
  <c r="Z262" i="1"/>
  <c r="O262" i="1"/>
  <c r="BF262" i="1" s="1"/>
  <c r="L262" i="1"/>
  <c r="J262" i="1"/>
  <c r="BW261" i="1"/>
  <c r="BJ261" i="1"/>
  <c r="BF261" i="1"/>
  <c r="BD261" i="1"/>
  <c r="AP261" i="1"/>
  <c r="BI261" i="1" s="1"/>
  <c r="AO261" i="1"/>
  <c r="AW261" i="1" s="1"/>
  <c r="AK261" i="1"/>
  <c r="AJ261" i="1"/>
  <c r="AH261" i="1"/>
  <c r="AG261" i="1"/>
  <c r="AF261" i="1"/>
  <c r="AE261" i="1"/>
  <c r="AD261" i="1"/>
  <c r="AC261" i="1"/>
  <c r="AB261" i="1"/>
  <c r="Z261" i="1"/>
  <c r="O261" i="1"/>
  <c r="L261" i="1"/>
  <c r="AL261" i="1" s="1"/>
  <c r="BW260" i="1"/>
  <c r="BJ260" i="1"/>
  <c r="AH260" i="1" s="1"/>
  <c r="BD260" i="1"/>
  <c r="AP260" i="1"/>
  <c r="BI260" i="1" s="1"/>
  <c r="AO260" i="1"/>
  <c r="AW260" i="1" s="1"/>
  <c r="AK260" i="1"/>
  <c r="AJ260" i="1"/>
  <c r="AG260" i="1"/>
  <c r="AF260" i="1"/>
  <c r="AE260" i="1"/>
  <c r="AD260" i="1"/>
  <c r="AC260" i="1"/>
  <c r="AB260" i="1"/>
  <c r="Z260" i="1"/>
  <c r="O260" i="1"/>
  <c r="BF260" i="1" s="1"/>
  <c r="L260" i="1"/>
  <c r="J260" i="1"/>
  <c r="BW259" i="1"/>
  <c r="BJ259" i="1"/>
  <c r="BD259" i="1"/>
  <c r="AP259" i="1"/>
  <c r="BI259" i="1" s="1"/>
  <c r="AO259" i="1"/>
  <c r="AK259" i="1"/>
  <c r="AJ259" i="1"/>
  <c r="AH259" i="1"/>
  <c r="AG259" i="1"/>
  <c r="AF259" i="1"/>
  <c r="AE259" i="1"/>
  <c r="AD259" i="1"/>
  <c r="AC259" i="1"/>
  <c r="AB259" i="1"/>
  <c r="Z259" i="1"/>
  <c r="O259" i="1"/>
  <c r="BF259" i="1" s="1"/>
  <c r="L259" i="1"/>
  <c r="BW258" i="1"/>
  <c r="BJ258" i="1"/>
  <c r="AH258" i="1" s="1"/>
  <c r="BD258" i="1"/>
  <c r="AP258" i="1"/>
  <c r="AO258" i="1"/>
  <c r="AW258" i="1" s="1"/>
  <c r="AK258" i="1"/>
  <c r="AJ258" i="1"/>
  <c r="AG258" i="1"/>
  <c r="AF258" i="1"/>
  <c r="AE258" i="1"/>
  <c r="AD258" i="1"/>
  <c r="AC258" i="1"/>
  <c r="AB258" i="1"/>
  <c r="Z258" i="1"/>
  <c r="O258" i="1"/>
  <c r="BF258" i="1" s="1"/>
  <c r="L258" i="1"/>
  <c r="AL258" i="1" s="1"/>
  <c r="BW257" i="1"/>
  <c r="BJ257" i="1"/>
  <c r="AH257" i="1" s="1"/>
  <c r="BD257" i="1"/>
  <c r="AP257" i="1"/>
  <c r="AX257" i="1" s="1"/>
  <c r="AO257" i="1"/>
  <c r="AW257" i="1" s="1"/>
  <c r="AK257" i="1"/>
  <c r="AJ257" i="1"/>
  <c r="AG257" i="1"/>
  <c r="AF257" i="1"/>
  <c r="AE257" i="1"/>
  <c r="AD257" i="1"/>
  <c r="AC257" i="1"/>
  <c r="AB257" i="1"/>
  <c r="Z257" i="1"/>
  <c r="O257" i="1"/>
  <c r="BF257" i="1" s="1"/>
  <c r="L257" i="1"/>
  <c r="AL257" i="1" s="1"/>
  <c r="BW256" i="1"/>
  <c r="BJ256" i="1"/>
  <c r="AH256" i="1" s="1"/>
  <c r="BI256" i="1"/>
  <c r="BD256" i="1"/>
  <c r="AP256" i="1"/>
  <c r="AX256" i="1" s="1"/>
  <c r="AO256" i="1"/>
  <c r="J256" i="1" s="1"/>
  <c r="AK256" i="1"/>
  <c r="AJ256" i="1"/>
  <c r="AG256" i="1"/>
  <c r="AF256" i="1"/>
  <c r="AE256" i="1"/>
  <c r="AD256" i="1"/>
  <c r="AC256" i="1"/>
  <c r="AB256" i="1"/>
  <c r="Z256" i="1"/>
  <c r="O256" i="1"/>
  <c r="BF256" i="1" s="1"/>
  <c r="L256" i="1"/>
  <c r="BW255" i="1"/>
  <c r="BJ255" i="1"/>
  <c r="BD255" i="1"/>
  <c r="AP255" i="1"/>
  <c r="K255" i="1" s="1"/>
  <c r="AO255" i="1"/>
  <c r="AW255" i="1" s="1"/>
  <c r="AK255" i="1"/>
  <c r="AJ255" i="1"/>
  <c r="AH255" i="1"/>
  <c r="AG255" i="1"/>
  <c r="AF255" i="1"/>
  <c r="AE255" i="1"/>
  <c r="AD255" i="1"/>
  <c r="AC255" i="1"/>
  <c r="AB255" i="1"/>
  <c r="Z255" i="1"/>
  <c r="O255" i="1"/>
  <c r="BF255" i="1" s="1"/>
  <c r="L255" i="1"/>
  <c r="AL255" i="1" s="1"/>
  <c r="BW254" i="1"/>
  <c r="BJ254" i="1"/>
  <c r="AH254" i="1" s="1"/>
  <c r="BD254" i="1"/>
  <c r="AP254" i="1"/>
  <c r="BI254" i="1" s="1"/>
  <c r="AO254" i="1"/>
  <c r="BH254" i="1" s="1"/>
  <c r="AK254" i="1"/>
  <c r="AJ254" i="1"/>
  <c r="AG254" i="1"/>
  <c r="AF254" i="1"/>
  <c r="AE254" i="1"/>
  <c r="AD254" i="1"/>
  <c r="AC254" i="1"/>
  <c r="AB254" i="1"/>
  <c r="Z254" i="1"/>
  <c r="O254" i="1"/>
  <c r="BF254" i="1" s="1"/>
  <c r="L254" i="1"/>
  <c r="BW253" i="1"/>
  <c r="BJ253" i="1"/>
  <c r="BD253" i="1"/>
  <c r="AP253" i="1"/>
  <c r="BI253" i="1" s="1"/>
  <c r="AO253" i="1"/>
  <c r="J253" i="1" s="1"/>
  <c r="AK253" i="1"/>
  <c r="AJ253" i="1"/>
  <c r="AH253" i="1"/>
  <c r="AG253" i="1"/>
  <c r="AF253" i="1"/>
  <c r="AE253" i="1"/>
  <c r="AD253" i="1"/>
  <c r="AC253" i="1"/>
  <c r="AB253" i="1"/>
  <c r="Z253" i="1"/>
  <c r="O253" i="1"/>
  <c r="BF253" i="1" s="1"/>
  <c r="L253" i="1"/>
  <c r="BW252" i="1"/>
  <c r="BJ252" i="1"/>
  <c r="AH252" i="1" s="1"/>
  <c r="BD252" i="1"/>
  <c r="AP252" i="1"/>
  <c r="BI252" i="1" s="1"/>
  <c r="AO252" i="1"/>
  <c r="AW252" i="1" s="1"/>
  <c r="AK252" i="1"/>
  <c r="AJ252" i="1"/>
  <c r="AG252" i="1"/>
  <c r="AF252" i="1"/>
  <c r="AE252" i="1"/>
  <c r="AD252" i="1"/>
  <c r="AC252" i="1"/>
  <c r="AB252" i="1"/>
  <c r="Z252" i="1"/>
  <c r="O252" i="1"/>
  <c r="BF252" i="1" s="1"/>
  <c r="L252" i="1"/>
  <c r="BW251" i="1"/>
  <c r="BJ251" i="1"/>
  <c r="AH251" i="1" s="1"/>
  <c r="BD251" i="1"/>
  <c r="AP251" i="1"/>
  <c r="K251" i="1" s="1"/>
  <c r="AO251" i="1"/>
  <c r="AW251" i="1" s="1"/>
  <c r="AK251" i="1"/>
  <c r="AJ251" i="1"/>
  <c r="AG251" i="1"/>
  <c r="AF251" i="1"/>
  <c r="AE251" i="1"/>
  <c r="AD251" i="1"/>
  <c r="AC251" i="1"/>
  <c r="AB251" i="1"/>
  <c r="Z251" i="1"/>
  <c r="O251" i="1"/>
  <c r="BF251" i="1" s="1"/>
  <c r="L251" i="1"/>
  <c r="J251" i="1"/>
  <c r="BW250" i="1"/>
  <c r="BJ250" i="1"/>
  <c r="AH250" i="1" s="1"/>
  <c r="BD250" i="1"/>
  <c r="AP250" i="1"/>
  <c r="AO250" i="1"/>
  <c r="AK250" i="1"/>
  <c r="AJ250" i="1"/>
  <c r="AG250" i="1"/>
  <c r="AF250" i="1"/>
  <c r="AE250" i="1"/>
  <c r="AD250" i="1"/>
  <c r="AC250" i="1"/>
  <c r="AB250" i="1"/>
  <c r="Z250" i="1"/>
  <c r="O250" i="1"/>
  <c r="BF250" i="1" s="1"/>
  <c r="L250" i="1"/>
  <c r="AL250" i="1" s="1"/>
  <c r="BW249" i="1"/>
  <c r="BJ249" i="1"/>
  <c r="AH249" i="1" s="1"/>
  <c r="BF249" i="1"/>
  <c r="BD249" i="1"/>
  <c r="AP249" i="1"/>
  <c r="K249" i="1" s="1"/>
  <c r="AO249" i="1"/>
  <c r="BH249" i="1" s="1"/>
  <c r="AK249" i="1"/>
  <c r="AJ249" i="1"/>
  <c r="AG249" i="1"/>
  <c r="AF249" i="1"/>
  <c r="AE249" i="1"/>
  <c r="AD249" i="1"/>
  <c r="AC249" i="1"/>
  <c r="AB249" i="1"/>
  <c r="Z249" i="1"/>
  <c r="O249" i="1"/>
  <c r="L249" i="1"/>
  <c r="BW248" i="1"/>
  <c r="BJ248" i="1"/>
  <c r="AH248" i="1" s="1"/>
  <c r="BI248" i="1"/>
  <c r="BD248" i="1"/>
  <c r="AP248" i="1"/>
  <c r="AX248" i="1" s="1"/>
  <c r="AO248" i="1"/>
  <c r="AK248" i="1"/>
  <c r="AJ248" i="1"/>
  <c r="AG248" i="1"/>
  <c r="AF248" i="1"/>
  <c r="AE248" i="1"/>
  <c r="AD248" i="1"/>
  <c r="AC248" i="1"/>
  <c r="AB248" i="1"/>
  <c r="Z248" i="1"/>
  <c r="O248" i="1"/>
  <c r="BF248" i="1" s="1"/>
  <c r="L248" i="1"/>
  <c r="AL248" i="1" s="1"/>
  <c r="K248" i="1"/>
  <c r="BW247" i="1"/>
  <c r="BJ247" i="1"/>
  <c r="AH247" i="1" s="1"/>
  <c r="BD247" i="1"/>
  <c r="AP247" i="1"/>
  <c r="BI247" i="1" s="1"/>
  <c r="AO247" i="1"/>
  <c r="BH247" i="1" s="1"/>
  <c r="AK247" i="1"/>
  <c r="AJ247" i="1"/>
  <c r="AG247" i="1"/>
  <c r="AF247" i="1"/>
  <c r="AE247" i="1"/>
  <c r="AD247" i="1"/>
  <c r="AC247" i="1"/>
  <c r="AB247" i="1"/>
  <c r="Z247" i="1"/>
  <c r="O247" i="1"/>
  <c r="BF247" i="1" s="1"/>
  <c r="L247" i="1"/>
  <c r="AL247" i="1" s="1"/>
  <c r="BW246" i="1"/>
  <c r="BJ246" i="1"/>
  <c r="AH246" i="1" s="1"/>
  <c r="BH246" i="1"/>
  <c r="BD246" i="1"/>
  <c r="AW246" i="1"/>
  <c r="AP246" i="1"/>
  <c r="AO246" i="1"/>
  <c r="AK246" i="1"/>
  <c r="AJ246" i="1"/>
  <c r="AG246" i="1"/>
  <c r="AF246" i="1"/>
  <c r="AE246" i="1"/>
  <c r="AD246" i="1"/>
  <c r="AC246" i="1"/>
  <c r="AB246" i="1"/>
  <c r="Z246" i="1"/>
  <c r="O246" i="1"/>
  <c r="BF246" i="1" s="1"/>
  <c r="L246" i="1"/>
  <c r="J246" i="1"/>
  <c r="BW245" i="1"/>
  <c r="BJ245" i="1"/>
  <c r="AH245" i="1" s="1"/>
  <c r="BD245" i="1"/>
  <c r="AP245" i="1"/>
  <c r="K245" i="1" s="1"/>
  <c r="AO245" i="1"/>
  <c r="AK245" i="1"/>
  <c r="AJ245" i="1"/>
  <c r="AG245" i="1"/>
  <c r="AF245" i="1"/>
  <c r="AE245" i="1"/>
  <c r="AD245" i="1"/>
  <c r="AC245" i="1"/>
  <c r="AB245" i="1"/>
  <c r="Z245" i="1"/>
  <c r="O245" i="1"/>
  <c r="BF245" i="1" s="1"/>
  <c r="L245" i="1"/>
  <c r="AL245" i="1" s="1"/>
  <c r="BW244" i="1"/>
  <c r="BJ244" i="1"/>
  <c r="AH244" i="1" s="1"/>
  <c r="BD244" i="1"/>
  <c r="AP244" i="1"/>
  <c r="BI244" i="1" s="1"/>
  <c r="AO244" i="1"/>
  <c r="BH244" i="1" s="1"/>
  <c r="AK244" i="1"/>
  <c r="AJ244" i="1"/>
  <c r="AG244" i="1"/>
  <c r="AF244" i="1"/>
  <c r="AE244" i="1"/>
  <c r="AD244" i="1"/>
  <c r="AC244" i="1"/>
  <c r="AB244" i="1"/>
  <c r="Z244" i="1"/>
  <c r="O244" i="1"/>
  <c r="BF244" i="1" s="1"/>
  <c r="L244" i="1"/>
  <c r="M244" i="1" s="1"/>
  <c r="BW243" i="1"/>
  <c r="BJ243" i="1"/>
  <c r="BD243" i="1"/>
  <c r="AW243" i="1"/>
  <c r="AP243" i="1"/>
  <c r="AO243" i="1"/>
  <c r="J243" i="1" s="1"/>
  <c r="AK243" i="1"/>
  <c r="AJ243" i="1"/>
  <c r="AH243" i="1"/>
  <c r="AG243" i="1"/>
  <c r="AF243" i="1"/>
  <c r="AE243" i="1"/>
  <c r="AD243" i="1"/>
  <c r="AC243" i="1"/>
  <c r="AB243" i="1"/>
  <c r="Z243" i="1"/>
  <c r="O243" i="1"/>
  <c r="BF243" i="1" s="1"/>
  <c r="L243" i="1"/>
  <c r="BW242" i="1"/>
  <c r="BJ242" i="1"/>
  <c r="AH242" i="1" s="1"/>
  <c r="BI242" i="1"/>
  <c r="BD242" i="1"/>
  <c r="AP242" i="1"/>
  <c r="AX242" i="1" s="1"/>
  <c r="AO242" i="1"/>
  <c r="AK242" i="1"/>
  <c r="AJ242" i="1"/>
  <c r="AG242" i="1"/>
  <c r="AF242" i="1"/>
  <c r="AE242" i="1"/>
  <c r="AD242" i="1"/>
  <c r="AC242" i="1"/>
  <c r="AB242" i="1"/>
  <c r="Z242" i="1"/>
  <c r="O242" i="1"/>
  <c r="BF242" i="1" s="1"/>
  <c r="L242" i="1"/>
  <c r="AL242" i="1" s="1"/>
  <c r="J242" i="1"/>
  <c r="BW241" i="1"/>
  <c r="BJ241" i="1"/>
  <c r="AH241" i="1" s="1"/>
  <c r="BD241" i="1"/>
  <c r="AW241" i="1"/>
  <c r="AP241" i="1"/>
  <c r="BI241" i="1" s="1"/>
  <c r="AO241" i="1"/>
  <c r="AK241" i="1"/>
  <c r="AJ241" i="1"/>
  <c r="AG241" i="1"/>
  <c r="AF241" i="1"/>
  <c r="AE241" i="1"/>
  <c r="AD241" i="1"/>
  <c r="AC241" i="1"/>
  <c r="AB241" i="1"/>
  <c r="Z241" i="1"/>
  <c r="O241" i="1"/>
  <c r="BF241" i="1" s="1"/>
  <c r="L241" i="1"/>
  <c r="BW240" i="1"/>
  <c r="BJ240" i="1"/>
  <c r="AH240" i="1" s="1"/>
  <c r="BF240" i="1"/>
  <c r="BD240" i="1"/>
  <c r="AP240" i="1"/>
  <c r="AX240" i="1" s="1"/>
  <c r="AO240" i="1"/>
  <c r="BH240" i="1" s="1"/>
  <c r="AK240" i="1"/>
  <c r="AJ240" i="1"/>
  <c r="AG240" i="1"/>
  <c r="AF240" i="1"/>
  <c r="AE240" i="1"/>
  <c r="AD240" i="1"/>
  <c r="AC240" i="1"/>
  <c r="AB240" i="1"/>
  <c r="Z240" i="1"/>
  <c r="O240" i="1"/>
  <c r="L240" i="1"/>
  <c r="J240" i="1"/>
  <c r="BW239" i="1"/>
  <c r="BJ239" i="1"/>
  <c r="BD239" i="1"/>
  <c r="AP239" i="1"/>
  <c r="BI239" i="1" s="1"/>
  <c r="AO239" i="1"/>
  <c r="AW239" i="1" s="1"/>
  <c r="AK239" i="1"/>
  <c r="AJ239" i="1"/>
  <c r="AH239" i="1"/>
  <c r="AG239" i="1"/>
  <c r="AF239" i="1"/>
  <c r="AE239" i="1"/>
  <c r="AD239" i="1"/>
  <c r="AC239" i="1"/>
  <c r="AB239" i="1"/>
  <c r="Z239" i="1"/>
  <c r="O239" i="1"/>
  <c r="BF239" i="1" s="1"/>
  <c r="L239" i="1"/>
  <c r="AL239" i="1" s="1"/>
  <c r="BW238" i="1"/>
  <c r="BJ238" i="1"/>
  <c r="AH238" i="1" s="1"/>
  <c r="BI238" i="1"/>
  <c r="BD238" i="1"/>
  <c r="AX238" i="1"/>
  <c r="AP238" i="1"/>
  <c r="AO238" i="1"/>
  <c r="AW238" i="1" s="1"/>
  <c r="AK238" i="1"/>
  <c r="AJ238" i="1"/>
  <c r="AG238" i="1"/>
  <c r="AF238" i="1"/>
  <c r="AE238" i="1"/>
  <c r="AD238" i="1"/>
  <c r="AC238" i="1"/>
  <c r="AB238" i="1"/>
  <c r="Z238" i="1"/>
  <c r="O238" i="1"/>
  <c r="BF238" i="1" s="1"/>
  <c r="L238" i="1"/>
  <c r="K238" i="1"/>
  <c r="BW237" i="1"/>
  <c r="BJ237" i="1"/>
  <c r="AH237" i="1" s="1"/>
  <c r="BF237" i="1"/>
  <c r="BD237" i="1"/>
  <c r="AP237" i="1"/>
  <c r="AX237" i="1" s="1"/>
  <c r="AO237" i="1"/>
  <c r="AW237" i="1" s="1"/>
  <c r="AK237" i="1"/>
  <c r="AJ237" i="1"/>
  <c r="AG237" i="1"/>
  <c r="AF237" i="1"/>
  <c r="AE237" i="1"/>
  <c r="AD237" i="1"/>
  <c r="AC237" i="1"/>
  <c r="AB237" i="1"/>
  <c r="Z237" i="1"/>
  <c r="O237" i="1"/>
  <c r="L237" i="1"/>
  <c r="J237" i="1"/>
  <c r="BW236" i="1"/>
  <c r="BJ236" i="1"/>
  <c r="BH236" i="1"/>
  <c r="BD236" i="1"/>
  <c r="AP236" i="1"/>
  <c r="AX236" i="1" s="1"/>
  <c r="AO236" i="1"/>
  <c r="AW236" i="1" s="1"/>
  <c r="AK236" i="1"/>
  <c r="AJ236" i="1"/>
  <c r="AH236" i="1"/>
  <c r="AG236" i="1"/>
  <c r="AF236" i="1"/>
  <c r="AE236" i="1"/>
  <c r="AD236" i="1"/>
  <c r="AC236" i="1"/>
  <c r="AB236" i="1"/>
  <c r="Z236" i="1"/>
  <c r="O236" i="1"/>
  <c r="BF236" i="1" s="1"/>
  <c r="L236" i="1"/>
  <c r="AL236" i="1" s="1"/>
  <c r="K236" i="1"/>
  <c r="BW235" i="1"/>
  <c r="BJ235" i="1"/>
  <c r="AH235" i="1" s="1"/>
  <c r="BD235" i="1"/>
  <c r="AP235" i="1"/>
  <c r="K235" i="1" s="1"/>
  <c r="AO235" i="1"/>
  <c r="AW235" i="1" s="1"/>
  <c r="AK235" i="1"/>
  <c r="AJ235" i="1"/>
  <c r="AG235" i="1"/>
  <c r="AF235" i="1"/>
  <c r="AE235" i="1"/>
  <c r="AD235" i="1"/>
  <c r="AC235" i="1"/>
  <c r="AB235" i="1"/>
  <c r="Z235" i="1"/>
  <c r="O235" i="1"/>
  <c r="BF235" i="1" s="1"/>
  <c r="L235" i="1"/>
  <c r="BW234" i="1"/>
  <c r="BJ234" i="1"/>
  <c r="AH234" i="1" s="1"/>
  <c r="BH234" i="1"/>
  <c r="BD234" i="1"/>
  <c r="AW234" i="1"/>
  <c r="AP234" i="1"/>
  <c r="AX234" i="1" s="1"/>
  <c r="AV234" i="1" s="1"/>
  <c r="AO234" i="1"/>
  <c r="AK234" i="1"/>
  <c r="AJ234" i="1"/>
  <c r="AG234" i="1"/>
  <c r="AF234" i="1"/>
  <c r="AE234" i="1"/>
  <c r="AD234" i="1"/>
  <c r="AC234" i="1"/>
  <c r="AB234" i="1"/>
  <c r="Z234" i="1"/>
  <c r="O234" i="1"/>
  <c r="BF234" i="1" s="1"/>
  <c r="L234" i="1"/>
  <c r="J234" i="1"/>
  <c r="BW233" i="1"/>
  <c r="BJ233" i="1"/>
  <c r="BD233" i="1"/>
  <c r="AP233" i="1"/>
  <c r="K233" i="1" s="1"/>
  <c r="AO233" i="1"/>
  <c r="AW233" i="1" s="1"/>
  <c r="AK233" i="1"/>
  <c r="AJ233" i="1"/>
  <c r="AH233" i="1"/>
  <c r="AG233" i="1"/>
  <c r="AF233" i="1"/>
  <c r="AE233" i="1"/>
  <c r="AD233" i="1"/>
  <c r="AC233" i="1"/>
  <c r="AB233" i="1"/>
  <c r="Z233" i="1"/>
  <c r="O233" i="1"/>
  <c r="BF233" i="1" s="1"/>
  <c r="L233" i="1"/>
  <c r="AL233" i="1" s="1"/>
  <c r="BW232" i="1"/>
  <c r="BJ232" i="1"/>
  <c r="AH232" i="1" s="1"/>
  <c r="BD232" i="1"/>
  <c r="AP232" i="1"/>
  <c r="BI232" i="1" s="1"/>
  <c r="AO232" i="1"/>
  <c r="AW232" i="1" s="1"/>
  <c r="AK232" i="1"/>
  <c r="AJ232" i="1"/>
  <c r="AG232" i="1"/>
  <c r="AF232" i="1"/>
  <c r="AE232" i="1"/>
  <c r="AD232" i="1"/>
  <c r="AC232" i="1"/>
  <c r="AB232" i="1"/>
  <c r="Z232" i="1"/>
  <c r="O232" i="1"/>
  <c r="BF232" i="1" s="1"/>
  <c r="L232" i="1"/>
  <c r="K232" i="1"/>
  <c r="BW231" i="1"/>
  <c r="BJ231" i="1"/>
  <c r="AH231" i="1" s="1"/>
  <c r="BD231" i="1"/>
  <c r="AP231" i="1"/>
  <c r="AX231" i="1" s="1"/>
  <c r="AO231" i="1"/>
  <c r="BH231" i="1" s="1"/>
  <c r="AK231" i="1"/>
  <c r="AJ231" i="1"/>
  <c r="AG231" i="1"/>
  <c r="AF231" i="1"/>
  <c r="AE231" i="1"/>
  <c r="AD231" i="1"/>
  <c r="AC231" i="1"/>
  <c r="AB231" i="1"/>
  <c r="Z231" i="1"/>
  <c r="O231" i="1"/>
  <c r="BF231" i="1" s="1"/>
  <c r="L231" i="1"/>
  <c r="J231" i="1"/>
  <c r="BW230" i="1"/>
  <c r="BJ230" i="1"/>
  <c r="BI230" i="1"/>
  <c r="BH230" i="1"/>
  <c r="BD230" i="1"/>
  <c r="AX230" i="1"/>
  <c r="AP230" i="1"/>
  <c r="K230" i="1" s="1"/>
  <c r="AO230" i="1"/>
  <c r="AW230" i="1" s="1"/>
  <c r="AK230" i="1"/>
  <c r="AJ230" i="1"/>
  <c r="AH230" i="1"/>
  <c r="AG230" i="1"/>
  <c r="AF230" i="1"/>
  <c r="AE230" i="1"/>
  <c r="AD230" i="1"/>
  <c r="AC230" i="1"/>
  <c r="AB230" i="1"/>
  <c r="Z230" i="1"/>
  <c r="O230" i="1"/>
  <c r="BF230" i="1" s="1"/>
  <c r="L230" i="1"/>
  <c r="AL230" i="1" s="1"/>
  <c r="BW229" i="1"/>
  <c r="BJ229" i="1"/>
  <c r="AH229" i="1" s="1"/>
  <c r="BD229" i="1"/>
  <c r="AP229" i="1"/>
  <c r="BI229" i="1" s="1"/>
  <c r="AO229" i="1"/>
  <c r="AW229" i="1" s="1"/>
  <c r="AK229" i="1"/>
  <c r="AJ229" i="1"/>
  <c r="AG229" i="1"/>
  <c r="AF229" i="1"/>
  <c r="AE229" i="1"/>
  <c r="AD229" i="1"/>
  <c r="AC229" i="1"/>
  <c r="AB229" i="1"/>
  <c r="Z229" i="1"/>
  <c r="O229" i="1"/>
  <c r="BF229" i="1" s="1"/>
  <c r="L229" i="1"/>
  <c r="BW228" i="1"/>
  <c r="BJ228" i="1"/>
  <c r="AH228" i="1" s="1"/>
  <c r="BD228" i="1"/>
  <c r="AP228" i="1"/>
  <c r="AX228" i="1" s="1"/>
  <c r="AO228" i="1"/>
  <c r="AW228" i="1" s="1"/>
  <c r="AK228" i="1"/>
  <c r="AJ228" i="1"/>
  <c r="AG228" i="1"/>
  <c r="AF228" i="1"/>
  <c r="AE228" i="1"/>
  <c r="AD228" i="1"/>
  <c r="AC228" i="1"/>
  <c r="AB228" i="1"/>
  <c r="Z228" i="1"/>
  <c r="O228" i="1"/>
  <c r="BF228" i="1" s="1"/>
  <c r="L228" i="1"/>
  <c r="J228" i="1"/>
  <c r="BW227" i="1"/>
  <c r="BJ227" i="1"/>
  <c r="AH227" i="1" s="1"/>
  <c r="BF227" i="1"/>
  <c r="BD227" i="1"/>
  <c r="AP227" i="1"/>
  <c r="BI227" i="1" s="1"/>
  <c r="AO227" i="1"/>
  <c r="AW227" i="1" s="1"/>
  <c r="AK227" i="1"/>
  <c r="AJ227" i="1"/>
  <c r="AG227" i="1"/>
  <c r="AF227" i="1"/>
  <c r="AE227" i="1"/>
  <c r="AD227" i="1"/>
  <c r="AC227" i="1"/>
  <c r="AB227" i="1"/>
  <c r="Z227" i="1"/>
  <c r="O227" i="1"/>
  <c r="L227" i="1"/>
  <c r="AL227" i="1" s="1"/>
  <c r="BW225" i="1"/>
  <c r="BJ225" i="1"/>
  <c r="Z225" i="1" s="1"/>
  <c r="BD225" i="1"/>
  <c r="AX225" i="1"/>
  <c r="AP225" i="1"/>
  <c r="BI225" i="1" s="1"/>
  <c r="AO225" i="1"/>
  <c r="AK225" i="1"/>
  <c r="AJ225" i="1"/>
  <c r="AH225" i="1"/>
  <c r="AG225" i="1"/>
  <c r="AF225" i="1"/>
  <c r="AE225" i="1"/>
  <c r="AD225" i="1"/>
  <c r="AC225" i="1"/>
  <c r="AB225" i="1"/>
  <c r="O225" i="1"/>
  <c r="O224" i="1" s="1"/>
  <c r="L225" i="1"/>
  <c r="AL225" i="1" s="1"/>
  <c r="AU224" i="1" s="1"/>
  <c r="K225" i="1"/>
  <c r="K224" i="1" s="1"/>
  <c r="AT224" i="1"/>
  <c r="AS224" i="1"/>
  <c r="BW223" i="1"/>
  <c r="BJ223" i="1"/>
  <c r="BD223" i="1"/>
  <c r="AP223" i="1"/>
  <c r="BI223" i="1" s="1"/>
  <c r="AC223" i="1" s="1"/>
  <c r="AO223" i="1"/>
  <c r="BH223" i="1" s="1"/>
  <c r="AB223" i="1" s="1"/>
  <c r="AK223" i="1"/>
  <c r="AT222" i="1" s="1"/>
  <c r="AJ223" i="1"/>
  <c r="AS222" i="1" s="1"/>
  <c r="AH223" i="1"/>
  <c r="AG223" i="1"/>
  <c r="AF223" i="1"/>
  <c r="AE223" i="1"/>
  <c r="AD223" i="1"/>
  <c r="Z223" i="1"/>
  <c r="O223" i="1"/>
  <c r="L223" i="1"/>
  <c r="AL223" i="1" s="1"/>
  <c r="AU222" i="1" s="1"/>
  <c r="K223" i="1"/>
  <c r="K222" i="1" s="1"/>
  <c r="BW221" i="1"/>
  <c r="BJ221" i="1"/>
  <c r="BD221" i="1"/>
  <c r="AP221" i="1"/>
  <c r="BI221" i="1" s="1"/>
  <c r="AC221" i="1" s="1"/>
  <c r="AO221" i="1"/>
  <c r="AW221" i="1" s="1"/>
  <c r="AK221" i="1"/>
  <c r="AT220" i="1" s="1"/>
  <c r="AJ221" i="1"/>
  <c r="AS220" i="1" s="1"/>
  <c r="AH221" i="1"/>
  <c r="AG221" i="1"/>
  <c r="AF221" i="1"/>
  <c r="AE221" i="1"/>
  <c r="AD221" i="1"/>
  <c r="Z221" i="1"/>
  <c r="O221" i="1"/>
  <c r="BF221" i="1" s="1"/>
  <c r="L221" i="1"/>
  <c r="M221" i="1" s="1"/>
  <c r="M220" i="1" s="1"/>
  <c r="K221" i="1"/>
  <c r="K220" i="1" s="1"/>
  <c r="J221" i="1"/>
  <c r="J220" i="1" s="1"/>
  <c r="O220" i="1"/>
  <c r="L220" i="1"/>
  <c r="BW219" i="1"/>
  <c r="BJ219" i="1"/>
  <c r="BD219" i="1"/>
  <c r="AP219" i="1"/>
  <c r="BI219" i="1" s="1"/>
  <c r="AC219" i="1" s="1"/>
  <c r="AO219" i="1"/>
  <c r="AK219" i="1"/>
  <c r="AJ219" i="1"/>
  <c r="AH219" i="1"/>
  <c r="AG219" i="1"/>
  <c r="AF219" i="1"/>
  <c r="AE219" i="1"/>
  <c r="AD219" i="1"/>
  <c r="Z219" i="1"/>
  <c r="O219" i="1"/>
  <c r="BF219" i="1" s="1"/>
  <c r="L219" i="1"/>
  <c r="AL219" i="1" s="1"/>
  <c r="K219" i="1"/>
  <c r="BW218" i="1"/>
  <c r="BJ218" i="1"/>
  <c r="BD218" i="1"/>
  <c r="AP218" i="1"/>
  <c r="AO218" i="1"/>
  <c r="AL218" i="1"/>
  <c r="AK218" i="1"/>
  <c r="AJ218" i="1"/>
  <c r="AH218" i="1"/>
  <c r="AG218" i="1"/>
  <c r="AF218" i="1"/>
  <c r="AE218" i="1"/>
  <c r="AD218" i="1"/>
  <c r="Z218" i="1"/>
  <c r="O218" i="1"/>
  <c r="BF218" i="1" s="1"/>
  <c r="M218" i="1"/>
  <c r="L218" i="1"/>
  <c r="BW217" i="1"/>
  <c r="BJ217" i="1"/>
  <c r="BD217" i="1"/>
  <c r="AP217" i="1"/>
  <c r="AX217" i="1" s="1"/>
  <c r="AO217" i="1"/>
  <c r="BH217" i="1" s="1"/>
  <c r="AB217" i="1" s="1"/>
  <c r="AK217" i="1"/>
  <c r="AJ217" i="1"/>
  <c r="AH217" i="1"/>
  <c r="AG217" i="1"/>
  <c r="AF217" i="1"/>
  <c r="AE217" i="1"/>
  <c r="AD217" i="1"/>
  <c r="Z217" i="1"/>
  <c r="O217" i="1"/>
  <c r="BF217" i="1" s="1"/>
  <c r="L217" i="1"/>
  <c r="J217" i="1"/>
  <c r="BW216" i="1"/>
  <c r="BJ216" i="1"/>
  <c r="BD216" i="1"/>
  <c r="AP216" i="1"/>
  <c r="AX216" i="1" s="1"/>
  <c r="AO216" i="1"/>
  <c r="AW216" i="1" s="1"/>
  <c r="AK216" i="1"/>
  <c r="AJ216" i="1"/>
  <c r="AH216" i="1"/>
  <c r="AG216" i="1"/>
  <c r="AF216" i="1"/>
  <c r="AE216" i="1"/>
  <c r="AD216" i="1"/>
  <c r="Z216" i="1"/>
  <c r="O216" i="1"/>
  <c r="BF216" i="1" s="1"/>
  <c r="L216" i="1"/>
  <c r="M216" i="1" s="1"/>
  <c r="K216" i="1"/>
  <c r="J216" i="1"/>
  <c r="BW215" i="1"/>
  <c r="BJ215" i="1"/>
  <c r="BH215" i="1"/>
  <c r="AB215" i="1" s="1"/>
  <c r="BD215" i="1"/>
  <c r="AP215" i="1"/>
  <c r="BI215" i="1" s="1"/>
  <c r="AC215" i="1" s="1"/>
  <c r="AO215" i="1"/>
  <c r="AW215" i="1" s="1"/>
  <c r="AK215" i="1"/>
  <c r="AJ215" i="1"/>
  <c r="AH215" i="1"/>
  <c r="AG215" i="1"/>
  <c r="AF215" i="1"/>
  <c r="AE215" i="1"/>
  <c r="AD215" i="1"/>
  <c r="Z215" i="1"/>
  <c r="O215" i="1"/>
  <c r="BF215" i="1" s="1"/>
  <c r="L215" i="1"/>
  <c r="K215" i="1"/>
  <c r="BW214" i="1"/>
  <c r="BJ214" i="1"/>
  <c r="BD214" i="1"/>
  <c r="AP214" i="1"/>
  <c r="AO214" i="1"/>
  <c r="BH214" i="1" s="1"/>
  <c r="AB214" i="1" s="1"/>
  <c r="AK214" i="1"/>
  <c r="AJ214" i="1"/>
  <c r="AH214" i="1"/>
  <c r="AG214" i="1"/>
  <c r="AF214" i="1"/>
  <c r="AE214" i="1"/>
  <c r="AD214" i="1"/>
  <c r="Z214" i="1"/>
  <c r="O214" i="1"/>
  <c r="BF214" i="1" s="1"/>
  <c r="L214" i="1"/>
  <c r="BW213" i="1"/>
  <c r="BJ213" i="1"/>
  <c r="BD213" i="1"/>
  <c r="AP213" i="1"/>
  <c r="BI213" i="1" s="1"/>
  <c r="AC213" i="1" s="1"/>
  <c r="AO213" i="1"/>
  <c r="BH213" i="1" s="1"/>
  <c r="AB213" i="1" s="1"/>
  <c r="AK213" i="1"/>
  <c r="AJ213" i="1"/>
  <c r="AH213" i="1"/>
  <c r="AG213" i="1"/>
  <c r="AF213" i="1"/>
  <c r="AE213" i="1"/>
  <c r="AD213" i="1"/>
  <c r="Z213" i="1"/>
  <c r="O213" i="1"/>
  <c r="L213" i="1"/>
  <c r="AL213" i="1" s="1"/>
  <c r="K213" i="1"/>
  <c r="BW212" i="1"/>
  <c r="BJ212" i="1"/>
  <c r="BD212" i="1"/>
  <c r="AW212" i="1"/>
  <c r="AP212" i="1"/>
  <c r="AO212" i="1"/>
  <c r="BH212" i="1" s="1"/>
  <c r="AB212" i="1" s="1"/>
  <c r="AK212" i="1"/>
  <c r="AJ212" i="1"/>
  <c r="AH212" i="1"/>
  <c r="AG212" i="1"/>
  <c r="AF212" i="1"/>
  <c r="AE212" i="1"/>
  <c r="AD212" i="1"/>
  <c r="Z212" i="1"/>
  <c r="O212" i="1"/>
  <c r="BF212" i="1" s="1"/>
  <c r="L212" i="1"/>
  <c r="K212" i="1"/>
  <c r="J212" i="1"/>
  <c r="BW210" i="1"/>
  <c r="BJ210" i="1"/>
  <c r="BH210" i="1"/>
  <c r="AD210" i="1" s="1"/>
  <c r="BD210" i="1"/>
  <c r="AP210" i="1"/>
  <c r="AX210" i="1" s="1"/>
  <c r="AO210" i="1"/>
  <c r="AW210" i="1" s="1"/>
  <c r="AK210" i="1"/>
  <c r="AT209" i="1" s="1"/>
  <c r="AJ210" i="1"/>
  <c r="AS209" i="1" s="1"/>
  <c r="AH210" i="1"/>
  <c r="AG210" i="1"/>
  <c r="AF210" i="1"/>
  <c r="AC210" i="1"/>
  <c r="AB210" i="1"/>
  <c r="Z210" i="1"/>
  <c r="O210" i="1"/>
  <c r="BF210" i="1" s="1"/>
  <c r="L210" i="1"/>
  <c r="M210" i="1" s="1"/>
  <c r="M209" i="1" s="1"/>
  <c r="K210" i="1"/>
  <c r="J210" i="1"/>
  <c r="J209" i="1" s="1"/>
  <c r="O209" i="1"/>
  <c r="L209" i="1"/>
  <c r="K209" i="1"/>
  <c r="BW208" i="1"/>
  <c r="BJ208" i="1"/>
  <c r="BD208" i="1"/>
  <c r="AP208" i="1"/>
  <c r="K208" i="1" s="1"/>
  <c r="AO208" i="1"/>
  <c r="AK208" i="1"/>
  <c r="AJ208" i="1"/>
  <c r="AH208" i="1"/>
  <c r="AG208" i="1"/>
  <c r="AF208" i="1"/>
  <c r="AC208" i="1"/>
  <c r="AB208" i="1"/>
  <c r="Z208" i="1"/>
  <c r="O208" i="1"/>
  <c r="BF208" i="1" s="1"/>
  <c r="L208" i="1"/>
  <c r="BW207" i="1"/>
  <c r="BJ207" i="1"/>
  <c r="BD207" i="1"/>
  <c r="AP207" i="1"/>
  <c r="AO207" i="1"/>
  <c r="AW207" i="1" s="1"/>
  <c r="AK207" i="1"/>
  <c r="AJ207" i="1"/>
  <c r="AH207" i="1"/>
  <c r="AG207" i="1"/>
  <c r="AF207" i="1"/>
  <c r="AC207" i="1"/>
  <c r="AB207" i="1"/>
  <c r="Z207" i="1"/>
  <c r="O207" i="1"/>
  <c r="BF207" i="1" s="1"/>
  <c r="L207" i="1"/>
  <c r="AL207" i="1" s="1"/>
  <c r="J207" i="1"/>
  <c r="BW206" i="1"/>
  <c r="BJ206" i="1"/>
  <c r="BI206" i="1"/>
  <c r="AE206" i="1" s="1"/>
  <c r="BF206" i="1"/>
  <c r="BD206" i="1"/>
  <c r="AP206" i="1"/>
  <c r="AX206" i="1" s="1"/>
  <c r="AO206" i="1"/>
  <c r="AW206" i="1" s="1"/>
  <c r="BC206" i="1" s="1"/>
  <c r="AK206" i="1"/>
  <c r="AJ206" i="1"/>
  <c r="AH206" i="1"/>
  <c r="AG206" i="1"/>
  <c r="AF206" i="1"/>
  <c r="AC206" i="1"/>
  <c r="AB206" i="1"/>
  <c r="Z206" i="1"/>
  <c r="O206" i="1"/>
  <c r="L206" i="1"/>
  <c r="K206" i="1"/>
  <c r="BW205" i="1"/>
  <c r="BJ205" i="1"/>
  <c r="BD205" i="1"/>
  <c r="AP205" i="1"/>
  <c r="AO205" i="1"/>
  <c r="BH205" i="1" s="1"/>
  <c r="AD205" i="1" s="1"/>
  <c r="AK205" i="1"/>
  <c r="AJ205" i="1"/>
  <c r="AH205" i="1"/>
  <c r="AG205" i="1"/>
  <c r="AF205" i="1"/>
  <c r="AC205" i="1"/>
  <c r="AB205" i="1"/>
  <c r="Z205" i="1"/>
  <c r="O205" i="1"/>
  <c r="BF205" i="1" s="1"/>
  <c r="L205" i="1"/>
  <c r="AL205" i="1" s="1"/>
  <c r="K205" i="1"/>
  <c r="J205" i="1"/>
  <c r="BW204" i="1"/>
  <c r="BJ204" i="1"/>
  <c r="BD204" i="1"/>
  <c r="AP204" i="1"/>
  <c r="AO204" i="1"/>
  <c r="AK204" i="1"/>
  <c r="AJ204" i="1"/>
  <c r="AH204" i="1"/>
  <c r="AG204" i="1"/>
  <c r="AF204" i="1"/>
  <c r="AC204" i="1"/>
  <c r="AB204" i="1"/>
  <c r="Z204" i="1"/>
  <c r="O204" i="1"/>
  <c r="BF204" i="1" s="1"/>
  <c r="L204" i="1"/>
  <c r="AL204" i="1" s="1"/>
  <c r="BW203" i="1"/>
  <c r="BJ203" i="1"/>
  <c r="BD203" i="1"/>
  <c r="AP203" i="1"/>
  <c r="BI203" i="1" s="1"/>
  <c r="AE203" i="1" s="1"/>
  <c r="AO203" i="1"/>
  <c r="AW203" i="1" s="1"/>
  <c r="AK203" i="1"/>
  <c r="AJ203" i="1"/>
  <c r="AH203" i="1"/>
  <c r="AG203" i="1"/>
  <c r="AF203" i="1"/>
  <c r="AC203" i="1"/>
  <c r="AB203" i="1"/>
  <c r="Z203" i="1"/>
  <c r="O203" i="1"/>
  <c r="BF203" i="1" s="1"/>
  <c r="L203" i="1"/>
  <c r="K203" i="1"/>
  <c r="BW202" i="1"/>
  <c r="BJ202" i="1"/>
  <c r="BD202" i="1"/>
  <c r="AP202" i="1"/>
  <c r="AX202" i="1" s="1"/>
  <c r="AO202" i="1"/>
  <c r="BH202" i="1" s="1"/>
  <c r="AD202" i="1" s="1"/>
  <c r="AK202" i="1"/>
  <c r="AJ202" i="1"/>
  <c r="AH202" i="1"/>
  <c r="AG202" i="1"/>
  <c r="AF202" i="1"/>
  <c r="AC202" i="1"/>
  <c r="AB202" i="1"/>
  <c r="Z202" i="1"/>
  <c r="O202" i="1"/>
  <c r="BF202" i="1" s="1"/>
  <c r="L202" i="1"/>
  <c r="AL202" i="1" s="1"/>
  <c r="K202" i="1"/>
  <c r="J202" i="1"/>
  <c r="BW201" i="1"/>
  <c r="BJ201" i="1"/>
  <c r="BD201" i="1"/>
  <c r="AP201" i="1"/>
  <c r="AO201" i="1"/>
  <c r="AK201" i="1"/>
  <c r="AJ201" i="1"/>
  <c r="AH201" i="1"/>
  <c r="AG201" i="1"/>
  <c r="AF201" i="1"/>
  <c r="AC201" i="1"/>
  <c r="AB201" i="1"/>
  <c r="Z201" i="1"/>
  <c r="O201" i="1"/>
  <c r="BF201" i="1" s="1"/>
  <c r="L201" i="1"/>
  <c r="M201" i="1" s="1"/>
  <c r="BW200" i="1"/>
  <c r="BJ200" i="1"/>
  <c r="BF200" i="1"/>
  <c r="BD200" i="1"/>
  <c r="AP200" i="1"/>
  <c r="K200" i="1" s="1"/>
  <c r="AO200" i="1"/>
  <c r="BH200" i="1" s="1"/>
  <c r="AD200" i="1" s="1"/>
  <c r="AK200" i="1"/>
  <c r="AJ200" i="1"/>
  <c r="AH200" i="1"/>
  <c r="AG200" i="1"/>
  <c r="AF200" i="1"/>
  <c r="AC200" i="1"/>
  <c r="AB200" i="1"/>
  <c r="Z200" i="1"/>
  <c r="O200" i="1"/>
  <c r="L200" i="1"/>
  <c r="BW199" i="1"/>
  <c r="BJ199" i="1"/>
  <c r="BD199" i="1"/>
  <c r="AP199" i="1"/>
  <c r="AX199" i="1" s="1"/>
  <c r="AO199" i="1"/>
  <c r="BH199" i="1" s="1"/>
  <c r="AD199" i="1" s="1"/>
  <c r="AK199" i="1"/>
  <c r="AJ199" i="1"/>
  <c r="AH199" i="1"/>
  <c r="AG199" i="1"/>
  <c r="AF199" i="1"/>
  <c r="AC199" i="1"/>
  <c r="AB199" i="1"/>
  <c r="Z199" i="1"/>
  <c r="O199" i="1"/>
  <c r="BF199" i="1" s="1"/>
  <c r="L199" i="1"/>
  <c r="AL199" i="1" s="1"/>
  <c r="K199" i="1"/>
  <c r="J199" i="1"/>
  <c r="BW198" i="1"/>
  <c r="BJ198" i="1"/>
  <c r="BD198" i="1"/>
  <c r="AP198" i="1"/>
  <c r="AO198" i="1"/>
  <c r="AL198" i="1"/>
  <c r="AK198" i="1"/>
  <c r="AJ198" i="1"/>
  <c r="AH198" i="1"/>
  <c r="AG198" i="1"/>
  <c r="AF198" i="1"/>
  <c r="AC198" i="1"/>
  <c r="AB198" i="1"/>
  <c r="Z198" i="1"/>
  <c r="O198" i="1"/>
  <c r="BF198" i="1" s="1"/>
  <c r="M198" i="1"/>
  <c r="L198" i="1"/>
  <c r="BW197" i="1"/>
  <c r="BJ197" i="1"/>
  <c r="BD197" i="1"/>
  <c r="AP197" i="1"/>
  <c r="BI197" i="1" s="1"/>
  <c r="AE197" i="1" s="1"/>
  <c r="AO197" i="1"/>
  <c r="BH197" i="1" s="1"/>
  <c r="AD197" i="1" s="1"/>
  <c r="AK197" i="1"/>
  <c r="AJ197" i="1"/>
  <c r="AH197" i="1"/>
  <c r="AG197" i="1"/>
  <c r="AF197" i="1"/>
  <c r="AC197" i="1"/>
  <c r="AB197" i="1"/>
  <c r="Z197" i="1"/>
  <c r="O197" i="1"/>
  <c r="BF197" i="1" s="1"/>
  <c r="L197" i="1"/>
  <c r="K197" i="1"/>
  <c r="BW196" i="1"/>
  <c r="BJ196" i="1"/>
  <c r="BD196" i="1"/>
  <c r="AP196" i="1"/>
  <c r="AX196" i="1" s="1"/>
  <c r="AO196" i="1"/>
  <c r="BH196" i="1" s="1"/>
  <c r="AD196" i="1" s="1"/>
  <c r="AK196" i="1"/>
  <c r="AJ196" i="1"/>
  <c r="AH196" i="1"/>
  <c r="AG196" i="1"/>
  <c r="AF196" i="1"/>
  <c r="AC196" i="1"/>
  <c r="AB196" i="1"/>
  <c r="Z196" i="1"/>
  <c r="O196" i="1"/>
  <c r="BF196" i="1" s="1"/>
  <c r="L196" i="1"/>
  <c r="AL196" i="1" s="1"/>
  <c r="K196" i="1"/>
  <c r="J196" i="1"/>
  <c r="BW195" i="1"/>
  <c r="BJ195" i="1"/>
  <c r="BD195" i="1"/>
  <c r="AP195" i="1"/>
  <c r="AO195" i="1"/>
  <c r="AK195" i="1"/>
  <c r="AJ195" i="1"/>
  <c r="AH195" i="1"/>
  <c r="AG195" i="1"/>
  <c r="AF195" i="1"/>
  <c r="AC195" i="1"/>
  <c r="AB195" i="1"/>
  <c r="Z195" i="1"/>
  <c r="O195" i="1"/>
  <c r="BF195" i="1" s="1"/>
  <c r="M195" i="1"/>
  <c r="L195" i="1"/>
  <c r="AL195" i="1" s="1"/>
  <c r="BW194" i="1"/>
  <c r="BJ194" i="1"/>
  <c r="BD194" i="1"/>
  <c r="AP194" i="1"/>
  <c r="BI194" i="1" s="1"/>
  <c r="AE194" i="1" s="1"/>
  <c r="AO194" i="1"/>
  <c r="BH194" i="1" s="1"/>
  <c r="AD194" i="1" s="1"/>
  <c r="AK194" i="1"/>
  <c r="AJ194" i="1"/>
  <c r="AH194" i="1"/>
  <c r="AG194" i="1"/>
  <c r="AF194" i="1"/>
  <c r="AC194" i="1"/>
  <c r="AB194" i="1"/>
  <c r="Z194" i="1"/>
  <c r="O194" i="1"/>
  <c r="BF194" i="1" s="1"/>
  <c r="L194" i="1"/>
  <c r="K194" i="1"/>
  <c r="BW193" i="1"/>
  <c r="BJ193" i="1"/>
  <c r="BD193" i="1"/>
  <c r="AP193" i="1"/>
  <c r="K193" i="1" s="1"/>
  <c r="AO193" i="1"/>
  <c r="BH193" i="1" s="1"/>
  <c r="AD193" i="1" s="1"/>
  <c r="AK193" i="1"/>
  <c r="AJ193" i="1"/>
  <c r="AH193" i="1"/>
  <c r="AG193" i="1"/>
  <c r="AF193" i="1"/>
  <c r="AC193" i="1"/>
  <c r="AB193" i="1"/>
  <c r="Z193" i="1"/>
  <c r="O193" i="1"/>
  <c r="BF193" i="1" s="1"/>
  <c r="L193" i="1"/>
  <c r="AL193" i="1" s="1"/>
  <c r="J193" i="1"/>
  <c r="BW192" i="1"/>
  <c r="BJ192" i="1"/>
  <c r="BD192" i="1"/>
  <c r="AP192" i="1"/>
  <c r="AO192" i="1"/>
  <c r="AK192" i="1"/>
  <c r="AJ192" i="1"/>
  <c r="AH192" i="1"/>
  <c r="AG192" i="1"/>
  <c r="AF192" i="1"/>
  <c r="AC192" i="1"/>
  <c r="AB192" i="1"/>
  <c r="Z192" i="1"/>
  <c r="O192" i="1"/>
  <c r="BF192" i="1" s="1"/>
  <c r="L192" i="1"/>
  <c r="AL192" i="1" s="1"/>
  <c r="BW191" i="1"/>
  <c r="BJ191" i="1"/>
  <c r="BD191" i="1"/>
  <c r="AP191" i="1"/>
  <c r="BI191" i="1" s="1"/>
  <c r="AE191" i="1" s="1"/>
  <c r="AO191" i="1"/>
  <c r="BH191" i="1" s="1"/>
  <c r="AD191" i="1" s="1"/>
  <c r="AK191" i="1"/>
  <c r="AJ191" i="1"/>
  <c r="AH191" i="1"/>
  <c r="AG191" i="1"/>
  <c r="AF191" i="1"/>
  <c r="AC191" i="1"/>
  <c r="AB191" i="1"/>
  <c r="Z191" i="1"/>
  <c r="O191" i="1"/>
  <c r="BF191" i="1" s="1"/>
  <c r="L191" i="1"/>
  <c r="K191" i="1"/>
  <c r="BW190" i="1"/>
  <c r="BJ190" i="1"/>
  <c r="BD190" i="1"/>
  <c r="AP190" i="1"/>
  <c r="AX190" i="1" s="1"/>
  <c r="AO190" i="1"/>
  <c r="AW190" i="1" s="1"/>
  <c r="AK190" i="1"/>
  <c r="AJ190" i="1"/>
  <c r="AH190" i="1"/>
  <c r="AG190" i="1"/>
  <c r="AF190" i="1"/>
  <c r="AC190" i="1"/>
  <c r="AB190" i="1"/>
  <c r="Z190" i="1"/>
  <c r="O190" i="1"/>
  <c r="BF190" i="1" s="1"/>
  <c r="L190" i="1"/>
  <c r="AL190" i="1" s="1"/>
  <c r="K190" i="1"/>
  <c r="J190" i="1"/>
  <c r="BW189" i="1"/>
  <c r="BJ189" i="1"/>
  <c r="BD189" i="1"/>
  <c r="AP189" i="1"/>
  <c r="AO189" i="1"/>
  <c r="AK189" i="1"/>
  <c r="AJ189" i="1"/>
  <c r="AH189" i="1"/>
  <c r="AG189" i="1"/>
  <c r="AF189" i="1"/>
  <c r="AC189" i="1"/>
  <c r="AB189" i="1"/>
  <c r="Z189" i="1"/>
  <c r="O189" i="1"/>
  <c r="BF189" i="1" s="1"/>
  <c r="M189" i="1"/>
  <c r="L189" i="1"/>
  <c r="AL189" i="1" s="1"/>
  <c r="BW188" i="1"/>
  <c r="BJ188" i="1"/>
  <c r="BD188" i="1"/>
  <c r="AP188" i="1"/>
  <c r="BI188" i="1" s="1"/>
  <c r="AE188" i="1" s="1"/>
  <c r="AO188" i="1"/>
  <c r="BH188" i="1" s="1"/>
  <c r="AD188" i="1" s="1"/>
  <c r="AK188" i="1"/>
  <c r="AJ188" i="1"/>
  <c r="AH188" i="1"/>
  <c r="AG188" i="1"/>
  <c r="AF188" i="1"/>
  <c r="AC188" i="1"/>
  <c r="AB188" i="1"/>
  <c r="Z188" i="1"/>
  <c r="O188" i="1"/>
  <c r="BF188" i="1" s="1"/>
  <c r="L188" i="1"/>
  <c r="K188" i="1"/>
  <c r="J188" i="1"/>
  <c r="BW187" i="1"/>
  <c r="BJ187" i="1"/>
  <c r="BD187" i="1"/>
  <c r="AP187" i="1"/>
  <c r="AX187" i="1" s="1"/>
  <c r="AO187" i="1"/>
  <c r="AW187" i="1" s="1"/>
  <c r="AK187" i="1"/>
  <c r="AJ187" i="1"/>
  <c r="AH187" i="1"/>
  <c r="AG187" i="1"/>
  <c r="AF187" i="1"/>
  <c r="AC187" i="1"/>
  <c r="AB187" i="1"/>
  <c r="Z187" i="1"/>
  <c r="O187" i="1"/>
  <c r="BF187" i="1" s="1"/>
  <c r="L187" i="1"/>
  <c r="AL187" i="1" s="1"/>
  <c r="K187" i="1"/>
  <c r="J187" i="1"/>
  <c r="BW186" i="1"/>
  <c r="BJ186" i="1"/>
  <c r="BD186" i="1"/>
  <c r="AP186" i="1"/>
  <c r="AO186" i="1"/>
  <c r="AK186" i="1"/>
  <c r="AJ186" i="1"/>
  <c r="AH186" i="1"/>
  <c r="AG186" i="1"/>
  <c r="AF186" i="1"/>
  <c r="AC186" i="1"/>
  <c r="AB186" i="1"/>
  <c r="Z186" i="1"/>
  <c r="O186" i="1"/>
  <c r="BF186" i="1" s="1"/>
  <c r="L186" i="1"/>
  <c r="AL186" i="1" s="1"/>
  <c r="BW185" i="1"/>
  <c r="BJ185" i="1"/>
  <c r="BD185" i="1"/>
  <c r="AP185" i="1"/>
  <c r="BI185" i="1" s="1"/>
  <c r="AE185" i="1" s="1"/>
  <c r="AO185" i="1"/>
  <c r="AW185" i="1" s="1"/>
  <c r="AK185" i="1"/>
  <c r="AJ185" i="1"/>
  <c r="AH185" i="1"/>
  <c r="AG185" i="1"/>
  <c r="AF185" i="1"/>
  <c r="AC185" i="1"/>
  <c r="AB185" i="1"/>
  <c r="Z185" i="1"/>
  <c r="O185" i="1"/>
  <c r="BF185" i="1" s="1"/>
  <c r="L185" i="1"/>
  <c r="K185" i="1"/>
  <c r="J185" i="1"/>
  <c r="BW184" i="1"/>
  <c r="BJ184" i="1"/>
  <c r="BD184" i="1"/>
  <c r="AP184" i="1"/>
  <c r="AX184" i="1" s="1"/>
  <c r="AO184" i="1"/>
  <c r="BH184" i="1" s="1"/>
  <c r="AD184" i="1" s="1"/>
  <c r="AK184" i="1"/>
  <c r="AJ184" i="1"/>
  <c r="AH184" i="1"/>
  <c r="AG184" i="1"/>
  <c r="AF184" i="1"/>
  <c r="AC184" i="1"/>
  <c r="AB184" i="1"/>
  <c r="Z184" i="1"/>
  <c r="O184" i="1"/>
  <c r="BF184" i="1" s="1"/>
  <c r="L184" i="1"/>
  <c r="AL184" i="1" s="1"/>
  <c r="K184" i="1"/>
  <c r="J184" i="1"/>
  <c r="BW183" i="1"/>
  <c r="BJ183" i="1"/>
  <c r="BD183" i="1"/>
  <c r="AP183" i="1"/>
  <c r="AO183" i="1"/>
  <c r="AK183" i="1"/>
  <c r="AJ183" i="1"/>
  <c r="AH183" i="1"/>
  <c r="AG183" i="1"/>
  <c r="AF183" i="1"/>
  <c r="AC183" i="1"/>
  <c r="AB183" i="1"/>
  <c r="Z183" i="1"/>
  <c r="O183" i="1"/>
  <c r="BF183" i="1" s="1"/>
  <c r="L183" i="1"/>
  <c r="AL183" i="1" s="1"/>
  <c r="BW182" i="1"/>
  <c r="BJ182" i="1"/>
  <c r="BD182" i="1"/>
  <c r="AP182" i="1"/>
  <c r="K182" i="1" s="1"/>
  <c r="AO182" i="1"/>
  <c r="AW182" i="1" s="1"/>
  <c r="AK182" i="1"/>
  <c r="AJ182" i="1"/>
  <c r="AH182" i="1"/>
  <c r="AG182" i="1"/>
  <c r="AF182" i="1"/>
  <c r="AC182" i="1"/>
  <c r="AB182" i="1"/>
  <c r="Z182" i="1"/>
  <c r="O182" i="1"/>
  <c r="BF182" i="1" s="1"/>
  <c r="L182" i="1"/>
  <c r="BW181" i="1"/>
  <c r="BJ181" i="1"/>
  <c r="BD181" i="1"/>
  <c r="AP181" i="1"/>
  <c r="AX181" i="1" s="1"/>
  <c r="AO181" i="1"/>
  <c r="BH181" i="1" s="1"/>
  <c r="AD181" i="1" s="1"/>
  <c r="AK181" i="1"/>
  <c r="AJ181" i="1"/>
  <c r="AH181" i="1"/>
  <c r="AG181" i="1"/>
  <c r="AF181" i="1"/>
  <c r="AC181" i="1"/>
  <c r="AB181" i="1"/>
  <c r="Z181" i="1"/>
  <c r="O181" i="1"/>
  <c r="BF181" i="1" s="1"/>
  <c r="L181" i="1"/>
  <c r="AL181" i="1" s="1"/>
  <c r="K181" i="1"/>
  <c r="J181" i="1"/>
  <c r="BW180" i="1"/>
  <c r="BJ180" i="1"/>
  <c r="BD180" i="1"/>
  <c r="AP180" i="1"/>
  <c r="AO180" i="1"/>
  <c r="AK180" i="1"/>
  <c r="AJ180" i="1"/>
  <c r="AH180" i="1"/>
  <c r="AG180" i="1"/>
  <c r="AF180" i="1"/>
  <c r="AC180" i="1"/>
  <c r="AB180" i="1"/>
  <c r="Z180" i="1"/>
  <c r="O180" i="1"/>
  <c r="BF180" i="1" s="1"/>
  <c r="L180" i="1"/>
  <c r="AL180" i="1" s="1"/>
  <c r="BW179" i="1"/>
  <c r="BJ179" i="1"/>
  <c r="BD179" i="1"/>
  <c r="AP179" i="1"/>
  <c r="BI179" i="1" s="1"/>
  <c r="AE179" i="1" s="1"/>
  <c r="AO179" i="1"/>
  <c r="AW179" i="1" s="1"/>
  <c r="AK179" i="1"/>
  <c r="AJ179" i="1"/>
  <c r="AH179" i="1"/>
  <c r="AG179" i="1"/>
  <c r="AF179" i="1"/>
  <c r="AC179" i="1"/>
  <c r="AB179" i="1"/>
  <c r="Z179" i="1"/>
  <c r="O179" i="1"/>
  <c r="BF179" i="1" s="1"/>
  <c r="L179" i="1"/>
  <c r="K179" i="1"/>
  <c r="J179" i="1"/>
  <c r="BW178" i="1"/>
  <c r="BJ178" i="1"/>
  <c r="BD178" i="1"/>
  <c r="AP178" i="1"/>
  <c r="AX178" i="1" s="1"/>
  <c r="AO178" i="1"/>
  <c r="AW178" i="1" s="1"/>
  <c r="AK178" i="1"/>
  <c r="AJ178" i="1"/>
  <c r="AH178" i="1"/>
  <c r="AG178" i="1"/>
  <c r="AF178" i="1"/>
  <c r="AC178" i="1"/>
  <c r="AB178" i="1"/>
  <c r="Z178" i="1"/>
  <c r="O178" i="1"/>
  <c r="BF178" i="1" s="1"/>
  <c r="L178" i="1"/>
  <c r="AL178" i="1" s="1"/>
  <c r="K178" i="1"/>
  <c r="J178" i="1"/>
  <c r="BW177" i="1"/>
  <c r="BJ177" i="1"/>
  <c r="BD177" i="1"/>
  <c r="AP177" i="1"/>
  <c r="AO177" i="1"/>
  <c r="AK177" i="1"/>
  <c r="AJ177" i="1"/>
  <c r="AH177" i="1"/>
  <c r="AG177" i="1"/>
  <c r="AF177" i="1"/>
  <c r="AC177" i="1"/>
  <c r="AB177" i="1"/>
  <c r="Z177" i="1"/>
  <c r="O177" i="1"/>
  <c r="BF177" i="1" s="1"/>
  <c r="L177" i="1"/>
  <c r="AL177" i="1" s="1"/>
  <c r="BW176" i="1"/>
  <c r="BJ176" i="1"/>
  <c r="BD176" i="1"/>
  <c r="AP176" i="1"/>
  <c r="AX176" i="1" s="1"/>
  <c r="AO176" i="1"/>
  <c r="AW176" i="1" s="1"/>
  <c r="AK176" i="1"/>
  <c r="AJ176" i="1"/>
  <c r="AH176" i="1"/>
  <c r="AG176" i="1"/>
  <c r="AF176" i="1"/>
  <c r="AC176" i="1"/>
  <c r="AB176" i="1"/>
  <c r="Z176" i="1"/>
  <c r="O176" i="1"/>
  <c r="BF176" i="1" s="1"/>
  <c r="L176" i="1"/>
  <c r="K176" i="1"/>
  <c r="J176" i="1"/>
  <c r="BW175" i="1"/>
  <c r="BJ175" i="1"/>
  <c r="BD175" i="1"/>
  <c r="AP175" i="1"/>
  <c r="AX175" i="1" s="1"/>
  <c r="AO175" i="1"/>
  <c r="AW175" i="1" s="1"/>
  <c r="AK175" i="1"/>
  <c r="AJ175" i="1"/>
  <c r="AH175" i="1"/>
  <c r="AG175" i="1"/>
  <c r="AF175" i="1"/>
  <c r="AC175" i="1"/>
  <c r="AB175" i="1"/>
  <c r="Z175" i="1"/>
  <c r="O175" i="1"/>
  <c r="BF175" i="1" s="1"/>
  <c r="L175" i="1"/>
  <c r="AL175" i="1" s="1"/>
  <c r="J175" i="1"/>
  <c r="BW174" i="1"/>
  <c r="BJ174" i="1"/>
  <c r="BD174" i="1"/>
  <c r="AP174" i="1"/>
  <c r="AO174" i="1"/>
  <c r="AK174" i="1"/>
  <c r="AJ174" i="1"/>
  <c r="AH174" i="1"/>
  <c r="AG174" i="1"/>
  <c r="AF174" i="1"/>
  <c r="AC174" i="1"/>
  <c r="AB174" i="1"/>
  <c r="Z174" i="1"/>
  <c r="O174" i="1"/>
  <c r="BF174" i="1" s="1"/>
  <c r="L174" i="1"/>
  <c r="AL174" i="1" s="1"/>
  <c r="BW173" i="1"/>
  <c r="BJ173" i="1"/>
  <c r="BD173" i="1"/>
  <c r="AP173" i="1"/>
  <c r="BI173" i="1" s="1"/>
  <c r="AE173" i="1" s="1"/>
  <c r="AO173" i="1"/>
  <c r="AW173" i="1" s="1"/>
  <c r="AK173" i="1"/>
  <c r="AJ173" i="1"/>
  <c r="AH173" i="1"/>
  <c r="AG173" i="1"/>
  <c r="AF173" i="1"/>
  <c r="AC173" i="1"/>
  <c r="AB173" i="1"/>
  <c r="Z173" i="1"/>
  <c r="O173" i="1"/>
  <c r="BF173" i="1" s="1"/>
  <c r="L173" i="1"/>
  <c r="K173" i="1"/>
  <c r="J173" i="1"/>
  <c r="BW172" i="1"/>
  <c r="BJ172" i="1"/>
  <c r="BI172" i="1"/>
  <c r="AE172" i="1" s="1"/>
  <c r="BH172" i="1"/>
  <c r="AD172" i="1" s="1"/>
  <c r="BD172" i="1"/>
  <c r="AP172" i="1"/>
  <c r="AX172" i="1" s="1"/>
  <c r="AO172" i="1"/>
  <c r="AW172" i="1" s="1"/>
  <c r="BC172" i="1" s="1"/>
  <c r="AK172" i="1"/>
  <c r="AJ172" i="1"/>
  <c r="AH172" i="1"/>
  <c r="AG172" i="1"/>
  <c r="AF172" i="1"/>
  <c r="AC172" i="1"/>
  <c r="AB172" i="1"/>
  <c r="Z172" i="1"/>
  <c r="O172" i="1"/>
  <c r="BF172" i="1" s="1"/>
  <c r="L172" i="1"/>
  <c r="AL172" i="1" s="1"/>
  <c r="K172" i="1"/>
  <c r="J172" i="1"/>
  <c r="BW171" i="1"/>
  <c r="BJ171" i="1"/>
  <c r="BD171" i="1"/>
  <c r="AP171" i="1"/>
  <c r="AO171" i="1"/>
  <c r="AK171" i="1"/>
  <c r="AJ171" i="1"/>
  <c r="AH171" i="1"/>
  <c r="AG171" i="1"/>
  <c r="AF171" i="1"/>
  <c r="AC171" i="1"/>
  <c r="AB171" i="1"/>
  <c r="Z171" i="1"/>
  <c r="O171" i="1"/>
  <c r="BF171" i="1" s="1"/>
  <c r="L171" i="1"/>
  <c r="AL171" i="1" s="1"/>
  <c r="BW170" i="1"/>
  <c r="BJ170" i="1"/>
  <c r="BD170" i="1"/>
  <c r="AP170" i="1"/>
  <c r="BI170" i="1" s="1"/>
  <c r="AE170" i="1" s="1"/>
  <c r="AO170" i="1"/>
  <c r="AW170" i="1" s="1"/>
  <c r="AK170" i="1"/>
  <c r="AJ170" i="1"/>
  <c r="AH170" i="1"/>
  <c r="AG170" i="1"/>
  <c r="AF170" i="1"/>
  <c r="AC170" i="1"/>
  <c r="AB170" i="1"/>
  <c r="Z170" i="1"/>
  <c r="O170" i="1"/>
  <c r="BF170" i="1" s="1"/>
  <c r="L170" i="1"/>
  <c r="K170" i="1"/>
  <c r="J170" i="1"/>
  <c r="BW169" i="1"/>
  <c r="BJ169" i="1"/>
  <c r="BD169" i="1"/>
  <c r="AP169" i="1"/>
  <c r="AO169" i="1"/>
  <c r="AW169" i="1" s="1"/>
  <c r="AK169" i="1"/>
  <c r="AJ169" i="1"/>
  <c r="AH169" i="1"/>
  <c r="AG169" i="1"/>
  <c r="AF169" i="1"/>
  <c r="AC169" i="1"/>
  <c r="AB169" i="1"/>
  <c r="Z169" i="1"/>
  <c r="O169" i="1"/>
  <c r="BF169" i="1" s="1"/>
  <c r="L169" i="1"/>
  <c r="AL169" i="1" s="1"/>
  <c r="K169" i="1"/>
  <c r="J169" i="1"/>
  <c r="BW168" i="1"/>
  <c r="BJ168" i="1"/>
  <c r="BD168" i="1"/>
  <c r="AP168" i="1"/>
  <c r="AO168" i="1"/>
  <c r="AK168" i="1"/>
  <c r="AJ168" i="1"/>
  <c r="AH168" i="1"/>
  <c r="AG168" i="1"/>
  <c r="AF168" i="1"/>
  <c r="AC168" i="1"/>
  <c r="AB168" i="1"/>
  <c r="Z168" i="1"/>
  <c r="O168" i="1"/>
  <c r="BF168" i="1" s="1"/>
  <c r="L168" i="1"/>
  <c r="AL168" i="1" s="1"/>
  <c r="BW167" i="1"/>
  <c r="BJ167" i="1"/>
  <c r="BD167" i="1"/>
  <c r="AP167" i="1"/>
  <c r="BI167" i="1" s="1"/>
  <c r="AE167" i="1" s="1"/>
  <c r="AO167" i="1"/>
  <c r="AW167" i="1" s="1"/>
  <c r="AK167" i="1"/>
  <c r="AJ167" i="1"/>
  <c r="AH167" i="1"/>
  <c r="AG167" i="1"/>
  <c r="AF167" i="1"/>
  <c r="AC167" i="1"/>
  <c r="AB167" i="1"/>
  <c r="Z167" i="1"/>
  <c r="O167" i="1"/>
  <c r="BF167" i="1" s="1"/>
  <c r="L167" i="1"/>
  <c r="K167" i="1"/>
  <c r="J167" i="1"/>
  <c r="BW166" i="1"/>
  <c r="BJ166" i="1"/>
  <c r="BD166" i="1"/>
  <c r="AP166" i="1"/>
  <c r="AO166" i="1"/>
  <c r="AW166" i="1" s="1"/>
  <c r="AK166" i="1"/>
  <c r="AJ166" i="1"/>
  <c r="AH166" i="1"/>
  <c r="AG166" i="1"/>
  <c r="AF166" i="1"/>
  <c r="AC166" i="1"/>
  <c r="AB166" i="1"/>
  <c r="Z166" i="1"/>
  <c r="O166" i="1"/>
  <c r="BF166" i="1" s="1"/>
  <c r="L166" i="1"/>
  <c r="AL166" i="1" s="1"/>
  <c r="K166" i="1"/>
  <c r="J166" i="1"/>
  <c r="BW165" i="1"/>
  <c r="BJ165" i="1"/>
  <c r="BD165" i="1"/>
  <c r="AP165" i="1"/>
  <c r="AO165" i="1"/>
  <c r="AK165" i="1"/>
  <c r="AJ165" i="1"/>
  <c r="AH165" i="1"/>
  <c r="AG165" i="1"/>
  <c r="AF165" i="1"/>
  <c r="AC165" i="1"/>
  <c r="AB165" i="1"/>
  <c r="Z165" i="1"/>
  <c r="O165" i="1"/>
  <c r="BF165" i="1" s="1"/>
  <c r="L165" i="1"/>
  <c r="AL165" i="1" s="1"/>
  <c r="BW164" i="1"/>
  <c r="BJ164" i="1"/>
  <c r="BD164" i="1"/>
  <c r="AP164" i="1"/>
  <c r="K164" i="1" s="1"/>
  <c r="AO164" i="1"/>
  <c r="AW164" i="1" s="1"/>
  <c r="AK164" i="1"/>
  <c r="AJ164" i="1"/>
  <c r="AH164" i="1"/>
  <c r="AG164" i="1"/>
  <c r="AF164" i="1"/>
  <c r="AC164" i="1"/>
  <c r="AB164" i="1"/>
  <c r="Z164" i="1"/>
  <c r="O164" i="1"/>
  <c r="BF164" i="1" s="1"/>
  <c r="L164" i="1"/>
  <c r="BW163" i="1"/>
  <c r="BJ163" i="1"/>
  <c r="BD163" i="1"/>
  <c r="AP163" i="1"/>
  <c r="AX163" i="1" s="1"/>
  <c r="AO163" i="1"/>
  <c r="AW163" i="1" s="1"/>
  <c r="BC163" i="1" s="1"/>
  <c r="AK163" i="1"/>
  <c r="AJ163" i="1"/>
  <c r="AH163" i="1"/>
  <c r="AG163" i="1"/>
  <c r="AF163" i="1"/>
  <c r="AC163" i="1"/>
  <c r="AB163" i="1"/>
  <c r="Z163" i="1"/>
  <c r="O163" i="1"/>
  <c r="BF163" i="1" s="1"/>
  <c r="L163" i="1"/>
  <c r="AL163" i="1" s="1"/>
  <c r="K163" i="1"/>
  <c r="J163" i="1"/>
  <c r="BW162" i="1"/>
  <c r="BJ162" i="1"/>
  <c r="BD162" i="1"/>
  <c r="AP162" i="1"/>
  <c r="AO162" i="1"/>
  <c r="AK162" i="1"/>
  <c r="AJ162" i="1"/>
  <c r="AH162" i="1"/>
  <c r="AG162" i="1"/>
  <c r="AF162" i="1"/>
  <c r="AC162" i="1"/>
  <c r="AB162" i="1"/>
  <c r="Z162" i="1"/>
  <c r="O162" i="1"/>
  <c r="BF162" i="1" s="1"/>
  <c r="L162" i="1"/>
  <c r="AL162" i="1" s="1"/>
  <c r="BW161" i="1"/>
  <c r="BJ161" i="1"/>
  <c r="BD161" i="1"/>
  <c r="AP161" i="1"/>
  <c r="BI161" i="1" s="1"/>
  <c r="AE161" i="1" s="1"/>
  <c r="AO161" i="1"/>
  <c r="AW161" i="1" s="1"/>
  <c r="AK161" i="1"/>
  <c r="AJ161" i="1"/>
  <c r="AH161" i="1"/>
  <c r="AG161" i="1"/>
  <c r="AF161" i="1"/>
  <c r="AC161" i="1"/>
  <c r="AB161" i="1"/>
  <c r="Z161" i="1"/>
  <c r="O161" i="1"/>
  <c r="BF161" i="1" s="1"/>
  <c r="L161" i="1"/>
  <c r="K161" i="1"/>
  <c r="J161" i="1"/>
  <c r="BW160" i="1"/>
  <c r="BJ160" i="1"/>
  <c r="BD160" i="1"/>
  <c r="AP160" i="1"/>
  <c r="AO160" i="1"/>
  <c r="AW160" i="1" s="1"/>
  <c r="AK160" i="1"/>
  <c r="AJ160" i="1"/>
  <c r="AH160" i="1"/>
  <c r="AG160" i="1"/>
  <c r="AF160" i="1"/>
  <c r="AC160" i="1"/>
  <c r="AB160" i="1"/>
  <c r="Z160" i="1"/>
  <c r="O160" i="1"/>
  <c r="BF160" i="1" s="1"/>
  <c r="L160" i="1"/>
  <c r="AL160" i="1" s="1"/>
  <c r="K160" i="1"/>
  <c r="J160" i="1"/>
  <c r="BW159" i="1"/>
  <c r="BJ159" i="1"/>
  <c r="BD159" i="1"/>
  <c r="AP159" i="1"/>
  <c r="AO159" i="1"/>
  <c r="AK159" i="1"/>
  <c r="AJ159" i="1"/>
  <c r="AH159" i="1"/>
  <c r="AG159" i="1"/>
  <c r="AF159" i="1"/>
  <c r="AC159" i="1"/>
  <c r="AB159" i="1"/>
  <c r="Z159" i="1"/>
  <c r="O159" i="1"/>
  <c r="BF159" i="1" s="1"/>
  <c r="L159" i="1"/>
  <c r="AL159" i="1" s="1"/>
  <c r="K159" i="1"/>
  <c r="J159" i="1"/>
  <c r="BW158" i="1"/>
  <c r="BJ158" i="1"/>
  <c r="BD158" i="1"/>
  <c r="AP158" i="1"/>
  <c r="AO158" i="1"/>
  <c r="AK158" i="1"/>
  <c r="AJ158" i="1"/>
  <c r="AH158" i="1"/>
  <c r="AG158" i="1"/>
  <c r="AF158" i="1"/>
  <c r="AC158" i="1"/>
  <c r="AB158" i="1"/>
  <c r="Z158" i="1"/>
  <c r="O158" i="1"/>
  <c r="BF158" i="1" s="1"/>
  <c r="L158" i="1"/>
  <c r="BW157" i="1"/>
  <c r="BJ157" i="1"/>
  <c r="BD157" i="1"/>
  <c r="AP157" i="1"/>
  <c r="BI157" i="1" s="1"/>
  <c r="AE157" i="1" s="1"/>
  <c r="AO157" i="1"/>
  <c r="AL157" i="1"/>
  <c r="AK157" i="1"/>
  <c r="AJ157" i="1"/>
  <c r="AH157" i="1"/>
  <c r="AG157" i="1"/>
  <c r="AF157" i="1"/>
  <c r="AC157" i="1"/>
  <c r="AB157" i="1"/>
  <c r="Z157" i="1"/>
  <c r="O157" i="1"/>
  <c r="BF157" i="1" s="1"/>
  <c r="L157" i="1"/>
  <c r="BW155" i="1"/>
  <c r="BJ155" i="1"/>
  <c r="BI155" i="1"/>
  <c r="AE155" i="1" s="1"/>
  <c r="BD155" i="1"/>
  <c r="AP155" i="1"/>
  <c r="AX155" i="1" s="1"/>
  <c r="AO155" i="1"/>
  <c r="AK155" i="1"/>
  <c r="AJ155" i="1"/>
  <c r="AH155" i="1"/>
  <c r="AG155" i="1"/>
  <c r="AF155" i="1"/>
  <c r="AC155" i="1"/>
  <c r="AB155" i="1"/>
  <c r="Z155" i="1"/>
  <c r="O155" i="1"/>
  <c r="BF155" i="1" s="1"/>
  <c r="L155" i="1"/>
  <c r="K155" i="1"/>
  <c r="BW154" i="1"/>
  <c r="BJ154" i="1"/>
  <c r="BD154" i="1"/>
  <c r="AX154" i="1"/>
  <c r="AP154" i="1"/>
  <c r="K154" i="1" s="1"/>
  <c r="AO154" i="1"/>
  <c r="BH154" i="1" s="1"/>
  <c r="AD154" i="1" s="1"/>
  <c r="AK154" i="1"/>
  <c r="AJ154" i="1"/>
  <c r="AH154" i="1"/>
  <c r="AG154" i="1"/>
  <c r="AF154" i="1"/>
  <c r="AC154" i="1"/>
  <c r="AB154" i="1"/>
  <c r="Z154" i="1"/>
  <c r="O154" i="1"/>
  <c r="BF154" i="1" s="1"/>
  <c r="L154" i="1"/>
  <c r="AL154" i="1" s="1"/>
  <c r="J154" i="1"/>
  <c r="BW153" i="1"/>
  <c r="BJ153" i="1"/>
  <c r="BD153" i="1"/>
  <c r="AP153" i="1"/>
  <c r="AO153" i="1"/>
  <c r="AW153" i="1" s="1"/>
  <c r="AK153" i="1"/>
  <c r="AJ153" i="1"/>
  <c r="AH153" i="1"/>
  <c r="AG153" i="1"/>
  <c r="AF153" i="1"/>
  <c r="AC153" i="1"/>
  <c r="AB153" i="1"/>
  <c r="Z153" i="1"/>
  <c r="O153" i="1"/>
  <c r="BF153" i="1" s="1"/>
  <c r="L153" i="1"/>
  <c r="J153" i="1"/>
  <c r="BW152" i="1"/>
  <c r="BJ152" i="1"/>
  <c r="BD152" i="1"/>
  <c r="AP152" i="1"/>
  <c r="BI152" i="1" s="1"/>
  <c r="AE152" i="1" s="1"/>
  <c r="AO152" i="1"/>
  <c r="AK152" i="1"/>
  <c r="AJ152" i="1"/>
  <c r="AH152" i="1"/>
  <c r="AG152" i="1"/>
  <c r="AF152" i="1"/>
  <c r="AC152" i="1"/>
  <c r="AB152" i="1"/>
  <c r="Z152" i="1"/>
  <c r="O152" i="1"/>
  <c r="BF152" i="1" s="1"/>
  <c r="L152" i="1"/>
  <c r="M152" i="1" s="1"/>
  <c r="K152" i="1"/>
  <c r="BW151" i="1"/>
  <c r="BJ151" i="1"/>
  <c r="BD151" i="1"/>
  <c r="AW151" i="1"/>
  <c r="AP151" i="1"/>
  <c r="BI151" i="1" s="1"/>
  <c r="AE151" i="1" s="1"/>
  <c r="AO151" i="1"/>
  <c r="BH151" i="1" s="1"/>
  <c r="AD151" i="1" s="1"/>
  <c r="AK151" i="1"/>
  <c r="AJ151" i="1"/>
  <c r="AH151" i="1"/>
  <c r="AG151" i="1"/>
  <c r="AF151" i="1"/>
  <c r="AC151" i="1"/>
  <c r="AB151" i="1"/>
  <c r="Z151" i="1"/>
  <c r="O151" i="1"/>
  <c r="BF151" i="1" s="1"/>
  <c r="L151" i="1"/>
  <c r="AL151" i="1" s="1"/>
  <c r="K151" i="1"/>
  <c r="J151" i="1"/>
  <c r="BW150" i="1"/>
  <c r="BJ150" i="1"/>
  <c r="BD150" i="1"/>
  <c r="AP150" i="1"/>
  <c r="AO150" i="1"/>
  <c r="AK150" i="1"/>
  <c r="AJ150" i="1"/>
  <c r="AH150" i="1"/>
  <c r="AG150" i="1"/>
  <c r="AF150" i="1"/>
  <c r="AC150" i="1"/>
  <c r="AB150" i="1"/>
  <c r="Z150" i="1"/>
  <c r="O150" i="1"/>
  <c r="BF150" i="1" s="1"/>
  <c r="L150" i="1"/>
  <c r="BW149" i="1"/>
  <c r="BJ149" i="1"/>
  <c r="BD149" i="1"/>
  <c r="AP149" i="1"/>
  <c r="AX149" i="1" s="1"/>
  <c r="AO149" i="1"/>
  <c r="AK149" i="1"/>
  <c r="AJ149" i="1"/>
  <c r="AH149" i="1"/>
  <c r="AG149" i="1"/>
  <c r="AF149" i="1"/>
  <c r="AC149" i="1"/>
  <c r="AB149" i="1"/>
  <c r="Z149" i="1"/>
  <c r="O149" i="1"/>
  <c r="BF149" i="1" s="1"/>
  <c r="L149" i="1"/>
  <c r="AL149" i="1" s="1"/>
  <c r="BW148" i="1"/>
  <c r="BJ148" i="1"/>
  <c r="BH148" i="1"/>
  <c r="AD148" i="1" s="1"/>
  <c r="BD148" i="1"/>
  <c r="AX148" i="1"/>
  <c r="AP148" i="1"/>
  <c r="BI148" i="1" s="1"/>
  <c r="AE148" i="1" s="1"/>
  <c r="AO148" i="1"/>
  <c r="AW148" i="1" s="1"/>
  <c r="AK148" i="1"/>
  <c r="AJ148" i="1"/>
  <c r="AH148" i="1"/>
  <c r="AG148" i="1"/>
  <c r="AF148" i="1"/>
  <c r="AC148" i="1"/>
  <c r="AB148" i="1"/>
  <c r="Z148" i="1"/>
  <c r="O148" i="1"/>
  <c r="BF148" i="1" s="1"/>
  <c r="L148" i="1"/>
  <c r="AL148" i="1" s="1"/>
  <c r="K148" i="1"/>
  <c r="J148" i="1"/>
  <c r="BW147" i="1"/>
  <c r="BJ147" i="1"/>
  <c r="BH147" i="1"/>
  <c r="AD147" i="1" s="1"/>
  <c r="BD147" i="1"/>
  <c r="AP147" i="1"/>
  <c r="AO147" i="1"/>
  <c r="AW147" i="1" s="1"/>
  <c r="AK147" i="1"/>
  <c r="AJ147" i="1"/>
  <c r="AH147" i="1"/>
  <c r="AG147" i="1"/>
  <c r="AF147" i="1"/>
  <c r="AC147" i="1"/>
  <c r="AB147" i="1"/>
  <c r="Z147" i="1"/>
  <c r="O147" i="1"/>
  <c r="O146" i="1" s="1"/>
  <c r="L147" i="1"/>
  <c r="J147" i="1"/>
  <c r="BW145" i="1"/>
  <c r="BJ145" i="1"/>
  <c r="BD145" i="1"/>
  <c r="AP145" i="1"/>
  <c r="AO145" i="1"/>
  <c r="J145" i="1" s="1"/>
  <c r="AK145" i="1"/>
  <c r="AJ145" i="1"/>
  <c r="AH145" i="1"/>
  <c r="AG145" i="1"/>
  <c r="AF145" i="1"/>
  <c r="AC145" i="1"/>
  <c r="AB145" i="1"/>
  <c r="Z145" i="1"/>
  <c r="O145" i="1"/>
  <c r="BF145" i="1" s="1"/>
  <c r="L145" i="1"/>
  <c r="BW144" i="1"/>
  <c r="BJ144" i="1"/>
  <c r="BD144" i="1"/>
  <c r="AP144" i="1"/>
  <c r="K144" i="1" s="1"/>
  <c r="AO144" i="1"/>
  <c r="AK144" i="1"/>
  <c r="AJ144" i="1"/>
  <c r="AH144" i="1"/>
  <c r="AG144" i="1"/>
  <c r="AF144" i="1"/>
  <c r="AC144" i="1"/>
  <c r="AB144" i="1"/>
  <c r="Z144" i="1"/>
  <c r="O144" i="1"/>
  <c r="BF144" i="1" s="1"/>
  <c r="L144" i="1"/>
  <c r="AL144" i="1" s="1"/>
  <c r="BW143" i="1"/>
  <c r="BJ143" i="1"/>
  <c r="BD143" i="1"/>
  <c r="AP143" i="1"/>
  <c r="BI143" i="1" s="1"/>
  <c r="AE143" i="1" s="1"/>
  <c r="AO143" i="1"/>
  <c r="BH143" i="1" s="1"/>
  <c r="AD143" i="1" s="1"/>
  <c r="AK143" i="1"/>
  <c r="AJ143" i="1"/>
  <c r="AH143" i="1"/>
  <c r="AG143" i="1"/>
  <c r="AF143" i="1"/>
  <c r="AC143" i="1"/>
  <c r="AB143" i="1"/>
  <c r="Z143" i="1"/>
  <c r="O143" i="1"/>
  <c r="BF143" i="1" s="1"/>
  <c r="L143" i="1"/>
  <c r="AL143" i="1" s="1"/>
  <c r="K143" i="1"/>
  <c r="J143" i="1"/>
  <c r="BW142" i="1"/>
  <c r="BJ142" i="1"/>
  <c r="BH142" i="1"/>
  <c r="AD142" i="1" s="1"/>
  <c r="BD142" i="1"/>
  <c r="AP142" i="1"/>
  <c r="AO142" i="1"/>
  <c r="AK142" i="1"/>
  <c r="AJ142" i="1"/>
  <c r="AH142" i="1"/>
  <c r="AG142" i="1"/>
  <c r="AF142" i="1"/>
  <c r="AC142" i="1"/>
  <c r="AB142" i="1"/>
  <c r="Z142" i="1"/>
  <c r="O142" i="1"/>
  <c r="BF142" i="1" s="1"/>
  <c r="L142" i="1"/>
  <c r="BW141" i="1"/>
  <c r="BJ141" i="1"/>
  <c r="BD141" i="1"/>
  <c r="AP141" i="1"/>
  <c r="BI141" i="1" s="1"/>
  <c r="AE141" i="1" s="1"/>
  <c r="AO141" i="1"/>
  <c r="AL141" i="1"/>
  <c r="AK141" i="1"/>
  <c r="AJ141" i="1"/>
  <c r="AS140" i="1" s="1"/>
  <c r="AH141" i="1"/>
  <c r="AG141" i="1"/>
  <c r="AF141" i="1"/>
  <c r="AC141" i="1"/>
  <c r="AB141" i="1"/>
  <c r="Z141" i="1"/>
  <c r="O141" i="1"/>
  <c r="BF141" i="1" s="1"/>
  <c r="L141" i="1"/>
  <c r="O140" i="1"/>
  <c r="BW139" i="1"/>
  <c r="BJ139" i="1"/>
  <c r="BD139" i="1"/>
  <c r="AP139" i="1"/>
  <c r="BI139" i="1" s="1"/>
  <c r="AE139" i="1" s="1"/>
  <c r="AO139" i="1"/>
  <c r="AK139" i="1"/>
  <c r="AJ139" i="1"/>
  <c r="AH139" i="1"/>
  <c r="AG139" i="1"/>
  <c r="AF139" i="1"/>
  <c r="AC139" i="1"/>
  <c r="AB139" i="1"/>
  <c r="Z139" i="1"/>
  <c r="O139" i="1"/>
  <c r="BF139" i="1" s="1"/>
  <c r="L139" i="1"/>
  <c r="M139" i="1" s="1"/>
  <c r="K139" i="1"/>
  <c r="BW138" i="1"/>
  <c r="BJ138" i="1"/>
  <c r="BD138" i="1"/>
  <c r="AP138" i="1"/>
  <c r="BI138" i="1" s="1"/>
  <c r="AE138" i="1" s="1"/>
  <c r="AO138" i="1"/>
  <c r="BH138" i="1" s="1"/>
  <c r="AD138" i="1" s="1"/>
  <c r="AK138" i="1"/>
  <c r="AJ138" i="1"/>
  <c r="AH138" i="1"/>
  <c r="AG138" i="1"/>
  <c r="AF138" i="1"/>
  <c r="AC138" i="1"/>
  <c r="AB138" i="1"/>
  <c r="Z138" i="1"/>
  <c r="O138" i="1"/>
  <c r="BF138" i="1" s="1"/>
  <c r="L138" i="1"/>
  <c r="AL138" i="1" s="1"/>
  <c r="K138" i="1"/>
  <c r="J138" i="1"/>
  <c r="BW137" i="1"/>
  <c r="BJ137" i="1"/>
  <c r="BH137" i="1"/>
  <c r="AD137" i="1" s="1"/>
  <c r="BD137" i="1"/>
  <c r="AP137" i="1"/>
  <c r="AO137" i="1"/>
  <c r="AW137" i="1" s="1"/>
  <c r="AK137" i="1"/>
  <c r="AJ137" i="1"/>
  <c r="AH137" i="1"/>
  <c r="AG137" i="1"/>
  <c r="AF137" i="1"/>
  <c r="AC137" i="1"/>
  <c r="AB137" i="1"/>
  <c r="Z137" i="1"/>
  <c r="O137" i="1"/>
  <c r="BF137" i="1" s="1"/>
  <c r="L137" i="1"/>
  <c r="BW136" i="1"/>
  <c r="BJ136" i="1"/>
  <c r="BI136" i="1"/>
  <c r="AE136" i="1" s="1"/>
  <c r="BD136" i="1"/>
  <c r="AP136" i="1"/>
  <c r="AX136" i="1" s="1"/>
  <c r="AO136" i="1"/>
  <c r="AK136" i="1"/>
  <c r="AJ136" i="1"/>
  <c r="AH136" i="1"/>
  <c r="AG136" i="1"/>
  <c r="AF136" i="1"/>
  <c r="AC136" i="1"/>
  <c r="AB136" i="1"/>
  <c r="Z136" i="1"/>
  <c r="O136" i="1"/>
  <c r="BF136" i="1" s="1"/>
  <c r="L136" i="1"/>
  <c r="AL136" i="1" s="1"/>
  <c r="K136" i="1"/>
  <c r="BW135" i="1"/>
  <c r="BJ135" i="1"/>
  <c r="BD135" i="1"/>
  <c r="AX135" i="1"/>
  <c r="AP135" i="1"/>
  <c r="BI135" i="1" s="1"/>
  <c r="AE135" i="1" s="1"/>
  <c r="AO135" i="1"/>
  <c r="BH135" i="1" s="1"/>
  <c r="AD135" i="1" s="1"/>
  <c r="AK135" i="1"/>
  <c r="AJ135" i="1"/>
  <c r="AH135" i="1"/>
  <c r="AG135" i="1"/>
  <c r="AF135" i="1"/>
  <c r="AC135" i="1"/>
  <c r="AB135" i="1"/>
  <c r="Z135" i="1"/>
  <c r="O135" i="1"/>
  <c r="BF135" i="1" s="1"/>
  <c r="L135" i="1"/>
  <c r="AL135" i="1" s="1"/>
  <c r="K135" i="1"/>
  <c r="J135" i="1"/>
  <c r="BW134" i="1"/>
  <c r="BJ134" i="1"/>
  <c r="BD134" i="1"/>
  <c r="AP134" i="1"/>
  <c r="AO134" i="1"/>
  <c r="AW134" i="1" s="1"/>
  <c r="AK134" i="1"/>
  <c r="AJ134" i="1"/>
  <c r="AH134" i="1"/>
  <c r="AG134" i="1"/>
  <c r="AF134" i="1"/>
  <c r="AC134" i="1"/>
  <c r="AB134" i="1"/>
  <c r="Z134" i="1"/>
  <c r="O134" i="1"/>
  <c r="BF134" i="1" s="1"/>
  <c r="L134" i="1"/>
  <c r="BW133" i="1"/>
  <c r="BJ133" i="1"/>
  <c r="BI133" i="1"/>
  <c r="AE133" i="1" s="1"/>
  <c r="BD133" i="1"/>
  <c r="AP133" i="1"/>
  <c r="AX133" i="1" s="1"/>
  <c r="AO133" i="1"/>
  <c r="AW133" i="1" s="1"/>
  <c r="AK133" i="1"/>
  <c r="AJ133" i="1"/>
  <c r="AH133" i="1"/>
  <c r="AG133" i="1"/>
  <c r="AF133" i="1"/>
  <c r="AC133" i="1"/>
  <c r="AB133" i="1"/>
  <c r="Z133" i="1"/>
  <c r="O133" i="1"/>
  <c r="BF133" i="1" s="1"/>
  <c r="L133" i="1"/>
  <c r="AL133" i="1" s="1"/>
  <c r="K133" i="1"/>
  <c r="BW132" i="1"/>
  <c r="BJ132" i="1"/>
  <c r="BD132" i="1"/>
  <c r="AP132" i="1"/>
  <c r="K132" i="1" s="1"/>
  <c r="AO132" i="1"/>
  <c r="AW132" i="1" s="1"/>
  <c r="AK132" i="1"/>
  <c r="AJ132" i="1"/>
  <c r="AH132" i="1"/>
  <c r="AG132" i="1"/>
  <c r="AF132" i="1"/>
  <c r="AC132" i="1"/>
  <c r="AB132" i="1"/>
  <c r="Z132" i="1"/>
  <c r="O132" i="1"/>
  <c r="BF132" i="1" s="1"/>
  <c r="L132" i="1"/>
  <c r="AL132" i="1" s="1"/>
  <c r="BW131" i="1"/>
  <c r="BJ131" i="1"/>
  <c r="BH131" i="1"/>
  <c r="AD131" i="1" s="1"/>
  <c r="BD131" i="1"/>
  <c r="AP131" i="1"/>
  <c r="AO131" i="1"/>
  <c r="AW131" i="1" s="1"/>
  <c r="AK131" i="1"/>
  <c r="AJ131" i="1"/>
  <c r="AH131" i="1"/>
  <c r="AG131" i="1"/>
  <c r="AF131" i="1"/>
  <c r="AC131" i="1"/>
  <c r="AB131" i="1"/>
  <c r="Z131" i="1"/>
  <c r="O131" i="1"/>
  <c r="BF131" i="1" s="1"/>
  <c r="L131" i="1"/>
  <c r="BW130" i="1"/>
  <c r="BJ130" i="1"/>
  <c r="BD130" i="1"/>
  <c r="AP130" i="1"/>
  <c r="BI130" i="1" s="1"/>
  <c r="AE130" i="1" s="1"/>
  <c r="AO130" i="1"/>
  <c r="BH130" i="1" s="1"/>
  <c r="AD130" i="1" s="1"/>
  <c r="AK130" i="1"/>
  <c r="AJ130" i="1"/>
  <c r="AH130" i="1"/>
  <c r="AG130" i="1"/>
  <c r="AF130" i="1"/>
  <c r="AC130" i="1"/>
  <c r="AB130" i="1"/>
  <c r="Z130" i="1"/>
  <c r="O130" i="1"/>
  <c r="BF130" i="1" s="1"/>
  <c r="L130" i="1"/>
  <c r="AL130" i="1" s="1"/>
  <c r="K130" i="1"/>
  <c r="BW129" i="1"/>
  <c r="BJ129" i="1"/>
  <c r="BD129" i="1"/>
  <c r="AW129" i="1"/>
  <c r="AP129" i="1"/>
  <c r="AX129" i="1" s="1"/>
  <c r="AO129" i="1"/>
  <c r="J129" i="1" s="1"/>
  <c r="AK129" i="1"/>
  <c r="AJ129" i="1"/>
  <c r="AH129" i="1"/>
  <c r="AG129" i="1"/>
  <c r="AF129" i="1"/>
  <c r="AC129" i="1"/>
  <c r="AB129" i="1"/>
  <c r="Z129" i="1"/>
  <c r="O129" i="1"/>
  <c r="BF129" i="1" s="1"/>
  <c r="L129" i="1"/>
  <c r="AL129" i="1" s="1"/>
  <c r="K129" i="1"/>
  <c r="BW128" i="1"/>
  <c r="BJ128" i="1"/>
  <c r="BD128" i="1"/>
  <c r="AP128" i="1"/>
  <c r="AO128" i="1"/>
  <c r="BH128" i="1" s="1"/>
  <c r="AD128" i="1" s="1"/>
  <c r="AK128" i="1"/>
  <c r="AJ128" i="1"/>
  <c r="AH128" i="1"/>
  <c r="AG128" i="1"/>
  <c r="AF128" i="1"/>
  <c r="AC128" i="1"/>
  <c r="AB128" i="1"/>
  <c r="Z128" i="1"/>
  <c r="O128" i="1"/>
  <c r="BF128" i="1" s="1"/>
  <c r="L128" i="1"/>
  <c r="BW127" i="1"/>
  <c r="BJ127" i="1"/>
  <c r="BI127" i="1"/>
  <c r="AE127" i="1" s="1"/>
  <c r="BD127" i="1"/>
  <c r="AP127" i="1"/>
  <c r="AX127" i="1" s="1"/>
  <c r="AO127" i="1"/>
  <c r="AK127" i="1"/>
  <c r="AJ127" i="1"/>
  <c r="AH127" i="1"/>
  <c r="AG127" i="1"/>
  <c r="AF127" i="1"/>
  <c r="AC127" i="1"/>
  <c r="AB127" i="1"/>
  <c r="Z127" i="1"/>
  <c r="O127" i="1"/>
  <c r="BF127" i="1" s="1"/>
  <c r="L127" i="1"/>
  <c r="M127" i="1" s="1"/>
  <c r="BW126" i="1"/>
  <c r="BJ126" i="1"/>
  <c r="BD126" i="1"/>
  <c r="AP126" i="1"/>
  <c r="AO126" i="1"/>
  <c r="AW126" i="1" s="1"/>
  <c r="AK126" i="1"/>
  <c r="AJ126" i="1"/>
  <c r="AH126" i="1"/>
  <c r="AG126" i="1"/>
  <c r="AF126" i="1"/>
  <c r="AC126" i="1"/>
  <c r="AB126" i="1"/>
  <c r="Z126" i="1"/>
  <c r="O126" i="1"/>
  <c r="BF126" i="1" s="1"/>
  <c r="L126" i="1"/>
  <c r="AL126" i="1" s="1"/>
  <c r="BW125" i="1"/>
  <c r="BJ125" i="1"/>
  <c r="BD125" i="1"/>
  <c r="AP125" i="1"/>
  <c r="AX125" i="1" s="1"/>
  <c r="AO125" i="1"/>
  <c r="AK125" i="1"/>
  <c r="AJ125" i="1"/>
  <c r="AH125" i="1"/>
  <c r="AG125" i="1"/>
  <c r="AF125" i="1"/>
  <c r="AC125" i="1"/>
  <c r="AB125" i="1"/>
  <c r="Z125" i="1"/>
  <c r="O125" i="1"/>
  <c r="BF125" i="1" s="1"/>
  <c r="L125" i="1"/>
  <c r="J125" i="1"/>
  <c r="BW124" i="1"/>
  <c r="BJ124" i="1"/>
  <c r="BD124" i="1"/>
  <c r="AP124" i="1"/>
  <c r="K124" i="1" s="1"/>
  <c r="AO124" i="1"/>
  <c r="AW124" i="1" s="1"/>
  <c r="AK124" i="1"/>
  <c r="AJ124" i="1"/>
  <c r="AH124" i="1"/>
  <c r="AG124" i="1"/>
  <c r="AF124" i="1"/>
  <c r="AC124" i="1"/>
  <c r="AB124" i="1"/>
  <c r="Z124" i="1"/>
  <c r="O124" i="1"/>
  <c r="BF124" i="1" s="1"/>
  <c r="L124" i="1"/>
  <c r="AL124" i="1" s="1"/>
  <c r="BW123" i="1"/>
  <c r="BJ123" i="1"/>
  <c r="BD123" i="1"/>
  <c r="AP123" i="1"/>
  <c r="AO123" i="1"/>
  <c r="AW123" i="1" s="1"/>
  <c r="AK123" i="1"/>
  <c r="AJ123" i="1"/>
  <c r="AH123" i="1"/>
  <c r="AG123" i="1"/>
  <c r="AF123" i="1"/>
  <c r="AC123" i="1"/>
  <c r="AB123" i="1"/>
  <c r="Z123" i="1"/>
  <c r="O123" i="1"/>
  <c r="L123" i="1"/>
  <c r="BW121" i="1"/>
  <c r="BJ121" i="1"/>
  <c r="BI121" i="1"/>
  <c r="AE121" i="1" s="1"/>
  <c r="BH121" i="1"/>
  <c r="AD121" i="1" s="1"/>
  <c r="BD121" i="1"/>
  <c r="AP121" i="1"/>
  <c r="AO121" i="1"/>
  <c r="AW121" i="1" s="1"/>
  <c r="AK121" i="1"/>
  <c r="AJ121" i="1"/>
  <c r="AH121" i="1"/>
  <c r="AG121" i="1"/>
  <c r="AF121" i="1"/>
  <c r="AC121" i="1"/>
  <c r="AB121" i="1"/>
  <c r="Z121" i="1"/>
  <c r="O121" i="1"/>
  <c r="BF121" i="1" s="1"/>
  <c r="L121" i="1"/>
  <c r="J121" i="1"/>
  <c r="BW120" i="1"/>
  <c r="BJ120" i="1"/>
  <c r="BD120" i="1"/>
  <c r="AP120" i="1"/>
  <c r="AO120" i="1"/>
  <c r="AK120" i="1"/>
  <c r="AJ120" i="1"/>
  <c r="AH120" i="1"/>
  <c r="AG120" i="1"/>
  <c r="AF120" i="1"/>
  <c r="AC120" i="1"/>
  <c r="AB120" i="1"/>
  <c r="Z120" i="1"/>
  <c r="O120" i="1"/>
  <c r="BF120" i="1" s="1"/>
  <c r="L120" i="1"/>
  <c r="AL120" i="1" s="1"/>
  <c r="BW119" i="1"/>
  <c r="BJ119" i="1"/>
  <c r="BI119" i="1"/>
  <c r="AE119" i="1" s="1"/>
  <c r="BD119" i="1"/>
  <c r="AX119" i="1"/>
  <c r="AP119" i="1"/>
  <c r="K119" i="1" s="1"/>
  <c r="AO119" i="1"/>
  <c r="AW119" i="1" s="1"/>
  <c r="AK119" i="1"/>
  <c r="AJ119" i="1"/>
  <c r="AH119" i="1"/>
  <c r="AG119" i="1"/>
  <c r="AF119" i="1"/>
  <c r="AC119" i="1"/>
  <c r="AB119" i="1"/>
  <c r="Z119" i="1"/>
  <c r="O119" i="1"/>
  <c r="BF119" i="1" s="1"/>
  <c r="L119" i="1"/>
  <c r="J119" i="1"/>
  <c r="BW118" i="1"/>
  <c r="BJ118" i="1"/>
  <c r="BD118" i="1"/>
  <c r="AP118" i="1"/>
  <c r="K118" i="1" s="1"/>
  <c r="AO118" i="1"/>
  <c r="AK118" i="1"/>
  <c r="AJ118" i="1"/>
  <c r="AH118" i="1"/>
  <c r="AG118" i="1"/>
  <c r="AF118" i="1"/>
  <c r="AC118" i="1"/>
  <c r="AB118" i="1"/>
  <c r="Z118" i="1"/>
  <c r="O118" i="1"/>
  <c r="BF118" i="1" s="1"/>
  <c r="L118" i="1"/>
  <c r="BW117" i="1"/>
  <c r="BJ117" i="1"/>
  <c r="BD117" i="1"/>
  <c r="AP117" i="1"/>
  <c r="AX117" i="1" s="1"/>
  <c r="AO117" i="1"/>
  <c r="AK117" i="1"/>
  <c r="AJ117" i="1"/>
  <c r="AH117" i="1"/>
  <c r="AG117" i="1"/>
  <c r="AF117" i="1"/>
  <c r="AC117" i="1"/>
  <c r="AB117" i="1"/>
  <c r="Z117" i="1"/>
  <c r="O117" i="1"/>
  <c r="BF117" i="1" s="1"/>
  <c r="L117" i="1"/>
  <c r="M117" i="1" s="1"/>
  <c r="BW116" i="1"/>
  <c r="BJ116" i="1"/>
  <c r="BD116" i="1"/>
  <c r="AP116" i="1"/>
  <c r="BI116" i="1" s="1"/>
  <c r="AE116" i="1" s="1"/>
  <c r="AO116" i="1"/>
  <c r="AW116" i="1" s="1"/>
  <c r="AK116" i="1"/>
  <c r="AJ116" i="1"/>
  <c r="AH116" i="1"/>
  <c r="AG116" i="1"/>
  <c r="AF116" i="1"/>
  <c r="AC116" i="1"/>
  <c r="AB116" i="1"/>
  <c r="Z116" i="1"/>
  <c r="O116" i="1"/>
  <c r="BF116" i="1" s="1"/>
  <c r="L116" i="1"/>
  <c r="AL116" i="1" s="1"/>
  <c r="K116" i="1"/>
  <c r="J116" i="1"/>
  <c r="BW115" i="1"/>
  <c r="BJ115" i="1"/>
  <c r="BD115" i="1"/>
  <c r="AP115" i="1"/>
  <c r="K115" i="1" s="1"/>
  <c r="AO115" i="1"/>
  <c r="BH115" i="1" s="1"/>
  <c r="AD115" i="1" s="1"/>
  <c r="AK115" i="1"/>
  <c r="AJ115" i="1"/>
  <c r="AH115" i="1"/>
  <c r="AG115" i="1"/>
  <c r="AF115" i="1"/>
  <c r="AC115" i="1"/>
  <c r="AB115" i="1"/>
  <c r="Z115" i="1"/>
  <c r="O115" i="1"/>
  <c r="BF115" i="1" s="1"/>
  <c r="L115" i="1"/>
  <c r="BW114" i="1"/>
  <c r="BJ114" i="1"/>
  <c r="BD114" i="1"/>
  <c r="AP114" i="1"/>
  <c r="AX114" i="1" s="1"/>
  <c r="BC114" i="1" s="1"/>
  <c r="AO114" i="1"/>
  <c r="AW114" i="1" s="1"/>
  <c r="AK114" i="1"/>
  <c r="AJ114" i="1"/>
  <c r="AH114" i="1"/>
  <c r="AG114" i="1"/>
  <c r="AF114" i="1"/>
  <c r="AC114" i="1"/>
  <c r="AB114" i="1"/>
  <c r="Z114" i="1"/>
  <c r="O114" i="1"/>
  <c r="BF114" i="1" s="1"/>
  <c r="L114" i="1"/>
  <c r="AL114" i="1" s="1"/>
  <c r="J114" i="1"/>
  <c r="BW113" i="1"/>
  <c r="BJ113" i="1"/>
  <c r="BD113" i="1"/>
  <c r="AP113" i="1"/>
  <c r="BI113" i="1" s="1"/>
  <c r="AE113" i="1" s="1"/>
  <c r="AO113" i="1"/>
  <c r="AW113" i="1" s="1"/>
  <c r="AK113" i="1"/>
  <c r="AJ113" i="1"/>
  <c r="AH113" i="1"/>
  <c r="AG113" i="1"/>
  <c r="AF113" i="1"/>
  <c r="AC113" i="1"/>
  <c r="AB113" i="1"/>
  <c r="Z113" i="1"/>
  <c r="O113" i="1"/>
  <c r="BF113" i="1" s="1"/>
  <c r="L113" i="1"/>
  <c r="AL113" i="1" s="1"/>
  <c r="K113" i="1"/>
  <c r="BW112" i="1"/>
  <c r="BJ112" i="1"/>
  <c r="BH112" i="1"/>
  <c r="AD112" i="1" s="1"/>
  <c r="BD112" i="1"/>
  <c r="AP112" i="1"/>
  <c r="BI112" i="1" s="1"/>
  <c r="AE112" i="1" s="1"/>
  <c r="AO112" i="1"/>
  <c r="AW112" i="1" s="1"/>
  <c r="AK112" i="1"/>
  <c r="AJ112" i="1"/>
  <c r="AH112" i="1"/>
  <c r="AG112" i="1"/>
  <c r="AF112" i="1"/>
  <c r="AC112" i="1"/>
  <c r="AB112" i="1"/>
  <c r="Z112" i="1"/>
  <c r="O112" i="1"/>
  <c r="BF112" i="1" s="1"/>
  <c r="L112" i="1"/>
  <c r="J112" i="1"/>
  <c r="BW111" i="1"/>
  <c r="BJ111" i="1"/>
  <c r="BD111" i="1"/>
  <c r="AP111" i="1"/>
  <c r="AO111" i="1"/>
  <c r="AK111" i="1"/>
  <c r="AJ111" i="1"/>
  <c r="AH111" i="1"/>
  <c r="AG111" i="1"/>
  <c r="AF111" i="1"/>
  <c r="AC111" i="1"/>
  <c r="AB111" i="1"/>
  <c r="Z111" i="1"/>
  <c r="O111" i="1"/>
  <c r="BF111" i="1" s="1"/>
  <c r="L111" i="1"/>
  <c r="AL111" i="1" s="1"/>
  <c r="BW110" i="1"/>
  <c r="BJ110" i="1"/>
  <c r="BD110" i="1"/>
  <c r="AP110" i="1"/>
  <c r="AX110" i="1" s="1"/>
  <c r="AO110" i="1"/>
  <c r="AW110" i="1" s="1"/>
  <c r="AK110" i="1"/>
  <c r="AJ110" i="1"/>
  <c r="AH110" i="1"/>
  <c r="AG110" i="1"/>
  <c r="AF110" i="1"/>
  <c r="AC110" i="1"/>
  <c r="AB110" i="1"/>
  <c r="Z110" i="1"/>
  <c r="O110" i="1"/>
  <c r="BF110" i="1" s="1"/>
  <c r="L110" i="1"/>
  <c r="K110" i="1"/>
  <c r="BW109" i="1"/>
  <c r="BJ109" i="1"/>
  <c r="BD109" i="1"/>
  <c r="AP109" i="1"/>
  <c r="K109" i="1" s="1"/>
  <c r="AO109" i="1"/>
  <c r="AK109" i="1"/>
  <c r="AJ109" i="1"/>
  <c r="AH109" i="1"/>
  <c r="AG109" i="1"/>
  <c r="AF109" i="1"/>
  <c r="AC109" i="1"/>
  <c r="AB109" i="1"/>
  <c r="Z109" i="1"/>
  <c r="O109" i="1"/>
  <c r="BF109" i="1" s="1"/>
  <c r="L109" i="1"/>
  <c r="BW107" i="1"/>
  <c r="BJ107" i="1"/>
  <c r="BD107" i="1"/>
  <c r="AP107" i="1"/>
  <c r="AX107" i="1" s="1"/>
  <c r="AO107" i="1"/>
  <c r="AK107" i="1"/>
  <c r="AJ107" i="1"/>
  <c r="AH107" i="1"/>
  <c r="AG107" i="1"/>
  <c r="AF107" i="1"/>
  <c r="AC107" i="1"/>
  <c r="AB107" i="1"/>
  <c r="Z107" i="1"/>
  <c r="O107" i="1"/>
  <c r="BF107" i="1" s="1"/>
  <c r="L107" i="1"/>
  <c r="K107" i="1"/>
  <c r="BW106" i="1"/>
  <c r="BJ106" i="1"/>
  <c r="BD106" i="1"/>
  <c r="AP106" i="1"/>
  <c r="BI106" i="1" s="1"/>
  <c r="AE106" i="1" s="1"/>
  <c r="AO106" i="1"/>
  <c r="BH106" i="1" s="1"/>
  <c r="AD106" i="1" s="1"/>
  <c r="AL106" i="1"/>
  <c r="AK106" i="1"/>
  <c r="AJ106" i="1"/>
  <c r="AH106" i="1"/>
  <c r="AG106" i="1"/>
  <c r="AF106" i="1"/>
  <c r="AC106" i="1"/>
  <c r="AB106" i="1"/>
  <c r="Z106" i="1"/>
  <c r="O106" i="1"/>
  <c r="BF106" i="1" s="1"/>
  <c r="L106" i="1"/>
  <c r="M106" i="1" s="1"/>
  <c r="BW105" i="1"/>
  <c r="BJ105" i="1"/>
  <c r="BI105" i="1"/>
  <c r="AE105" i="1" s="1"/>
  <c r="BH105" i="1"/>
  <c r="AD105" i="1" s="1"/>
  <c r="BF105" i="1"/>
  <c r="BD105" i="1"/>
  <c r="AP105" i="1"/>
  <c r="AX105" i="1" s="1"/>
  <c r="AO105" i="1"/>
  <c r="AW105" i="1" s="1"/>
  <c r="AK105" i="1"/>
  <c r="AJ105" i="1"/>
  <c r="AH105" i="1"/>
  <c r="AG105" i="1"/>
  <c r="AF105" i="1"/>
  <c r="AC105" i="1"/>
  <c r="AB105" i="1"/>
  <c r="Z105" i="1"/>
  <c r="O105" i="1"/>
  <c r="L105" i="1"/>
  <c r="AL105" i="1" s="1"/>
  <c r="BW104" i="1"/>
  <c r="BJ104" i="1"/>
  <c r="BH104" i="1"/>
  <c r="AD104" i="1" s="1"/>
  <c r="BD104" i="1"/>
  <c r="AP104" i="1"/>
  <c r="AX104" i="1" s="1"/>
  <c r="AO104" i="1"/>
  <c r="AW104" i="1" s="1"/>
  <c r="AK104" i="1"/>
  <c r="AJ104" i="1"/>
  <c r="AH104" i="1"/>
  <c r="AG104" i="1"/>
  <c r="AF104" i="1"/>
  <c r="AC104" i="1"/>
  <c r="AB104" i="1"/>
  <c r="Z104" i="1"/>
  <c r="O104" i="1"/>
  <c r="BF104" i="1" s="1"/>
  <c r="L104" i="1"/>
  <c r="M104" i="1" s="1"/>
  <c r="BW103" i="1"/>
  <c r="BJ103" i="1"/>
  <c r="BD103" i="1"/>
  <c r="AP103" i="1"/>
  <c r="AX103" i="1" s="1"/>
  <c r="AO103" i="1"/>
  <c r="AK103" i="1"/>
  <c r="AJ103" i="1"/>
  <c r="AH103" i="1"/>
  <c r="AG103" i="1"/>
  <c r="AF103" i="1"/>
  <c r="AC103" i="1"/>
  <c r="AB103" i="1"/>
  <c r="Z103" i="1"/>
  <c r="O103" i="1"/>
  <c r="BF103" i="1" s="1"/>
  <c r="L103" i="1"/>
  <c r="AL103" i="1" s="1"/>
  <c r="BW102" i="1"/>
  <c r="BJ102" i="1"/>
  <c r="BD102" i="1"/>
  <c r="AP102" i="1"/>
  <c r="AX102" i="1" s="1"/>
  <c r="AO102" i="1"/>
  <c r="J102" i="1" s="1"/>
  <c r="AK102" i="1"/>
  <c r="AJ102" i="1"/>
  <c r="AH102" i="1"/>
  <c r="AG102" i="1"/>
  <c r="AF102" i="1"/>
  <c r="AC102" i="1"/>
  <c r="AB102" i="1"/>
  <c r="Z102" i="1"/>
  <c r="O102" i="1"/>
  <c r="BF102" i="1" s="1"/>
  <c r="L102" i="1"/>
  <c r="AL102" i="1" s="1"/>
  <c r="K102" i="1"/>
  <c r="BW101" i="1"/>
  <c r="BJ101" i="1"/>
  <c r="BF101" i="1"/>
  <c r="BD101" i="1"/>
  <c r="AP101" i="1"/>
  <c r="AX101" i="1" s="1"/>
  <c r="AO101" i="1"/>
  <c r="BH101" i="1" s="1"/>
  <c r="AD101" i="1" s="1"/>
  <c r="AL101" i="1"/>
  <c r="AK101" i="1"/>
  <c r="AJ101" i="1"/>
  <c r="AH101" i="1"/>
  <c r="AG101" i="1"/>
  <c r="AF101" i="1"/>
  <c r="AC101" i="1"/>
  <c r="AB101" i="1"/>
  <c r="Z101" i="1"/>
  <c r="O101" i="1"/>
  <c r="L101" i="1"/>
  <c r="K101" i="1"/>
  <c r="J101" i="1"/>
  <c r="BW100" i="1"/>
  <c r="BJ100" i="1"/>
  <c r="BD100" i="1"/>
  <c r="AP100" i="1"/>
  <c r="AX100" i="1" s="1"/>
  <c r="AO100" i="1"/>
  <c r="AK100" i="1"/>
  <c r="AJ100" i="1"/>
  <c r="AH100" i="1"/>
  <c r="AG100" i="1"/>
  <c r="AF100" i="1"/>
  <c r="AC100" i="1"/>
  <c r="AB100" i="1"/>
  <c r="Z100" i="1"/>
  <c r="O100" i="1"/>
  <c r="BF100" i="1" s="1"/>
  <c r="L100" i="1"/>
  <c r="M100" i="1" s="1"/>
  <c r="BW99" i="1"/>
  <c r="M99" i="1" s="1"/>
  <c r="BJ99" i="1"/>
  <c r="BH99" i="1"/>
  <c r="BD99" i="1"/>
  <c r="AP99" i="1"/>
  <c r="AX99" i="1" s="1"/>
  <c r="AO99" i="1"/>
  <c r="AW99" i="1" s="1"/>
  <c r="AK99" i="1"/>
  <c r="AJ99" i="1"/>
  <c r="AH99" i="1"/>
  <c r="AG99" i="1"/>
  <c r="AF99" i="1"/>
  <c r="AD99" i="1"/>
  <c r="AC99" i="1"/>
  <c r="AB99" i="1"/>
  <c r="Z99" i="1"/>
  <c r="O99" i="1"/>
  <c r="BF99" i="1" s="1"/>
  <c r="L99" i="1"/>
  <c r="AL99" i="1" s="1"/>
  <c r="K99" i="1"/>
  <c r="J99" i="1"/>
  <c r="BW98" i="1"/>
  <c r="BJ98" i="1"/>
  <c r="BI98" i="1"/>
  <c r="AE98" i="1" s="1"/>
  <c r="BF98" i="1"/>
  <c r="BD98" i="1"/>
  <c r="AP98" i="1"/>
  <c r="AX98" i="1" s="1"/>
  <c r="AO98" i="1"/>
  <c r="AW98" i="1" s="1"/>
  <c r="BC98" i="1" s="1"/>
  <c r="AL98" i="1"/>
  <c r="AK98" i="1"/>
  <c r="AJ98" i="1"/>
  <c r="AH98" i="1"/>
  <c r="AG98" i="1"/>
  <c r="AF98" i="1"/>
  <c r="AC98" i="1"/>
  <c r="AB98" i="1"/>
  <c r="Z98" i="1"/>
  <c r="O98" i="1"/>
  <c r="L98" i="1"/>
  <c r="K98" i="1"/>
  <c r="J98" i="1"/>
  <c r="BW97" i="1"/>
  <c r="BJ97" i="1"/>
  <c r="BD97" i="1"/>
  <c r="AP97" i="1"/>
  <c r="AX97" i="1" s="1"/>
  <c r="AO97" i="1"/>
  <c r="AK97" i="1"/>
  <c r="AJ97" i="1"/>
  <c r="AH97" i="1"/>
  <c r="AG97" i="1"/>
  <c r="AF97" i="1"/>
  <c r="AC97" i="1"/>
  <c r="AB97" i="1"/>
  <c r="Z97" i="1"/>
  <c r="O97" i="1"/>
  <c r="BF97" i="1" s="1"/>
  <c r="L97" i="1"/>
  <c r="AL97" i="1" s="1"/>
  <c r="BW96" i="1"/>
  <c r="BJ96" i="1"/>
  <c r="BD96" i="1"/>
  <c r="AP96" i="1"/>
  <c r="BI96" i="1" s="1"/>
  <c r="AE96" i="1" s="1"/>
  <c r="AO96" i="1"/>
  <c r="BH96" i="1" s="1"/>
  <c r="AD96" i="1" s="1"/>
  <c r="AK96" i="1"/>
  <c r="AJ96" i="1"/>
  <c r="AH96" i="1"/>
  <c r="AG96" i="1"/>
  <c r="AF96" i="1"/>
  <c r="AC96" i="1"/>
  <c r="AB96" i="1"/>
  <c r="Z96" i="1"/>
  <c r="O96" i="1"/>
  <c r="BF96" i="1" s="1"/>
  <c r="L96" i="1"/>
  <c r="AL96" i="1" s="1"/>
  <c r="K96" i="1"/>
  <c r="J96" i="1"/>
  <c r="BW95" i="1"/>
  <c r="BJ95" i="1"/>
  <c r="BD95" i="1"/>
  <c r="AP95" i="1"/>
  <c r="AX95" i="1" s="1"/>
  <c r="AO95" i="1"/>
  <c r="BH95" i="1" s="1"/>
  <c r="AD95" i="1" s="1"/>
  <c r="AL95" i="1"/>
  <c r="AK95" i="1"/>
  <c r="AJ95" i="1"/>
  <c r="AH95" i="1"/>
  <c r="AG95" i="1"/>
  <c r="AF95" i="1"/>
  <c r="AC95" i="1"/>
  <c r="AB95" i="1"/>
  <c r="Z95" i="1"/>
  <c r="O95" i="1"/>
  <c r="BF95" i="1" s="1"/>
  <c r="L95" i="1"/>
  <c r="K95" i="1"/>
  <c r="BW94" i="1"/>
  <c r="BJ94" i="1"/>
  <c r="BF94" i="1"/>
  <c r="BD94" i="1"/>
  <c r="AP94" i="1"/>
  <c r="AX94" i="1" s="1"/>
  <c r="AO94" i="1"/>
  <c r="AL94" i="1"/>
  <c r="AK94" i="1"/>
  <c r="AJ94" i="1"/>
  <c r="AH94" i="1"/>
  <c r="AG94" i="1"/>
  <c r="AF94" i="1"/>
  <c r="AC94" i="1"/>
  <c r="AB94" i="1"/>
  <c r="Z94" i="1"/>
  <c r="O94" i="1"/>
  <c r="L94" i="1"/>
  <c r="M94" i="1" s="1"/>
  <c r="BW93" i="1"/>
  <c r="BJ93" i="1"/>
  <c r="BH93" i="1"/>
  <c r="AD93" i="1" s="1"/>
  <c r="BD93" i="1"/>
  <c r="AW93" i="1"/>
  <c r="AP93" i="1"/>
  <c r="K93" i="1" s="1"/>
  <c r="AO93" i="1"/>
  <c r="AK93" i="1"/>
  <c r="AJ93" i="1"/>
  <c r="AH93" i="1"/>
  <c r="AG93" i="1"/>
  <c r="AF93" i="1"/>
  <c r="AC93" i="1"/>
  <c r="AB93" i="1"/>
  <c r="Z93" i="1"/>
  <c r="O93" i="1"/>
  <c r="BF93" i="1" s="1"/>
  <c r="L93" i="1"/>
  <c r="AL93" i="1" s="1"/>
  <c r="J93" i="1"/>
  <c r="BW92" i="1"/>
  <c r="BJ92" i="1"/>
  <c r="BD92" i="1"/>
  <c r="AP92" i="1"/>
  <c r="AX92" i="1" s="1"/>
  <c r="AO92" i="1"/>
  <c r="J92" i="1" s="1"/>
  <c r="AK92" i="1"/>
  <c r="AJ92" i="1"/>
  <c r="AH92" i="1"/>
  <c r="AG92" i="1"/>
  <c r="AF92" i="1"/>
  <c r="AC92" i="1"/>
  <c r="AB92" i="1"/>
  <c r="Z92" i="1"/>
  <c r="O92" i="1"/>
  <c r="L92" i="1"/>
  <c r="AL92" i="1" s="1"/>
  <c r="BW90" i="1"/>
  <c r="BJ90" i="1"/>
  <c r="BI90" i="1"/>
  <c r="AE90" i="1" s="1"/>
  <c r="BD90" i="1"/>
  <c r="AP90" i="1"/>
  <c r="AX90" i="1" s="1"/>
  <c r="AO90" i="1"/>
  <c r="J90" i="1" s="1"/>
  <c r="AK90" i="1"/>
  <c r="AJ90" i="1"/>
  <c r="AH90" i="1"/>
  <c r="AG90" i="1"/>
  <c r="AF90" i="1"/>
  <c r="AC90" i="1"/>
  <c r="AB90" i="1"/>
  <c r="Z90" i="1"/>
  <c r="O90" i="1"/>
  <c r="BF90" i="1" s="1"/>
  <c r="L90" i="1"/>
  <c r="AL90" i="1" s="1"/>
  <c r="BW89" i="1"/>
  <c r="BJ89" i="1"/>
  <c r="BD89" i="1"/>
  <c r="AP89" i="1"/>
  <c r="AX89" i="1" s="1"/>
  <c r="AO89" i="1"/>
  <c r="AK89" i="1"/>
  <c r="AJ89" i="1"/>
  <c r="AH89" i="1"/>
  <c r="AG89" i="1"/>
  <c r="AF89" i="1"/>
  <c r="AC89" i="1"/>
  <c r="AB89" i="1"/>
  <c r="Z89" i="1"/>
  <c r="O89" i="1"/>
  <c r="BF89" i="1" s="1"/>
  <c r="L89" i="1"/>
  <c r="BW88" i="1"/>
  <c r="BJ88" i="1"/>
  <c r="BD88" i="1"/>
  <c r="AW88" i="1"/>
  <c r="AP88" i="1"/>
  <c r="AX88" i="1" s="1"/>
  <c r="AO88" i="1"/>
  <c r="BH88" i="1" s="1"/>
  <c r="AD88" i="1" s="1"/>
  <c r="AK88" i="1"/>
  <c r="AT87" i="1" s="1"/>
  <c r="AJ88" i="1"/>
  <c r="AH88" i="1"/>
  <c r="AG88" i="1"/>
  <c r="AF88" i="1"/>
  <c r="AC88" i="1"/>
  <c r="AB88" i="1"/>
  <c r="Z88" i="1"/>
  <c r="O88" i="1"/>
  <c r="BF88" i="1" s="1"/>
  <c r="L88" i="1"/>
  <c r="J88" i="1"/>
  <c r="BW86" i="1"/>
  <c r="BJ86" i="1"/>
  <c r="BH86" i="1"/>
  <c r="AD86" i="1" s="1"/>
  <c r="BD86" i="1"/>
  <c r="AP86" i="1"/>
  <c r="AX86" i="1" s="1"/>
  <c r="AO86" i="1"/>
  <c r="AW86" i="1" s="1"/>
  <c r="AK86" i="1"/>
  <c r="AJ86" i="1"/>
  <c r="AH86" i="1"/>
  <c r="AG86" i="1"/>
  <c r="AF86" i="1"/>
  <c r="AC86" i="1"/>
  <c r="AB86" i="1"/>
  <c r="Z86" i="1"/>
  <c r="O86" i="1"/>
  <c r="BF86" i="1" s="1"/>
  <c r="L86" i="1"/>
  <c r="AL86" i="1" s="1"/>
  <c r="J86" i="1"/>
  <c r="BW85" i="1"/>
  <c r="BJ85" i="1"/>
  <c r="BI85" i="1"/>
  <c r="AE85" i="1" s="1"/>
  <c r="BH85" i="1"/>
  <c r="AD85" i="1" s="1"/>
  <c r="BD85" i="1"/>
  <c r="AP85" i="1"/>
  <c r="AX85" i="1" s="1"/>
  <c r="AO85" i="1"/>
  <c r="AW85" i="1" s="1"/>
  <c r="AL85" i="1"/>
  <c r="AK85" i="1"/>
  <c r="AJ85" i="1"/>
  <c r="AH85" i="1"/>
  <c r="AG85" i="1"/>
  <c r="AF85" i="1"/>
  <c r="AC85" i="1"/>
  <c r="AB85" i="1"/>
  <c r="Z85" i="1"/>
  <c r="O85" i="1"/>
  <c r="BF85" i="1" s="1"/>
  <c r="L85" i="1"/>
  <c r="M85" i="1" s="1"/>
  <c r="K85" i="1"/>
  <c r="BW84" i="1"/>
  <c r="BJ84" i="1"/>
  <c r="BD84" i="1"/>
  <c r="AP84" i="1"/>
  <c r="AX84" i="1" s="1"/>
  <c r="AO84" i="1"/>
  <c r="AK84" i="1"/>
  <c r="AJ84" i="1"/>
  <c r="AH84" i="1"/>
  <c r="AG84" i="1"/>
  <c r="AF84" i="1"/>
  <c r="AC84" i="1"/>
  <c r="AB84" i="1"/>
  <c r="Z84" i="1"/>
  <c r="O84" i="1"/>
  <c r="BF84" i="1" s="1"/>
  <c r="L84" i="1"/>
  <c r="AL84" i="1" s="1"/>
  <c r="BW83" i="1"/>
  <c r="BJ83" i="1"/>
  <c r="BD83" i="1"/>
  <c r="AP83" i="1"/>
  <c r="BI83" i="1" s="1"/>
  <c r="AE83" i="1" s="1"/>
  <c r="AO83" i="1"/>
  <c r="BH83" i="1" s="1"/>
  <c r="AD83" i="1" s="1"/>
  <c r="AK83" i="1"/>
  <c r="AJ83" i="1"/>
  <c r="AH83" i="1"/>
  <c r="AG83" i="1"/>
  <c r="AF83" i="1"/>
  <c r="AC83" i="1"/>
  <c r="AB83" i="1"/>
  <c r="Z83" i="1"/>
  <c r="O83" i="1"/>
  <c r="BF83" i="1" s="1"/>
  <c r="L83" i="1"/>
  <c r="AL83" i="1" s="1"/>
  <c r="K83" i="1"/>
  <c r="J83" i="1"/>
  <c r="BW82" i="1"/>
  <c r="BJ82" i="1"/>
  <c r="BD82" i="1"/>
  <c r="AP82" i="1"/>
  <c r="AX82" i="1" s="1"/>
  <c r="AO82" i="1"/>
  <c r="BH82" i="1" s="1"/>
  <c r="AD82" i="1" s="1"/>
  <c r="AL82" i="1"/>
  <c r="AK82" i="1"/>
  <c r="AJ82" i="1"/>
  <c r="AH82" i="1"/>
  <c r="AG82" i="1"/>
  <c r="AF82" i="1"/>
  <c r="AC82" i="1"/>
  <c r="AB82" i="1"/>
  <c r="Z82" i="1"/>
  <c r="O82" i="1"/>
  <c r="BF82" i="1" s="1"/>
  <c r="L82" i="1"/>
  <c r="K82" i="1"/>
  <c r="BW81" i="1"/>
  <c r="BJ81" i="1"/>
  <c r="BF81" i="1"/>
  <c r="BD81" i="1"/>
  <c r="AP81" i="1"/>
  <c r="AX81" i="1" s="1"/>
  <c r="AO81" i="1"/>
  <c r="AL81" i="1"/>
  <c r="AK81" i="1"/>
  <c r="AJ81" i="1"/>
  <c r="AH81" i="1"/>
  <c r="AG81" i="1"/>
  <c r="AF81" i="1"/>
  <c r="AC81" i="1"/>
  <c r="AB81" i="1"/>
  <c r="Z81" i="1"/>
  <c r="O81" i="1"/>
  <c r="L81" i="1"/>
  <c r="BW80" i="1"/>
  <c r="M80" i="1" s="1"/>
  <c r="BJ80" i="1"/>
  <c r="BH80" i="1"/>
  <c r="BD80" i="1"/>
  <c r="AX80" i="1"/>
  <c r="AP80" i="1"/>
  <c r="K80" i="1" s="1"/>
  <c r="AO80" i="1"/>
  <c r="AW80" i="1" s="1"/>
  <c r="AK80" i="1"/>
  <c r="AJ80" i="1"/>
  <c r="AH80" i="1"/>
  <c r="AG80" i="1"/>
  <c r="AF80" i="1"/>
  <c r="AD80" i="1"/>
  <c r="AC80" i="1"/>
  <c r="AB80" i="1"/>
  <c r="Z80" i="1"/>
  <c r="O80" i="1"/>
  <c r="BF80" i="1" s="1"/>
  <c r="L80" i="1"/>
  <c r="AL80" i="1" s="1"/>
  <c r="BW79" i="1"/>
  <c r="BJ79" i="1"/>
  <c r="BI79" i="1"/>
  <c r="AE79" i="1" s="1"/>
  <c r="BD79" i="1"/>
  <c r="AP79" i="1"/>
  <c r="AX79" i="1" s="1"/>
  <c r="AO79" i="1"/>
  <c r="AW79" i="1" s="1"/>
  <c r="BC79" i="1" s="1"/>
  <c r="AK79" i="1"/>
  <c r="AJ79" i="1"/>
  <c r="AH79" i="1"/>
  <c r="AG79" i="1"/>
  <c r="AF79" i="1"/>
  <c r="AC79" i="1"/>
  <c r="AB79" i="1"/>
  <c r="Z79" i="1"/>
  <c r="O79" i="1"/>
  <c r="BF79" i="1" s="1"/>
  <c r="L79" i="1"/>
  <c r="M79" i="1" s="1"/>
  <c r="BW78" i="1"/>
  <c r="BJ78" i="1"/>
  <c r="BD78" i="1"/>
  <c r="AP78" i="1"/>
  <c r="AX78" i="1" s="1"/>
  <c r="AO78" i="1"/>
  <c r="AK78" i="1"/>
  <c r="AJ78" i="1"/>
  <c r="AH78" i="1"/>
  <c r="AG78" i="1"/>
  <c r="AF78" i="1"/>
  <c r="AC78" i="1"/>
  <c r="AB78" i="1"/>
  <c r="Z78" i="1"/>
  <c r="O78" i="1"/>
  <c r="BF78" i="1" s="1"/>
  <c r="L78" i="1"/>
  <c r="AL78" i="1" s="1"/>
  <c r="BW77" i="1"/>
  <c r="BJ77" i="1"/>
  <c r="BD77" i="1"/>
  <c r="AP77" i="1"/>
  <c r="AX77" i="1" s="1"/>
  <c r="AO77" i="1"/>
  <c r="BH77" i="1" s="1"/>
  <c r="AD77" i="1" s="1"/>
  <c r="AK77" i="1"/>
  <c r="AJ77" i="1"/>
  <c r="AH77" i="1"/>
  <c r="AG77" i="1"/>
  <c r="AF77" i="1"/>
  <c r="AC77" i="1"/>
  <c r="AB77" i="1"/>
  <c r="Z77" i="1"/>
  <c r="O77" i="1"/>
  <c r="BF77" i="1" s="1"/>
  <c r="L77" i="1"/>
  <c r="AL77" i="1" s="1"/>
  <c r="K77" i="1"/>
  <c r="J77" i="1"/>
  <c r="BW76" i="1"/>
  <c r="BJ76" i="1"/>
  <c r="BI76" i="1"/>
  <c r="AE76" i="1" s="1"/>
  <c r="BD76" i="1"/>
  <c r="AP76" i="1"/>
  <c r="AX76" i="1" s="1"/>
  <c r="AO76" i="1"/>
  <c r="BH76" i="1" s="1"/>
  <c r="AD76" i="1" s="1"/>
  <c r="AK76" i="1"/>
  <c r="AJ76" i="1"/>
  <c r="AH76" i="1"/>
  <c r="AG76" i="1"/>
  <c r="AF76" i="1"/>
  <c r="AC76" i="1"/>
  <c r="AB76" i="1"/>
  <c r="Z76" i="1"/>
  <c r="O76" i="1"/>
  <c r="BF76" i="1" s="1"/>
  <c r="L76" i="1"/>
  <c r="K76" i="1"/>
  <c r="BW75" i="1"/>
  <c r="BJ75" i="1"/>
  <c r="BD75" i="1"/>
  <c r="AP75" i="1"/>
  <c r="AO75" i="1"/>
  <c r="AK75" i="1"/>
  <c r="AJ75" i="1"/>
  <c r="AH75" i="1"/>
  <c r="AG75" i="1"/>
  <c r="AF75" i="1"/>
  <c r="AC75" i="1"/>
  <c r="AB75" i="1"/>
  <c r="Z75" i="1"/>
  <c r="O75" i="1"/>
  <c r="BF75" i="1" s="1"/>
  <c r="M75" i="1"/>
  <c r="L75" i="1"/>
  <c r="AL75" i="1" s="1"/>
  <c r="BW74" i="1"/>
  <c r="BJ74" i="1"/>
  <c r="BD74" i="1"/>
  <c r="AP74" i="1"/>
  <c r="BI74" i="1" s="1"/>
  <c r="AE74" i="1" s="1"/>
  <c r="AO74" i="1"/>
  <c r="J74" i="1" s="1"/>
  <c r="AK74" i="1"/>
  <c r="AJ74" i="1"/>
  <c r="AH74" i="1"/>
  <c r="AG74" i="1"/>
  <c r="AF74" i="1"/>
  <c r="AC74" i="1"/>
  <c r="AB74" i="1"/>
  <c r="Z74" i="1"/>
  <c r="O74" i="1"/>
  <c r="BF74" i="1" s="1"/>
  <c r="L74" i="1"/>
  <c r="AL74" i="1" s="1"/>
  <c r="K74" i="1"/>
  <c r="BW73" i="1"/>
  <c r="BJ73" i="1"/>
  <c r="BF73" i="1"/>
  <c r="BD73" i="1"/>
  <c r="AP73" i="1"/>
  <c r="AX73" i="1" s="1"/>
  <c r="AO73" i="1"/>
  <c r="J73" i="1" s="1"/>
  <c r="AK73" i="1"/>
  <c r="AJ73" i="1"/>
  <c r="AH73" i="1"/>
  <c r="AG73" i="1"/>
  <c r="AF73" i="1"/>
  <c r="AC73" i="1"/>
  <c r="AB73" i="1"/>
  <c r="Z73" i="1"/>
  <c r="O73" i="1"/>
  <c r="L73" i="1"/>
  <c r="M73" i="1" s="1"/>
  <c r="K73" i="1"/>
  <c r="BW72" i="1"/>
  <c r="BJ72" i="1"/>
  <c r="BD72" i="1"/>
  <c r="AP72" i="1"/>
  <c r="AO72" i="1"/>
  <c r="AK72" i="1"/>
  <c r="AJ72" i="1"/>
  <c r="AH72" i="1"/>
  <c r="AG72" i="1"/>
  <c r="AF72" i="1"/>
  <c r="AC72" i="1"/>
  <c r="AB72" i="1"/>
  <c r="Z72" i="1"/>
  <c r="O72" i="1"/>
  <c r="BF72" i="1" s="1"/>
  <c r="L72" i="1"/>
  <c r="AL72" i="1" s="1"/>
  <c r="BW71" i="1"/>
  <c r="BJ71" i="1"/>
  <c r="BH71" i="1"/>
  <c r="AD71" i="1" s="1"/>
  <c r="BD71" i="1"/>
  <c r="AP71" i="1"/>
  <c r="BI71" i="1" s="1"/>
  <c r="AE71" i="1" s="1"/>
  <c r="AO71" i="1"/>
  <c r="AW71" i="1" s="1"/>
  <c r="AK71" i="1"/>
  <c r="AJ71" i="1"/>
  <c r="AH71" i="1"/>
  <c r="AG71" i="1"/>
  <c r="AF71" i="1"/>
  <c r="AC71" i="1"/>
  <c r="AB71" i="1"/>
  <c r="Z71" i="1"/>
  <c r="O71" i="1"/>
  <c r="BF71" i="1" s="1"/>
  <c r="L71" i="1"/>
  <c r="AL71" i="1" s="1"/>
  <c r="J71" i="1"/>
  <c r="BW70" i="1"/>
  <c r="BJ70" i="1"/>
  <c r="BI70" i="1"/>
  <c r="AE70" i="1" s="1"/>
  <c r="BD70" i="1"/>
  <c r="AP70" i="1"/>
  <c r="AX70" i="1" s="1"/>
  <c r="AO70" i="1"/>
  <c r="AW70" i="1" s="1"/>
  <c r="AK70" i="1"/>
  <c r="AJ70" i="1"/>
  <c r="AH70" i="1"/>
  <c r="AG70" i="1"/>
  <c r="AF70" i="1"/>
  <c r="AC70" i="1"/>
  <c r="AB70" i="1"/>
  <c r="Z70" i="1"/>
  <c r="O70" i="1"/>
  <c r="BF70" i="1" s="1"/>
  <c r="L70" i="1"/>
  <c r="M70" i="1" s="1"/>
  <c r="BW69" i="1"/>
  <c r="BJ69" i="1"/>
  <c r="BF69" i="1"/>
  <c r="BD69" i="1"/>
  <c r="AP69" i="1"/>
  <c r="AO69" i="1"/>
  <c r="AK69" i="1"/>
  <c r="AJ69" i="1"/>
  <c r="AH69" i="1"/>
  <c r="AG69" i="1"/>
  <c r="AF69" i="1"/>
  <c r="AC69" i="1"/>
  <c r="AB69" i="1"/>
  <c r="Z69" i="1"/>
  <c r="O69" i="1"/>
  <c r="L69" i="1"/>
  <c r="BW68" i="1"/>
  <c r="BJ68" i="1"/>
  <c r="BD68" i="1"/>
  <c r="AP68" i="1"/>
  <c r="AX68" i="1" s="1"/>
  <c r="AO68" i="1"/>
  <c r="BH68" i="1" s="1"/>
  <c r="AD68" i="1" s="1"/>
  <c r="AK68" i="1"/>
  <c r="AJ68" i="1"/>
  <c r="AH68" i="1"/>
  <c r="AG68" i="1"/>
  <c r="AF68" i="1"/>
  <c r="AC68" i="1"/>
  <c r="AB68" i="1"/>
  <c r="Z68" i="1"/>
  <c r="O68" i="1"/>
  <c r="BF68" i="1" s="1"/>
  <c r="L68" i="1"/>
  <c r="AL68" i="1" s="1"/>
  <c r="K68" i="1"/>
  <c r="J68" i="1"/>
  <c r="BW67" i="1"/>
  <c r="BJ67" i="1"/>
  <c r="BI67" i="1"/>
  <c r="AE67" i="1" s="1"/>
  <c r="BH67" i="1"/>
  <c r="AD67" i="1" s="1"/>
  <c r="BD67" i="1"/>
  <c r="AP67" i="1"/>
  <c r="AX67" i="1" s="1"/>
  <c r="AO67" i="1"/>
  <c r="AW67" i="1" s="1"/>
  <c r="AK67" i="1"/>
  <c r="AJ67" i="1"/>
  <c r="AH67" i="1"/>
  <c r="AG67" i="1"/>
  <c r="AF67" i="1"/>
  <c r="AC67" i="1"/>
  <c r="AB67" i="1"/>
  <c r="Z67" i="1"/>
  <c r="O67" i="1"/>
  <c r="BF67" i="1" s="1"/>
  <c r="L67" i="1"/>
  <c r="K67" i="1"/>
  <c r="BW66" i="1"/>
  <c r="BJ66" i="1"/>
  <c r="BD66" i="1"/>
  <c r="AP66" i="1"/>
  <c r="AO66" i="1"/>
  <c r="AK66" i="1"/>
  <c r="AJ66" i="1"/>
  <c r="AH66" i="1"/>
  <c r="AG66" i="1"/>
  <c r="AF66" i="1"/>
  <c r="AC66" i="1"/>
  <c r="AB66" i="1"/>
  <c r="Z66" i="1"/>
  <c r="O66" i="1"/>
  <c r="BF66" i="1" s="1"/>
  <c r="L66" i="1"/>
  <c r="AL66" i="1" s="1"/>
  <c r="BW65" i="1"/>
  <c r="BJ65" i="1"/>
  <c r="BD65" i="1"/>
  <c r="AP65" i="1"/>
  <c r="BI65" i="1" s="1"/>
  <c r="AE65" i="1" s="1"/>
  <c r="AO65" i="1"/>
  <c r="BH65" i="1" s="1"/>
  <c r="AD65" i="1" s="1"/>
  <c r="AK65" i="1"/>
  <c r="AJ65" i="1"/>
  <c r="AH65" i="1"/>
  <c r="AG65" i="1"/>
  <c r="AF65" i="1"/>
  <c r="AC65" i="1"/>
  <c r="AB65" i="1"/>
  <c r="Z65" i="1"/>
  <c r="O65" i="1"/>
  <c r="BF65" i="1" s="1"/>
  <c r="L65" i="1"/>
  <c r="M65" i="1" s="1"/>
  <c r="K65" i="1"/>
  <c r="BW64" i="1"/>
  <c r="BJ64" i="1"/>
  <c r="BD64" i="1"/>
  <c r="AP64" i="1"/>
  <c r="AX64" i="1" s="1"/>
  <c r="AO64" i="1"/>
  <c r="AW64" i="1" s="1"/>
  <c r="AL64" i="1"/>
  <c r="AK64" i="1"/>
  <c r="AJ64" i="1"/>
  <c r="AH64" i="1"/>
  <c r="AG64" i="1"/>
  <c r="AF64" i="1"/>
  <c r="AC64" i="1"/>
  <c r="AB64" i="1"/>
  <c r="Z64" i="1"/>
  <c r="O64" i="1"/>
  <c r="BF64" i="1" s="1"/>
  <c r="L64" i="1"/>
  <c r="M64" i="1" s="1"/>
  <c r="J64" i="1"/>
  <c r="BW63" i="1"/>
  <c r="BJ63" i="1"/>
  <c r="BD63" i="1"/>
  <c r="AP63" i="1"/>
  <c r="AO63" i="1"/>
  <c r="AW63" i="1" s="1"/>
  <c r="AK63" i="1"/>
  <c r="AJ63" i="1"/>
  <c r="AH63" i="1"/>
  <c r="AG63" i="1"/>
  <c r="AF63" i="1"/>
  <c r="AC63" i="1"/>
  <c r="AB63" i="1"/>
  <c r="Z63" i="1"/>
  <c r="O63" i="1"/>
  <c r="BF63" i="1" s="1"/>
  <c r="L63" i="1"/>
  <c r="AL63" i="1" s="1"/>
  <c r="BW60" i="1"/>
  <c r="BJ60" i="1"/>
  <c r="BD60" i="1"/>
  <c r="AP60" i="1"/>
  <c r="BI60" i="1" s="1"/>
  <c r="AO60" i="1"/>
  <c r="AW60" i="1" s="1"/>
  <c r="AK60" i="1"/>
  <c r="AJ60" i="1"/>
  <c r="AH60" i="1"/>
  <c r="AG60" i="1"/>
  <c r="AF60" i="1"/>
  <c r="AE60" i="1"/>
  <c r="AD60" i="1"/>
  <c r="AC60" i="1"/>
  <c r="AB60" i="1"/>
  <c r="Z60" i="1"/>
  <c r="O60" i="1"/>
  <c r="BF60" i="1" s="1"/>
  <c r="L60" i="1"/>
  <c r="AL60" i="1" s="1"/>
  <c r="BW59" i="1"/>
  <c r="BJ59" i="1"/>
  <c r="AH59" i="1" s="1"/>
  <c r="BD59" i="1"/>
  <c r="AP59" i="1"/>
  <c r="AX59" i="1" s="1"/>
  <c r="AO59" i="1"/>
  <c r="AW59" i="1" s="1"/>
  <c r="AK59" i="1"/>
  <c r="AJ59" i="1"/>
  <c r="AG59" i="1"/>
  <c r="AF59" i="1"/>
  <c r="AE59" i="1"/>
  <c r="AD59" i="1"/>
  <c r="AC59" i="1"/>
  <c r="AB59" i="1"/>
  <c r="Z59" i="1"/>
  <c r="O59" i="1"/>
  <c r="BF59" i="1" s="1"/>
  <c r="L59" i="1"/>
  <c r="K59" i="1"/>
  <c r="BW58" i="1"/>
  <c r="BJ58" i="1"/>
  <c r="AH58" i="1" s="1"/>
  <c r="BF58" i="1"/>
  <c r="BD58" i="1"/>
  <c r="AP58" i="1"/>
  <c r="AO58" i="1"/>
  <c r="AW58" i="1" s="1"/>
  <c r="AK58" i="1"/>
  <c r="AJ58" i="1"/>
  <c r="AG58" i="1"/>
  <c r="AF58" i="1"/>
  <c r="AE58" i="1"/>
  <c r="AD58" i="1"/>
  <c r="AC58" i="1"/>
  <c r="AB58" i="1"/>
  <c r="Z58" i="1"/>
  <c r="O58" i="1"/>
  <c r="L58" i="1"/>
  <c r="AL58" i="1" s="1"/>
  <c r="BW57" i="1"/>
  <c r="BJ57" i="1"/>
  <c r="BD57" i="1"/>
  <c r="AP57" i="1"/>
  <c r="BI57" i="1" s="1"/>
  <c r="AO57" i="1"/>
  <c r="AW57" i="1" s="1"/>
  <c r="AK57" i="1"/>
  <c r="AJ57" i="1"/>
  <c r="AH57" i="1"/>
  <c r="AG57" i="1"/>
  <c r="AF57" i="1"/>
  <c r="AE57" i="1"/>
  <c r="AD57" i="1"/>
  <c r="AC57" i="1"/>
  <c r="AB57" i="1"/>
  <c r="Z57" i="1"/>
  <c r="O57" i="1"/>
  <c r="BF57" i="1" s="1"/>
  <c r="L57" i="1"/>
  <c r="AL57" i="1" s="1"/>
  <c r="K57" i="1"/>
  <c r="BW56" i="1"/>
  <c r="BJ56" i="1"/>
  <c r="AH56" i="1" s="1"/>
  <c r="BD56" i="1"/>
  <c r="AP56" i="1"/>
  <c r="AX56" i="1" s="1"/>
  <c r="AO56" i="1"/>
  <c r="AW56" i="1" s="1"/>
  <c r="AK56" i="1"/>
  <c r="AJ56" i="1"/>
  <c r="AG56" i="1"/>
  <c r="AF56" i="1"/>
  <c r="AE56" i="1"/>
  <c r="AD56" i="1"/>
  <c r="AC56" i="1"/>
  <c r="AB56" i="1"/>
  <c r="Z56" i="1"/>
  <c r="O56" i="1"/>
  <c r="BF56" i="1" s="1"/>
  <c r="L56" i="1"/>
  <c r="J56" i="1"/>
  <c r="BW55" i="1"/>
  <c r="BJ55" i="1"/>
  <c r="AH55" i="1" s="1"/>
  <c r="BF55" i="1"/>
  <c r="BD55" i="1"/>
  <c r="AP55" i="1"/>
  <c r="AO55" i="1"/>
  <c r="AW55" i="1" s="1"/>
  <c r="AK55" i="1"/>
  <c r="AJ55" i="1"/>
  <c r="AG55" i="1"/>
  <c r="AF55" i="1"/>
  <c r="AE55" i="1"/>
  <c r="AD55" i="1"/>
  <c r="AC55" i="1"/>
  <c r="AB55" i="1"/>
  <c r="Z55" i="1"/>
  <c r="O55" i="1"/>
  <c r="L55" i="1"/>
  <c r="AL55" i="1" s="1"/>
  <c r="J55" i="1"/>
  <c r="BW54" i="1"/>
  <c r="BJ54" i="1"/>
  <c r="AH54" i="1" s="1"/>
  <c r="BD54" i="1"/>
  <c r="AP54" i="1"/>
  <c r="K54" i="1" s="1"/>
  <c r="AO54" i="1"/>
  <c r="AW54" i="1" s="1"/>
  <c r="AK54" i="1"/>
  <c r="AJ54" i="1"/>
  <c r="AG54" i="1"/>
  <c r="AF54" i="1"/>
  <c r="AE54" i="1"/>
  <c r="AD54" i="1"/>
  <c r="AC54" i="1"/>
  <c r="AB54" i="1"/>
  <c r="Z54" i="1"/>
  <c r="O54" i="1"/>
  <c r="BF54" i="1" s="1"/>
  <c r="L54" i="1"/>
  <c r="BW52" i="1"/>
  <c r="BJ52" i="1"/>
  <c r="Z52" i="1" s="1"/>
  <c r="BH52" i="1"/>
  <c r="BD52" i="1"/>
  <c r="AX52" i="1"/>
  <c r="AW52" i="1"/>
  <c r="AV52" i="1" s="1"/>
  <c r="AP52" i="1"/>
  <c r="BI52" i="1" s="1"/>
  <c r="AO52" i="1"/>
  <c r="J52" i="1" s="1"/>
  <c r="J51" i="1" s="1"/>
  <c r="AK52" i="1"/>
  <c r="AT51" i="1" s="1"/>
  <c r="AJ52" i="1"/>
  <c r="AS51" i="1" s="1"/>
  <c r="AH52" i="1"/>
  <c r="AG52" i="1"/>
  <c r="AF52" i="1"/>
  <c r="AE52" i="1"/>
  <c r="AD52" i="1"/>
  <c r="AC52" i="1"/>
  <c r="AB52" i="1"/>
  <c r="O52" i="1"/>
  <c r="O51" i="1" s="1"/>
  <c r="L52" i="1"/>
  <c r="AL52" i="1" s="1"/>
  <c r="AU51" i="1" s="1"/>
  <c r="K52" i="1"/>
  <c r="K51" i="1" s="1"/>
  <c r="BW50" i="1"/>
  <c r="BJ50" i="1"/>
  <c r="BD50" i="1"/>
  <c r="AP50" i="1"/>
  <c r="AX50" i="1" s="1"/>
  <c r="AO50" i="1"/>
  <c r="BH50" i="1" s="1"/>
  <c r="AB50" i="1" s="1"/>
  <c r="AK50" i="1"/>
  <c r="AJ50" i="1"/>
  <c r="AH50" i="1"/>
  <c r="AG50" i="1"/>
  <c r="AF50" i="1"/>
  <c r="AE50" i="1"/>
  <c r="AD50" i="1"/>
  <c r="Z50" i="1"/>
  <c r="O50" i="1"/>
  <c r="BF50" i="1" s="1"/>
  <c r="L50" i="1"/>
  <c r="AL50" i="1" s="1"/>
  <c r="BW49" i="1"/>
  <c r="BJ49" i="1"/>
  <c r="BD49" i="1"/>
  <c r="AP49" i="1"/>
  <c r="BI49" i="1" s="1"/>
  <c r="AC49" i="1" s="1"/>
  <c r="AO49" i="1"/>
  <c r="BH49" i="1" s="1"/>
  <c r="AB49" i="1" s="1"/>
  <c r="AK49" i="1"/>
  <c r="AJ49" i="1"/>
  <c r="AH49" i="1"/>
  <c r="AG49" i="1"/>
  <c r="AF49" i="1"/>
  <c r="AE49" i="1"/>
  <c r="AD49" i="1"/>
  <c r="Z49" i="1"/>
  <c r="O49" i="1"/>
  <c r="BF49" i="1" s="1"/>
  <c r="L49" i="1"/>
  <c r="AL49" i="1" s="1"/>
  <c r="K49" i="1"/>
  <c r="BW47" i="1"/>
  <c r="BJ47" i="1"/>
  <c r="BD47" i="1"/>
  <c r="AP47" i="1"/>
  <c r="K47" i="1" s="1"/>
  <c r="AO47" i="1"/>
  <c r="BH47" i="1" s="1"/>
  <c r="AD47" i="1" s="1"/>
  <c r="AK47" i="1"/>
  <c r="AJ47" i="1"/>
  <c r="AS45" i="1" s="1"/>
  <c r="AH47" i="1"/>
  <c r="AG47" i="1"/>
  <c r="AF47" i="1"/>
  <c r="AC47" i="1"/>
  <c r="AB47" i="1"/>
  <c r="Z47" i="1"/>
  <c r="O47" i="1"/>
  <c r="BF47" i="1" s="1"/>
  <c r="L47" i="1"/>
  <c r="M47" i="1" s="1"/>
  <c r="BW46" i="1"/>
  <c r="BJ46" i="1"/>
  <c r="BH46" i="1"/>
  <c r="AD46" i="1" s="1"/>
  <c r="BD46" i="1"/>
  <c r="AP46" i="1"/>
  <c r="AX46" i="1" s="1"/>
  <c r="AO46" i="1"/>
  <c r="J46" i="1" s="1"/>
  <c r="AK46" i="1"/>
  <c r="AJ46" i="1"/>
  <c r="AH46" i="1"/>
  <c r="AG46" i="1"/>
  <c r="AF46" i="1"/>
  <c r="AC46" i="1"/>
  <c r="AB46" i="1"/>
  <c r="Z46" i="1"/>
  <c r="O46" i="1"/>
  <c r="BF46" i="1" s="1"/>
  <c r="L46" i="1"/>
  <c r="AL46" i="1" s="1"/>
  <c r="BW44" i="1"/>
  <c r="BJ44" i="1"/>
  <c r="BF44" i="1"/>
  <c r="BD44" i="1"/>
  <c r="AP44" i="1"/>
  <c r="AO44" i="1"/>
  <c r="BH44" i="1" s="1"/>
  <c r="AD44" i="1" s="1"/>
  <c r="AK44" i="1"/>
  <c r="AT43" i="1" s="1"/>
  <c r="AJ44" i="1"/>
  <c r="AH44" i="1"/>
  <c r="AG44" i="1"/>
  <c r="AF44" i="1"/>
  <c r="AC44" i="1"/>
  <c r="AB44" i="1"/>
  <c r="Z44" i="1"/>
  <c r="O44" i="1"/>
  <c r="L44" i="1"/>
  <c r="L43" i="1" s="1"/>
  <c r="J44" i="1"/>
  <c r="J43" i="1" s="1"/>
  <c r="AS43" i="1"/>
  <c r="O43" i="1"/>
  <c r="BW42" i="1"/>
  <c r="M42" i="1" s="1"/>
  <c r="BJ42" i="1"/>
  <c r="BD42" i="1"/>
  <c r="AP42" i="1"/>
  <c r="AX42" i="1" s="1"/>
  <c r="AO42" i="1"/>
  <c r="J42" i="1" s="1"/>
  <c r="AK42" i="1"/>
  <c r="AJ42" i="1"/>
  <c r="AH42" i="1"/>
  <c r="AG42" i="1"/>
  <c r="AF42" i="1"/>
  <c r="AC42" i="1"/>
  <c r="AB42" i="1"/>
  <c r="Z42" i="1"/>
  <c r="O42" i="1"/>
  <c r="BF42" i="1" s="1"/>
  <c r="L42" i="1"/>
  <c r="AL42" i="1" s="1"/>
  <c r="BW41" i="1"/>
  <c r="BJ41" i="1"/>
  <c r="BD41" i="1"/>
  <c r="AP41" i="1"/>
  <c r="AX41" i="1" s="1"/>
  <c r="AO41" i="1"/>
  <c r="BH41" i="1" s="1"/>
  <c r="AD41" i="1" s="1"/>
  <c r="AK41" i="1"/>
  <c r="AJ41" i="1"/>
  <c r="AH41" i="1"/>
  <c r="AG41" i="1"/>
  <c r="AF41" i="1"/>
  <c r="AC41" i="1"/>
  <c r="AB41" i="1"/>
  <c r="Z41" i="1"/>
  <c r="O41" i="1"/>
  <c r="BF41" i="1" s="1"/>
  <c r="L41" i="1"/>
  <c r="AL41" i="1" s="1"/>
  <c r="K41" i="1"/>
  <c r="J41" i="1"/>
  <c r="BW40" i="1"/>
  <c r="BJ40" i="1"/>
  <c r="BD40" i="1"/>
  <c r="AP40" i="1"/>
  <c r="AX40" i="1" s="1"/>
  <c r="AO40" i="1"/>
  <c r="AW40" i="1" s="1"/>
  <c r="AK40" i="1"/>
  <c r="AJ40" i="1"/>
  <c r="AH40" i="1"/>
  <c r="AG40" i="1"/>
  <c r="AF40" i="1"/>
  <c r="AC40" i="1"/>
  <c r="AB40" i="1"/>
  <c r="Z40" i="1"/>
  <c r="O40" i="1"/>
  <c r="BF40" i="1" s="1"/>
  <c r="L40" i="1"/>
  <c r="M40" i="1" s="1"/>
  <c r="K40" i="1"/>
  <c r="BW39" i="1"/>
  <c r="BJ39" i="1"/>
  <c r="BD39" i="1"/>
  <c r="AP39" i="1"/>
  <c r="AO39" i="1"/>
  <c r="AW39" i="1" s="1"/>
  <c r="AK39" i="1"/>
  <c r="AJ39" i="1"/>
  <c r="AH39" i="1"/>
  <c r="AG39" i="1"/>
  <c r="AF39" i="1"/>
  <c r="AC39" i="1"/>
  <c r="AB39" i="1"/>
  <c r="Z39" i="1"/>
  <c r="O39" i="1"/>
  <c r="BF39" i="1" s="1"/>
  <c r="L39" i="1"/>
  <c r="AL39" i="1" s="1"/>
  <c r="BW38" i="1"/>
  <c r="BJ38" i="1"/>
  <c r="BI38" i="1"/>
  <c r="AE38" i="1" s="1"/>
  <c r="BD38" i="1"/>
  <c r="AP38" i="1"/>
  <c r="AX38" i="1" s="1"/>
  <c r="AO38" i="1"/>
  <c r="BH38" i="1" s="1"/>
  <c r="AD38" i="1" s="1"/>
  <c r="AK38" i="1"/>
  <c r="AJ38" i="1"/>
  <c r="AH38" i="1"/>
  <c r="AG38" i="1"/>
  <c r="AF38" i="1"/>
  <c r="AC38" i="1"/>
  <c r="AB38" i="1"/>
  <c r="Z38" i="1"/>
  <c r="O38" i="1"/>
  <c r="BF38" i="1" s="1"/>
  <c r="L38" i="1"/>
  <c r="M38" i="1" s="1"/>
  <c r="BW37" i="1"/>
  <c r="BJ37" i="1"/>
  <c r="BH37" i="1"/>
  <c r="AD37" i="1" s="1"/>
  <c r="BD37" i="1"/>
  <c r="AW37" i="1"/>
  <c r="AP37" i="1"/>
  <c r="K37" i="1" s="1"/>
  <c r="AO37" i="1"/>
  <c r="AK37" i="1"/>
  <c r="AJ37" i="1"/>
  <c r="AH37" i="1"/>
  <c r="AG37" i="1"/>
  <c r="AF37" i="1"/>
  <c r="AC37" i="1"/>
  <c r="AB37" i="1"/>
  <c r="Z37" i="1"/>
  <c r="O37" i="1"/>
  <c r="BF37" i="1" s="1"/>
  <c r="L37" i="1"/>
  <c r="J37" i="1"/>
  <c r="BW36" i="1"/>
  <c r="BJ36" i="1"/>
  <c r="BD36" i="1"/>
  <c r="AP36" i="1"/>
  <c r="AX36" i="1" s="1"/>
  <c r="AO36" i="1"/>
  <c r="BH36" i="1" s="1"/>
  <c r="AD36" i="1" s="1"/>
  <c r="AK36" i="1"/>
  <c r="AJ36" i="1"/>
  <c r="AH36" i="1"/>
  <c r="AG36" i="1"/>
  <c r="AF36" i="1"/>
  <c r="AC36" i="1"/>
  <c r="AB36" i="1"/>
  <c r="Z36" i="1"/>
  <c r="O36" i="1"/>
  <c r="BF36" i="1" s="1"/>
  <c r="L36" i="1"/>
  <c r="AL36" i="1" s="1"/>
  <c r="BW35" i="1"/>
  <c r="BJ35" i="1"/>
  <c r="BI35" i="1"/>
  <c r="AE35" i="1" s="1"/>
  <c r="BD35" i="1"/>
  <c r="AP35" i="1"/>
  <c r="AX35" i="1" s="1"/>
  <c r="AO35" i="1"/>
  <c r="AW35" i="1" s="1"/>
  <c r="AK35" i="1"/>
  <c r="AJ35" i="1"/>
  <c r="AH35" i="1"/>
  <c r="AG35" i="1"/>
  <c r="AF35" i="1"/>
  <c r="AC35" i="1"/>
  <c r="AB35" i="1"/>
  <c r="Z35" i="1"/>
  <c r="O35" i="1"/>
  <c r="BF35" i="1" s="1"/>
  <c r="L35" i="1"/>
  <c r="AL35" i="1" s="1"/>
  <c r="BW34" i="1"/>
  <c r="BJ34" i="1"/>
  <c r="BD34" i="1"/>
  <c r="AW34" i="1"/>
  <c r="AP34" i="1"/>
  <c r="BI34" i="1" s="1"/>
  <c r="AE34" i="1" s="1"/>
  <c r="AO34" i="1"/>
  <c r="BH34" i="1" s="1"/>
  <c r="AD34" i="1" s="1"/>
  <c r="AK34" i="1"/>
  <c r="AJ34" i="1"/>
  <c r="AH34" i="1"/>
  <c r="AG34" i="1"/>
  <c r="AF34" i="1"/>
  <c r="AC34" i="1"/>
  <c r="AB34" i="1"/>
  <c r="Z34" i="1"/>
  <c r="O34" i="1"/>
  <c r="BF34" i="1" s="1"/>
  <c r="L34" i="1"/>
  <c r="AL34" i="1" s="1"/>
  <c r="J34" i="1"/>
  <c r="BW33" i="1"/>
  <c r="BJ33" i="1"/>
  <c r="BH33" i="1"/>
  <c r="AD33" i="1" s="1"/>
  <c r="BF33" i="1"/>
  <c r="BD33" i="1"/>
  <c r="AW33" i="1"/>
  <c r="AP33" i="1"/>
  <c r="BI33" i="1" s="1"/>
  <c r="AE33" i="1" s="1"/>
  <c r="AO33" i="1"/>
  <c r="AK33" i="1"/>
  <c r="AJ33" i="1"/>
  <c r="AH33" i="1"/>
  <c r="AG33" i="1"/>
  <c r="AF33" i="1"/>
  <c r="AC33" i="1"/>
  <c r="AB33" i="1"/>
  <c r="Z33" i="1"/>
  <c r="O33" i="1"/>
  <c r="L33" i="1"/>
  <c r="AL33" i="1" s="1"/>
  <c r="K33" i="1"/>
  <c r="J33" i="1"/>
  <c r="BW32" i="1"/>
  <c r="BJ32" i="1"/>
  <c r="BF32" i="1"/>
  <c r="BD32" i="1"/>
  <c r="AP32" i="1"/>
  <c r="AX32" i="1" s="1"/>
  <c r="AO32" i="1"/>
  <c r="AW32" i="1" s="1"/>
  <c r="AK32" i="1"/>
  <c r="AJ32" i="1"/>
  <c r="AH32" i="1"/>
  <c r="AG32" i="1"/>
  <c r="AF32" i="1"/>
  <c r="AC32" i="1"/>
  <c r="AB32" i="1"/>
  <c r="Z32" i="1"/>
  <c r="O32" i="1"/>
  <c r="L32" i="1"/>
  <c r="BW31" i="1"/>
  <c r="BJ31" i="1"/>
  <c r="BD31" i="1"/>
  <c r="AX31" i="1"/>
  <c r="AP31" i="1"/>
  <c r="BI31" i="1" s="1"/>
  <c r="AE31" i="1" s="1"/>
  <c r="AO31" i="1"/>
  <c r="BH31" i="1" s="1"/>
  <c r="AD31" i="1" s="1"/>
  <c r="AK31" i="1"/>
  <c r="AJ31" i="1"/>
  <c r="AH31" i="1"/>
  <c r="AG31" i="1"/>
  <c r="AF31" i="1"/>
  <c r="AC31" i="1"/>
  <c r="AB31" i="1"/>
  <c r="Z31" i="1"/>
  <c r="O31" i="1"/>
  <c r="BF31" i="1" s="1"/>
  <c r="L31" i="1"/>
  <c r="M31" i="1" s="1"/>
  <c r="BW30" i="1"/>
  <c r="BJ30" i="1"/>
  <c r="BI30" i="1"/>
  <c r="AE30" i="1" s="1"/>
  <c r="BH30" i="1"/>
  <c r="AD30" i="1" s="1"/>
  <c r="BF30" i="1"/>
  <c r="BD30" i="1"/>
  <c r="AX30" i="1"/>
  <c r="AP30" i="1"/>
  <c r="K30" i="1" s="1"/>
  <c r="AO30" i="1"/>
  <c r="AW30" i="1" s="1"/>
  <c r="AK30" i="1"/>
  <c r="AJ30" i="1"/>
  <c r="AH30" i="1"/>
  <c r="AG30" i="1"/>
  <c r="AF30" i="1"/>
  <c r="AC30" i="1"/>
  <c r="AB30" i="1"/>
  <c r="Z30" i="1"/>
  <c r="O30" i="1"/>
  <c r="L30" i="1"/>
  <c r="AL30" i="1" s="1"/>
  <c r="J30" i="1"/>
  <c r="BW29" i="1"/>
  <c r="BJ29" i="1"/>
  <c r="BD29" i="1"/>
  <c r="AP29" i="1"/>
  <c r="AX29" i="1" s="1"/>
  <c r="AO29" i="1"/>
  <c r="AW29" i="1" s="1"/>
  <c r="AK29" i="1"/>
  <c r="AJ29" i="1"/>
  <c r="AH29" i="1"/>
  <c r="AG29" i="1"/>
  <c r="AF29" i="1"/>
  <c r="AC29" i="1"/>
  <c r="AB29" i="1"/>
  <c r="Z29" i="1"/>
  <c r="O29" i="1"/>
  <c r="BF29" i="1" s="1"/>
  <c r="L29" i="1"/>
  <c r="M29" i="1" s="1"/>
  <c r="BW28" i="1"/>
  <c r="BJ28" i="1"/>
  <c r="BH28" i="1"/>
  <c r="AD28" i="1" s="1"/>
  <c r="BD28" i="1"/>
  <c r="AW28" i="1"/>
  <c r="AP28" i="1"/>
  <c r="BI28" i="1" s="1"/>
  <c r="AE28" i="1" s="1"/>
  <c r="AO28" i="1"/>
  <c r="AK28" i="1"/>
  <c r="AJ28" i="1"/>
  <c r="AH28" i="1"/>
  <c r="AG28" i="1"/>
  <c r="AF28" i="1"/>
  <c r="AC28" i="1"/>
  <c r="AB28" i="1"/>
  <c r="Z28" i="1"/>
  <c r="O28" i="1"/>
  <c r="BF28" i="1" s="1"/>
  <c r="L28" i="1"/>
  <c r="J28" i="1"/>
  <c r="BW27" i="1"/>
  <c r="BJ27" i="1"/>
  <c r="BH27" i="1"/>
  <c r="AD27" i="1" s="1"/>
  <c r="BF27" i="1"/>
  <c r="BD27" i="1"/>
  <c r="AX27" i="1"/>
  <c r="AW27" i="1"/>
  <c r="BC27" i="1" s="1"/>
  <c r="AP27" i="1"/>
  <c r="BI27" i="1" s="1"/>
  <c r="AE27" i="1" s="1"/>
  <c r="AO27" i="1"/>
  <c r="AK27" i="1"/>
  <c r="AJ27" i="1"/>
  <c r="AH27" i="1"/>
  <c r="AG27" i="1"/>
  <c r="AF27" i="1"/>
  <c r="AC27" i="1"/>
  <c r="AB27" i="1"/>
  <c r="Z27" i="1"/>
  <c r="O27" i="1"/>
  <c r="L27" i="1"/>
  <c r="AL27" i="1" s="1"/>
  <c r="K27" i="1"/>
  <c r="J27" i="1"/>
  <c r="BW26" i="1"/>
  <c r="BJ26" i="1"/>
  <c r="BD26" i="1"/>
  <c r="AP26" i="1"/>
  <c r="AX26" i="1" s="1"/>
  <c r="AO26" i="1"/>
  <c r="AW26" i="1" s="1"/>
  <c r="AL26" i="1"/>
  <c r="AK26" i="1"/>
  <c r="AJ26" i="1"/>
  <c r="AH26" i="1"/>
  <c r="AG26" i="1"/>
  <c r="AF26" i="1"/>
  <c r="AC26" i="1"/>
  <c r="AB26" i="1"/>
  <c r="Z26" i="1"/>
  <c r="O26" i="1"/>
  <c r="BF26" i="1" s="1"/>
  <c r="L26" i="1"/>
  <c r="BW25" i="1"/>
  <c r="BJ25" i="1"/>
  <c r="BH25" i="1"/>
  <c r="AD25" i="1" s="1"/>
  <c r="BD25" i="1"/>
  <c r="AX25" i="1"/>
  <c r="AP25" i="1"/>
  <c r="BI25" i="1" s="1"/>
  <c r="AE25" i="1" s="1"/>
  <c r="AO25" i="1"/>
  <c r="AW25" i="1" s="1"/>
  <c r="AK25" i="1"/>
  <c r="AJ25" i="1"/>
  <c r="AH25" i="1"/>
  <c r="AG25" i="1"/>
  <c r="AF25" i="1"/>
  <c r="AC25" i="1"/>
  <c r="AB25" i="1"/>
  <c r="Z25" i="1"/>
  <c r="O25" i="1"/>
  <c r="BF25" i="1" s="1"/>
  <c r="L25" i="1"/>
  <c r="AL25" i="1" s="1"/>
  <c r="J25" i="1"/>
  <c r="BW24" i="1"/>
  <c r="BJ24" i="1"/>
  <c r="BF24" i="1"/>
  <c r="BD24" i="1"/>
  <c r="AX24" i="1"/>
  <c r="AP24" i="1"/>
  <c r="BI24" i="1" s="1"/>
  <c r="AE24" i="1" s="1"/>
  <c r="AO24" i="1"/>
  <c r="AW24" i="1" s="1"/>
  <c r="AK24" i="1"/>
  <c r="AJ24" i="1"/>
  <c r="AH24" i="1"/>
  <c r="AG24" i="1"/>
  <c r="AF24" i="1"/>
  <c r="AC24" i="1"/>
  <c r="AB24" i="1"/>
  <c r="Z24" i="1"/>
  <c r="O24" i="1"/>
  <c r="L24" i="1"/>
  <c r="AL24" i="1" s="1"/>
  <c r="K24" i="1"/>
  <c r="J24" i="1"/>
  <c r="BW23" i="1"/>
  <c r="BJ23" i="1"/>
  <c r="BF23" i="1"/>
  <c r="BD23" i="1"/>
  <c r="AP23" i="1"/>
  <c r="AX23" i="1" s="1"/>
  <c r="AO23" i="1"/>
  <c r="AW23" i="1" s="1"/>
  <c r="AK23" i="1"/>
  <c r="AJ23" i="1"/>
  <c r="AH23" i="1"/>
  <c r="AG23" i="1"/>
  <c r="AF23" i="1"/>
  <c r="AC23" i="1"/>
  <c r="AB23" i="1"/>
  <c r="Z23" i="1"/>
  <c r="O23" i="1"/>
  <c r="L23" i="1"/>
  <c r="AL23" i="1" s="1"/>
  <c r="BW22" i="1"/>
  <c r="BJ22" i="1"/>
  <c r="BD22" i="1"/>
  <c r="AP22" i="1"/>
  <c r="BI22" i="1" s="1"/>
  <c r="AE22" i="1" s="1"/>
  <c r="AO22" i="1"/>
  <c r="BH22" i="1" s="1"/>
  <c r="AD22" i="1" s="1"/>
  <c r="AK22" i="1"/>
  <c r="AJ22" i="1"/>
  <c r="AH22" i="1"/>
  <c r="AG22" i="1"/>
  <c r="AF22" i="1"/>
  <c r="AC22" i="1"/>
  <c r="AB22" i="1"/>
  <c r="Z22" i="1"/>
  <c r="O22" i="1"/>
  <c r="BF22" i="1" s="1"/>
  <c r="L22" i="1"/>
  <c r="M22" i="1" s="1"/>
  <c r="BW21" i="1"/>
  <c r="BJ21" i="1"/>
  <c r="BI21" i="1"/>
  <c r="AE21" i="1" s="1"/>
  <c r="BH21" i="1"/>
  <c r="AD21" i="1" s="1"/>
  <c r="BD21" i="1"/>
  <c r="AP21" i="1"/>
  <c r="AX21" i="1" s="1"/>
  <c r="AO21" i="1"/>
  <c r="AW21" i="1" s="1"/>
  <c r="AK21" i="1"/>
  <c r="AJ21" i="1"/>
  <c r="AH21" i="1"/>
  <c r="AG21" i="1"/>
  <c r="AF21" i="1"/>
  <c r="AC21" i="1"/>
  <c r="AB21" i="1"/>
  <c r="Z21" i="1"/>
  <c r="O21" i="1"/>
  <c r="BF21" i="1" s="1"/>
  <c r="L21" i="1"/>
  <c r="AL21" i="1" s="1"/>
  <c r="K21" i="1"/>
  <c r="J21" i="1"/>
  <c r="BW20" i="1"/>
  <c r="BJ20" i="1"/>
  <c r="BF20" i="1"/>
  <c r="BD20" i="1"/>
  <c r="AP20" i="1"/>
  <c r="AX20" i="1" s="1"/>
  <c r="AO20" i="1"/>
  <c r="AW20" i="1" s="1"/>
  <c r="AK20" i="1"/>
  <c r="AJ20" i="1"/>
  <c r="AH20" i="1"/>
  <c r="AG20" i="1"/>
  <c r="AF20" i="1"/>
  <c r="AC20" i="1"/>
  <c r="AB20" i="1"/>
  <c r="Z20" i="1"/>
  <c r="O20" i="1"/>
  <c r="L20" i="1"/>
  <c r="M20" i="1" s="1"/>
  <c r="BW19" i="1"/>
  <c r="BJ19" i="1"/>
  <c r="BD19" i="1"/>
  <c r="AP19" i="1"/>
  <c r="BI19" i="1" s="1"/>
  <c r="AE19" i="1" s="1"/>
  <c r="AO19" i="1"/>
  <c r="BH19" i="1" s="1"/>
  <c r="AD19" i="1" s="1"/>
  <c r="AK19" i="1"/>
  <c r="AJ19" i="1"/>
  <c r="AH19" i="1"/>
  <c r="AG19" i="1"/>
  <c r="AF19" i="1"/>
  <c r="AC19" i="1"/>
  <c r="AB19" i="1"/>
  <c r="Z19" i="1"/>
  <c r="O19" i="1"/>
  <c r="BF19" i="1" s="1"/>
  <c r="L19" i="1"/>
  <c r="J19" i="1"/>
  <c r="BW18" i="1"/>
  <c r="BJ18" i="1"/>
  <c r="BF18" i="1"/>
  <c r="BD18" i="1"/>
  <c r="AP18" i="1"/>
  <c r="AX18" i="1" s="1"/>
  <c r="AO18" i="1"/>
  <c r="AW18" i="1" s="1"/>
  <c r="AK18" i="1"/>
  <c r="AJ18" i="1"/>
  <c r="AH18" i="1"/>
  <c r="AG18" i="1"/>
  <c r="AF18" i="1"/>
  <c r="AC18" i="1"/>
  <c r="AB18" i="1"/>
  <c r="Z18" i="1"/>
  <c r="O18" i="1"/>
  <c r="L18" i="1"/>
  <c r="AL18" i="1" s="1"/>
  <c r="K18" i="1"/>
  <c r="J18" i="1"/>
  <c r="BW17" i="1"/>
  <c r="BJ17" i="1"/>
  <c r="BD17" i="1"/>
  <c r="AP17" i="1"/>
  <c r="AX17" i="1" s="1"/>
  <c r="AO17" i="1"/>
  <c r="AW17" i="1" s="1"/>
  <c r="AK17" i="1"/>
  <c r="AJ17" i="1"/>
  <c r="AH17" i="1"/>
  <c r="AG17" i="1"/>
  <c r="AF17" i="1"/>
  <c r="AC17" i="1"/>
  <c r="AB17" i="1"/>
  <c r="Z17" i="1"/>
  <c r="O17" i="1"/>
  <c r="BF17" i="1" s="1"/>
  <c r="L17" i="1"/>
  <c r="AL17" i="1" s="1"/>
  <c r="BW16" i="1"/>
  <c r="BJ16" i="1"/>
  <c r="BD16" i="1"/>
  <c r="AP16" i="1"/>
  <c r="BI16" i="1" s="1"/>
  <c r="AE16" i="1" s="1"/>
  <c r="AO16" i="1"/>
  <c r="BH16" i="1" s="1"/>
  <c r="AD16" i="1" s="1"/>
  <c r="AK16" i="1"/>
  <c r="AJ16" i="1"/>
  <c r="AH16" i="1"/>
  <c r="AG16" i="1"/>
  <c r="AF16" i="1"/>
  <c r="AC16" i="1"/>
  <c r="AB16" i="1"/>
  <c r="Z16" i="1"/>
  <c r="O16" i="1"/>
  <c r="BF16" i="1" s="1"/>
  <c r="L16" i="1"/>
  <c r="BW15" i="1"/>
  <c r="BJ15" i="1"/>
  <c r="BF15" i="1"/>
  <c r="BD15" i="1"/>
  <c r="AP15" i="1"/>
  <c r="AX15" i="1" s="1"/>
  <c r="AO15" i="1"/>
  <c r="AW15" i="1" s="1"/>
  <c r="AK15" i="1"/>
  <c r="AJ15" i="1"/>
  <c r="AH15" i="1"/>
  <c r="AG15" i="1"/>
  <c r="AF15" i="1"/>
  <c r="AC15" i="1"/>
  <c r="AB15" i="1"/>
  <c r="Z15" i="1"/>
  <c r="O15" i="1"/>
  <c r="L15" i="1"/>
  <c r="AL15" i="1" s="1"/>
  <c r="BW14" i="1"/>
  <c r="BJ14" i="1"/>
  <c r="BD14" i="1"/>
  <c r="AP14" i="1"/>
  <c r="AX14" i="1" s="1"/>
  <c r="AO14" i="1"/>
  <c r="AW14" i="1" s="1"/>
  <c r="AK14" i="1"/>
  <c r="AJ14" i="1"/>
  <c r="AH14" i="1"/>
  <c r="AG14" i="1"/>
  <c r="AF14" i="1"/>
  <c r="AC14" i="1"/>
  <c r="AB14" i="1"/>
  <c r="Z14" i="1"/>
  <c r="O14" i="1"/>
  <c r="L14" i="1"/>
  <c r="AU1" i="1"/>
  <c r="AT1" i="1"/>
  <c r="AS1" i="1"/>
  <c r="AV71" i="1" l="1"/>
  <c r="BC30" i="1"/>
  <c r="AV30" i="1"/>
  <c r="BC236" i="1"/>
  <c r="AV236" i="1"/>
  <c r="M19" i="1"/>
  <c r="AL29" i="1"/>
  <c r="J65" i="1"/>
  <c r="AL65" i="1"/>
  <c r="M67" i="1"/>
  <c r="M76" i="1"/>
  <c r="BI86" i="1"/>
  <c r="AE86" i="1" s="1"/>
  <c r="BH98" i="1"/>
  <c r="AD98" i="1" s="1"/>
  <c r="AL100" i="1"/>
  <c r="J104" i="1"/>
  <c r="AL104" i="1"/>
  <c r="BI184" i="1"/>
  <c r="AE184" i="1" s="1"/>
  <c r="M208" i="1"/>
  <c r="BC230" i="1"/>
  <c r="AX235" i="1"/>
  <c r="AX247" i="1"/>
  <c r="AW249" i="1"/>
  <c r="BC249" i="1" s="1"/>
  <c r="BI257" i="1"/>
  <c r="BI267" i="1"/>
  <c r="K274" i="1"/>
  <c r="AX280" i="1"/>
  <c r="J288" i="1"/>
  <c r="BH296" i="1"/>
  <c r="AB296" i="1" s="1"/>
  <c r="AX304" i="1"/>
  <c r="O337" i="1"/>
  <c r="J341" i="1"/>
  <c r="AS351" i="1"/>
  <c r="K385" i="1"/>
  <c r="K384" i="1" s="1"/>
  <c r="BF397" i="1"/>
  <c r="AX407" i="1"/>
  <c r="AV407" i="1" s="1"/>
  <c r="AT409" i="1"/>
  <c r="AL414" i="1"/>
  <c r="AL20" i="1"/>
  <c r="M32" i="1"/>
  <c r="J38" i="1"/>
  <c r="K50" i="1"/>
  <c r="K48" i="1" s="1"/>
  <c r="M69" i="1"/>
  <c r="AS87" i="1"/>
  <c r="K104" i="1"/>
  <c r="AL117" i="1"/>
  <c r="BI176" i="1"/>
  <c r="AE176" i="1" s="1"/>
  <c r="M192" i="1"/>
  <c r="BH228" i="1"/>
  <c r="BI236" i="1"/>
  <c r="BH243" i="1"/>
  <c r="BI251" i="1"/>
  <c r="K264" i="1"/>
  <c r="AW288" i="1"/>
  <c r="M289" i="1"/>
  <c r="K292" i="1"/>
  <c r="BH306" i="1"/>
  <c r="AD306" i="1" s="1"/>
  <c r="BH310" i="1"/>
  <c r="AD310" i="1" s="1"/>
  <c r="AL330" i="1"/>
  <c r="AW370" i="1"/>
  <c r="BC370" i="1" s="1"/>
  <c r="M378" i="1"/>
  <c r="M377" i="1" s="1"/>
  <c r="AL391" i="1"/>
  <c r="BH402" i="1"/>
  <c r="M14" i="1"/>
  <c r="K38" i="1"/>
  <c r="J59" i="1"/>
  <c r="J82" i="1"/>
  <c r="J95" i="1"/>
  <c r="M155" i="1"/>
  <c r="M204" i="1"/>
  <c r="K227" i="1"/>
  <c r="BI235" i="1"/>
  <c r="K254" i="1"/>
  <c r="K256" i="1"/>
  <c r="K260" i="1"/>
  <c r="AX278" i="1"/>
  <c r="BC278" i="1" s="1"/>
  <c r="BH280" i="1"/>
  <c r="M290" i="1"/>
  <c r="BI304" i="1"/>
  <c r="AE304" i="1" s="1"/>
  <c r="BI310" i="1"/>
  <c r="AE310" i="1" s="1"/>
  <c r="J316" i="1"/>
  <c r="J321" i="1"/>
  <c r="O329" i="1"/>
  <c r="BI343" i="1"/>
  <c r="L354" i="1"/>
  <c r="BF361" i="1"/>
  <c r="BI375" i="1"/>
  <c r="AE375" i="1" s="1"/>
  <c r="O13" i="1"/>
  <c r="BC34" i="1"/>
  <c r="AT284" i="1"/>
  <c r="AL297" i="1"/>
  <c r="AL311" i="1"/>
  <c r="BC321" i="1"/>
  <c r="BF14" i="1"/>
  <c r="AS62" i="1"/>
  <c r="K71" i="1"/>
  <c r="J22" i="1"/>
  <c r="M26" i="1"/>
  <c r="AX34" i="1"/>
  <c r="BI50" i="1"/>
  <c r="AC50" i="1" s="1"/>
  <c r="M82" i="1"/>
  <c r="BH90" i="1"/>
  <c r="AD90" i="1" s="1"/>
  <c r="M95" i="1"/>
  <c r="BH119" i="1"/>
  <c r="AD119" i="1" s="1"/>
  <c r="AW135" i="1"/>
  <c r="AV135" i="1" s="1"/>
  <c r="K149" i="1"/>
  <c r="AX170" i="1"/>
  <c r="BC170" i="1" s="1"/>
  <c r="BC175" i="1"/>
  <c r="K229" i="1"/>
  <c r="K244" i="1"/>
  <c r="M258" i="1"/>
  <c r="AX264" i="1"/>
  <c r="BC264" i="1" s="1"/>
  <c r="BC266" i="1"/>
  <c r="AX292" i="1"/>
  <c r="J294" i="1"/>
  <c r="K297" i="1"/>
  <c r="AX330" i="1"/>
  <c r="BC330" i="1" s="1"/>
  <c r="AV359" i="1"/>
  <c r="AS362" i="1"/>
  <c r="K403" i="1"/>
  <c r="I18" i="3"/>
  <c r="F22" i="2"/>
  <c r="K175" i="1"/>
  <c r="BF388" i="1"/>
  <c r="BH24" i="1"/>
  <c r="AD24" i="1" s="1"/>
  <c r="J31" i="1"/>
  <c r="AL44" i="1"/>
  <c r="AU43" i="1" s="1"/>
  <c r="AT48" i="1"/>
  <c r="K70" i="1"/>
  <c r="AL70" i="1"/>
  <c r="AL73" i="1"/>
  <c r="BI80" i="1"/>
  <c r="AE80" i="1" s="1"/>
  <c r="J85" i="1"/>
  <c r="K86" i="1"/>
  <c r="BI104" i="1"/>
  <c r="AE104" i="1" s="1"/>
  <c r="J110" i="1"/>
  <c r="AV133" i="1"/>
  <c r="K141" i="1"/>
  <c r="K157" i="1"/>
  <c r="AW200" i="1"/>
  <c r="K239" i="1"/>
  <c r="K241" i="1"/>
  <c r="K275" i="1"/>
  <c r="AV275" i="1"/>
  <c r="K289" i="1"/>
  <c r="J291" i="1"/>
  <c r="BH292" i="1"/>
  <c r="AD292" i="1" s="1"/>
  <c r="M305" i="1"/>
  <c r="BH309" i="1"/>
  <c r="AD309" i="1" s="1"/>
  <c r="J317" i="1"/>
  <c r="BI330" i="1"/>
  <c r="AE330" i="1" s="1"/>
  <c r="J356" i="1"/>
  <c r="M368" i="1"/>
  <c r="BH385" i="1"/>
  <c r="AB385" i="1" s="1"/>
  <c r="AX403" i="1"/>
  <c r="M410" i="1"/>
  <c r="AX71" i="1"/>
  <c r="BH79" i="1"/>
  <c r="AD79" i="1" s="1"/>
  <c r="BI149" i="1"/>
  <c r="AE149" i="1" s="1"/>
  <c r="AW154" i="1"/>
  <c r="AV154" i="1" s="1"/>
  <c r="AX229" i="1"/>
  <c r="BC229" i="1" s="1"/>
  <c r="M242" i="1"/>
  <c r="BC273" i="1"/>
  <c r="AW291" i="1"/>
  <c r="BI311" i="1"/>
  <c r="AE311" i="1" s="1"/>
  <c r="BH323" i="1"/>
  <c r="AD323" i="1" s="1"/>
  <c r="BF359" i="1"/>
  <c r="O371" i="1"/>
  <c r="M380" i="1"/>
  <c r="AL394" i="1"/>
  <c r="AT399" i="1"/>
  <c r="AW31" i="1"/>
  <c r="AV31" i="1" s="1"/>
  <c r="M23" i="1"/>
  <c r="BC28" i="1"/>
  <c r="M103" i="1"/>
  <c r="AX152" i="1"/>
  <c r="BH237" i="1"/>
  <c r="K257" i="1"/>
  <c r="K267" i="1"/>
  <c r="K269" i="1"/>
  <c r="BH271" i="1"/>
  <c r="AX275" i="1"/>
  <c r="BC275" i="1" s="1"/>
  <c r="M297" i="1"/>
  <c r="AX320" i="1"/>
  <c r="BH321" i="1"/>
  <c r="AD321" i="1" s="1"/>
  <c r="BH326" i="1"/>
  <c r="AD326" i="1" s="1"/>
  <c r="AT329" i="1"/>
  <c r="K339" i="1"/>
  <c r="K343" i="1"/>
  <c r="K342" i="1" s="1"/>
  <c r="K350" i="1"/>
  <c r="K349" i="1" s="1"/>
  <c r="BI359" i="1"/>
  <c r="AC359" i="1" s="1"/>
  <c r="AV366" i="1"/>
  <c r="AL397" i="1"/>
  <c r="K400" i="1"/>
  <c r="K402" i="1"/>
  <c r="M406" i="1"/>
  <c r="AS405" i="1"/>
  <c r="M28" i="1"/>
  <c r="M37" i="1"/>
  <c r="L51" i="1"/>
  <c r="J58" i="1"/>
  <c r="J60" i="1"/>
  <c r="BC25" i="1"/>
  <c r="AX28" i="1"/>
  <c r="K35" i="1"/>
  <c r="AU48" i="1"/>
  <c r="O53" i="1"/>
  <c r="K56" i="1"/>
  <c r="K60" i="1"/>
  <c r="BH64" i="1"/>
  <c r="AD64" i="1" s="1"/>
  <c r="M81" i="1"/>
  <c r="O91" i="1"/>
  <c r="BF92" i="1"/>
  <c r="M98" i="1"/>
  <c r="M101" i="1"/>
  <c r="J105" i="1"/>
  <c r="AW184" i="1"/>
  <c r="BC184" i="1" s="1"/>
  <c r="AL201" i="1"/>
  <c r="AX241" i="1"/>
  <c r="BH273" i="1"/>
  <c r="BH356" i="1"/>
  <c r="AB356" i="1" s="1"/>
  <c r="M402" i="1"/>
  <c r="AT405" i="1"/>
  <c r="M35" i="1"/>
  <c r="L53" i="1"/>
  <c r="AL67" i="1"/>
  <c r="AU62" i="1" s="1"/>
  <c r="BI68" i="1"/>
  <c r="AE68" i="1" s="1"/>
  <c r="BH70" i="1"/>
  <c r="AD70" i="1" s="1"/>
  <c r="J76" i="1"/>
  <c r="AL76" i="1"/>
  <c r="BI77" i="1"/>
  <c r="AE77" i="1" s="1"/>
  <c r="K105" i="1"/>
  <c r="BH110" i="1"/>
  <c r="AD110" i="1" s="1"/>
  <c r="M133" i="1"/>
  <c r="BH166" i="1"/>
  <c r="AD166" i="1" s="1"/>
  <c r="BI210" i="1"/>
  <c r="AE210" i="1" s="1"/>
  <c r="AW231" i="1"/>
  <c r="AV231" i="1" s="1"/>
  <c r="BH289" i="1"/>
  <c r="AD289" i="1" s="1"/>
  <c r="L329" i="1"/>
  <c r="O389" i="1"/>
  <c r="BF390" i="1"/>
  <c r="K396" i="1"/>
  <c r="AL32" i="1"/>
  <c r="AL69" i="1"/>
  <c r="M89" i="1"/>
  <c r="BI99" i="1"/>
  <c r="AE99" i="1" s="1"/>
  <c r="BI110" i="1"/>
  <c r="AE110" i="1" s="1"/>
  <c r="M136" i="1"/>
  <c r="L156" i="1"/>
  <c r="BI216" i="1"/>
  <c r="AC216" i="1" s="1"/>
  <c r="AW247" i="1"/>
  <c r="AX251" i="1"/>
  <c r="AV251" i="1" s="1"/>
  <c r="BH255" i="1"/>
  <c r="J304" i="1"/>
  <c r="AS329" i="1"/>
  <c r="L337" i="1"/>
  <c r="BI350" i="1"/>
  <c r="AC350" i="1" s="1"/>
  <c r="BI390" i="1"/>
  <c r="AC390" i="1" s="1"/>
  <c r="M404" i="1"/>
  <c r="AS409" i="1"/>
  <c r="AT386" i="1"/>
  <c r="AL14" i="1"/>
  <c r="BH18" i="1"/>
  <c r="AD18" i="1" s="1"/>
  <c r="BI18" i="1"/>
  <c r="AE18" i="1" s="1"/>
  <c r="BH15" i="1"/>
  <c r="AD15" i="1" s="1"/>
  <c r="BI15" i="1"/>
  <c r="AE15" i="1" s="1"/>
  <c r="AT13" i="1"/>
  <c r="BC52" i="1"/>
  <c r="AW46" i="1"/>
  <c r="AV46" i="1" s="1"/>
  <c r="AX410" i="1"/>
  <c r="AW413" i="1"/>
  <c r="AL413" i="1"/>
  <c r="AW410" i="1"/>
  <c r="BH410" i="1"/>
  <c r="AB410" i="1" s="1"/>
  <c r="BH412" i="1"/>
  <c r="AB412" i="1" s="1"/>
  <c r="BI410" i="1"/>
  <c r="AC410" i="1" s="1"/>
  <c r="BH413" i="1"/>
  <c r="AB413" i="1" s="1"/>
  <c r="L409" i="1"/>
  <c r="L408" i="1" s="1"/>
  <c r="BH407" i="1"/>
  <c r="BI407" i="1"/>
  <c r="L405" i="1"/>
  <c r="M407" i="1"/>
  <c r="BI402" i="1"/>
  <c r="M401" i="1"/>
  <c r="AX400" i="1"/>
  <c r="AV400" i="1" s="1"/>
  <c r="AL402" i="1"/>
  <c r="AX398" i="1"/>
  <c r="AW397" i="1"/>
  <c r="AX397" i="1"/>
  <c r="BI397" i="1"/>
  <c r="AC397" i="1" s="1"/>
  <c r="AS396" i="1"/>
  <c r="AS389" i="1"/>
  <c r="BH394" i="1"/>
  <c r="AB394" i="1" s="1"/>
  <c r="BH391" i="1"/>
  <c r="AB391" i="1" s="1"/>
  <c r="AX393" i="1"/>
  <c r="AX388" i="1"/>
  <c r="BC388" i="1" s="1"/>
  <c r="AW387" i="1"/>
  <c r="BI388" i="1"/>
  <c r="AC388" i="1" s="1"/>
  <c r="M387" i="1"/>
  <c r="AV385" i="1"/>
  <c r="AW383" i="1"/>
  <c r="M383" i="1"/>
  <c r="M382" i="1" s="1"/>
  <c r="L382" i="1"/>
  <c r="AW381" i="1"/>
  <c r="AU379" i="1"/>
  <c r="AX381" i="1"/>
  <c r="AW380" i="1"/>
  <c r="BH381" i="1"/>
  <c r="AB381" i="1" s="1"/>
  <c r="BI381" i="1"/>
  <c r="AC381" i="1" s="1"/>
  <c r="AS379" i="1"/>
  <c r="L377" i="1"/>
  <c r="BH378" i="1"/>
  <c r="AD378" i="1" s="1"/>
  <c r="AW374" i="1"/>
  <c r="AX374" i="1"/>
  <c r="AW376" i="1"/>
  <c r="AT373" i="1"/>
  <c r="AW372" i="1"/>
  <c r="AV372" i="1" s="1"/>
  <c r="M364" i="1"/>
  <c r="M367" i="1"/>
  <c r="AW365" i="1"/>
  <c r="BC365" i="1" s="1"/>
  <c r="BC366" i="1"/>
  <c r="AW368" i="1"/>
  <c r="AX363" i="1"/>
  <c r="AV363" i="1" s="1"/>
  <c r="AX365" i="1"/>
  <c r="AS354" i="1"/>
  <c r="M355" i="1"/>
  <c r="AT354" i="1"/>
  <c r="AX357" i="1"/>
  <c r="AX356" i="1"/>
  <c r="AV356" i="1" s="1"/>
  <c r="AU351" i="1"/>
  <c r="AT351" i="1"/>
  <c r="M353" i="1"/>
  <c r="AX352" i="1"/>
  <c r="AV352" i="1" s="1"/>
  <c r="AX333" i="1"/>
  <c r="BI334" i="1"/>
  <c r="AE334" i="1" s="1"/>
  <c r="AX336" i="1"/>
  <c r="AS332" i="1"/>
  <c r="AX340" i="1"/>
  <c r="AL334" i="1"/>
  <c r="AW333" i="1"/>
  <c r="L339" i="1"/>
  <c r="BH341" i="1"/>
  <c r="AB341" i="1" s="1"/>
  <c r="K331" i="1"/>
  <c r="K329" i="1" s="1"/>
  <c r="AW331" i="1"/>
  <c r="BC331" i="1" s="1"/>
  <c r="AX331" i="1"/>
  <c r="BC310" i="1"/>
  <c r="AV310" i="1"/>
  <c r="J302" i="1"/>
  <c r="BI312" i="1"/>
  <c r="AE312" i="1" s="1"/>
  <c r="M317" i="1"/>
  <c r="AW319" i="1"/>
  <c r="BI325" i="1"/>
  <c r="AE325" i="1" s="1"/>
  <c r="AX308" i="1"/>
  <c r="BC308" i="1" s="1"/>
  <c r="J315" i="1"/>
  <c r="BH317" i="1"/>
  <c r="AD317" i="1" s="1"/>
  <c r="M323" i="1"/>
  <c r="J303" i="1"/>
  <c r="BH308" i="1"/>
  <c r="AD308" i="1" s="1"/>
  <c r="BH305" i="1"/>
  <c r="AD305" i="1" s="1"/>
  <c r="AX313" i="1"/>
  <c r="J318" i="1"/>
  <c r="AW322" i="1"/>
  <c r="AX309" i="1"/>
  <c r="BC309" i="1" s="1"/>
  <c r="BI300" i="1"/>
  <c r="AE300" i="1" s="1"/>
  <c r="BI309" i="1"/>
  <c r="AE309" i="1" s="1"/>
  <c r="AW307" i="1"/>
  <c r="AX322" i="1"/>
  <c r="AL326" i="1"/>
  <c r="AX301" i="1"/>
  <c r="AX316" i="1"/>
  <c r="BH318" i="1"/>
  <c r="AD318" i="1" s="1"/>
  <c r="BC320" i="1"/>
  <c r="BC326" i="1"/>
  <c r="AS295" i="1"/>
  <c r="AT295" i="1"/>
  <c r="AW297" i="1"/>
  <c r="AX297" i="1"/>
  <c r="J296" i="1"/>
  <c r="J295" i="1" s="1"/>
  <c r="AU295" i="1"/>
  <c r="L284" i="1"/>
  <c r="L283" i="1" s="1"/>
  <c r="AL290" i="1"/>
  <c r="AU284" i="1" s="1"/>
  <c r="AX290" i="1"/>
  <c r="AX293" i="1"/>
  <c r="AX287" i="1"/>
  <c r="M287" i="1"/>
  <c r="M293" i="1"/>
  <c r="AX227" i="1"/>
  <c r="AV227" i="1" s="1"/>
  <c r="BH252" i="1"/>
  <c r="BC227" i="1"/>
  <c r="J230" i="1"/>
  <c r="M230" i="1"/>
  <c r="AX233" i="1"/>
  <c r="BC233" i="1" s="1"/>
  <c r="AX244" i="1"/>
  <c r="K247" i="1"/>
  <c r="AX260" i="1"/>
  <c r="BC260" i="1" s="1"/>
  <c r="J263" i="1"/>
  <c r="AW240" i="1"/>
  <c r="AW244" i="1"/>
  <c r="BC244" i="1" s="1"/>
  <c r="AX254" i="1"/>
  <c r="M257" i="1"/>
  <c r="BH258" i="1"/>
  <c r="AX265" i="1"/>
  <c r="BC265" i="1" s="1"/>
  <c r="BI266" i="1"/>
  <c r="AX232" i="1"/>
  <c r="BC232" i="1" s="1"/>
  <c r="J236" i="1"/>
  <c r="M236" i="1"/>
  <c r="AX239" i="1"/>
  <c r="AV239" i="1" s="1"/>
  <c r="BI245" i="1"/>
  <c r="BI249" i="1"/>
  <c r="K263" i="1"/>
  <c r="BI268" i="1"/>
  <c r="J277" i="1"/>
  <c r="J280" i="1"/>
  <c r="AX261" i="1"/>
  <c r="BC261" i="1" s="1"/>
  <c r="AV265" i="1"/>
  <c r="BC234" i="1"/>
  <c r="AX245" i="1"/>
  <c r="AX249" i="1"/>
  <c r="BH260" i="1"/>
  <c r="BH265" i="1"/>
  <c r="BH233" i="1"/>
  <c r="K242" i="1"/>
  <c r="BI233" i="1"/>
  <c r="BH239" i="1"/>
  <c r="M248" i="1"/>
  <c r="K262" i="1"/>
  <c r="AX263" i="1"/>
  <c r="BC263" i="1" s="1"/>
  <c r="BH264" i="1"/>
  <c r="BH275" i="1"/>
  <c r="AV230" i="1"/>
  <c r="J249" i="1"/>
  <c r="M250" i="1"/>
  <c r="BH253" i="1"/>
  <c r="J255" i="1"/>
  <c r="J261" i="1"/>
  <c r="BC262" i="1"/>
  <c r="J266" i="1"/>
  <c r="J273" i="1"/>
  <c r="AX274" i="1"/>
  <c r="AX277" i="1"/>
  <c r="AV277" i="1" s="1"/>
  <c r="J233" i="1"/>
  <c r="M233" i="1"/>
  <c r="J258" i="1"/>
  <c r="K261" i="1"/>
  <c r="BH263" i="1"/>
  <c r="K266" i="1"/>
  <c r="J227" i="1"/>
  <c r="J239" i="1"/>
  <c r="M239" i="1"/>
  <c r="M245" i="1"/>
  <c r="M247" i="1"/>
  <c r="J252" i="1"/>
  <c r="J265" i="1"/>
  <c r="BH277" i="1"/>
  <c r="BF225" i="1"/>
  <c r="M223" i="1"/>
  <c r="M222" i="1" s="1"/>
  <c r="AX223" i="1"/>
  <c r="L222" i="1"/>
  <c r="AX221" i="1"/>
  <c r="AV221" i="1" s="1"/>
  <c r="AX215" i="1"/>
  <c r="M213" i="1"/>
  <c r="AX213" i="1"/>
  <c r="AS211" i="1"/>
  <c r="AW217" i="1"/>
  <c r="AV217" i="1" s="1"/>
  <c r="AX219" i="1"/>
  <c r="M212" i="1"/>
  <c r="BC187" i="1"/>
  <c r="AV187" i="1"/>
  <c r="BC190" i="1"/>
  <c r="AV190" i="1"/>
  <c r="AX164" i="1"/>
  <c r="BC164" i="1" s="1"/>
  <c r="AX182" i="1"/>
  <c r="AX203" i="1"/>
  <c r="AV203" i="1" s="1"/>
  <c r="AX208" i="1"/>
  <c r="AX200" i="1"/>
  <c r="BC200" i="1" s="1"/>
  <c r="AW205" i="1"/>
  <c r="BI164" i="1"/>
  <c r="AE164" i="1" s="1"/>
  <c r="BI182" i="1"/>
  <c r="AE182" i="1" s="1"/>
  <c r="AW194" i="1"/>
  <c r="AW197" i="1"/>
  <c r="AV163" i="1"/>
  <c r="AW181" i="1"/>
  <c r="AW191" i="1"/>
  <c r="AX194" i="1"/>
  <c r="AX197" i="1"/>
  <c r="AV199" i="1"/>
  <c r="AX161" i="1"/>
  <c r="BC161" i="1" s="1"/>
  <c r="AX167" i="1"/>
  <c r="AV167" i="1" s="1"/>
  <c r="BH169" i="1"/>
  <c r="AD169" i="1" s="1"/>
  <c r="BH175" i="1"/>
  <c r="AD175" i="1" s="1"/>
  <c r="AX179" i="1"/>
  <c r="BC179" i="1" s="1"/>
  <c r="AW188" i="1"/>
  <c r="AX191" i="1"/>
  <c r="AV191" i="1" s="1"/>
  <c r="AW196" i="1"/>
  <c r="AV196" i="1" s="1"/>
  <c r="AW199" i="1"/>
  <c r="BC199" i="1" s="1"/>
  <c r="AW202" i="1"/>
  <c r="J164" i="1"/>
  <c r="AV172" i="1"/>
  <c r="BH178" i="1"/>
  <c r="AD178" i="1" s="1"/>
  <c r="J182" i="1"/>
  <c r="BH187" i="1"/>
  <c r="AD187" i="1" s="1"/>
  <c r="BH190" i="1"/>
  <c r="AD190" i="1" s="1"/>
  <c r="BH207" i="1"/>
  <c r="AD207" i="1" s="1"/>
  <c r="AS156" i="1"/>
  <c r="BH163" i="1"/>
  <c r="AD163" i="1" s="1"/>
  <c r="AX173" i="1"/>
  <c r="BC173" i="1" s="1"/>
  <c r="AX188" i="1"/>
  <c r="AW193" i="1"/>
  <c r="BI200" i="1"/>
  <c r="AE200" i="1" s="1"/>
  <c r="AX157" i="1"/>
  <c r="BI163" i="1"/>
  <c r="AE163" i="1" s="1"/>
  <c r="BI181" i="1"/>
  <c r="AE181" i="1" s="1"/>
  <c r="M207" i="1"/>
  <c r="AV178" i="1"/>
  <c r="AX185" i="1"/>
  <c r="BC185" i="1" s="1"/>
  <c r="BI196" i="1"/>
  <c r="AE196" i="1" s="1"/>
  <c r="BI202" i="1"/>
  <c r="AE202" i="1" s="1"/>
  <c r="M157" i="1"/>
  <c r="BH160" i="1"/>
  <c r="AD160" i="1" s="1"/>
  <c r="BC176" i="1"/>
  <c r="BI178" i="1"/>
  <c r="AE178" i="1" s="1"/>
  <c r="AV184" i="1"/>
  <c r="BI187" i="1"/>
  <c r="AE187" i="1" s="1"/>
  <c r="BI190" i="1"/>
  <c r="AE190" i="1" s="1"/>
  <c r="AX151" i="1"/>
  <c r="BI154" i="1"/>
  <c r="AE154" i="1" s="1"/>
  <c r="M149" i="1"/>
  <c r="AT146" i="1"/>
  <c r="AL155" i="1"/>
  <c r="AL152" i="1"/>
  <c r="AX141" i="1"/>
  <c r="AW143" i="1"/>
  <c r="BI144" i="1"/>
  <c r="AE144" i="1" s="1"/>
  <c r="AX143" i="1"/>
  <c r="AV143" i="1" s="1"/>
  <c r="M144" i="1"/>
  <c r="M141" i="1"/>
  <c r="AX144" i="1"/>
  <c r="AX124" i="1"/>
  <c r="AV124" i="1" s="1"/>
  <c r="J126" i="1"/>
  <c r="AL139" i="1"/>
  <c r="AX132" i="1"/>
  <c r="AV132" i="1" s="1"/>
  <c r="BH124" i="1"/>
  <c r="AD124" i="1" s="1"/>
  <c r="BH126" i="1"/>
  <c r="AD126" i="1" s="1"/>
  <c r="AX130" i="1"/>
  <c r="J123" i="1"/>
  <c r="BI124" i="1"/>
  <c r="AE124" i="1" s="1"/>
  <c r="AX139" i="1"/>
  <c r="AW138" i="1"/>
  <c r="AV138" i="1" s="1"/>
  <c r="BH123" i="1"/>
  <c r="AD123" i="1" s="1"/>
  <c r="K127" i="1"/>
  <c r="J133" i="1"/>
  <c r="AX138" i="1"/>
  <c r="AL127" i="1"/>
  <c r="AV129" i="1"/>
  <c r="J124" i="1"/>
  <c r="J131" i="1"/>
  <c r="BI129" i="1"/>
  <c r="AE129" i="1" s="1"/>
  <c r="J137" i="1"/>
  <c r="BC119" i="1"/>
  <c r="AV119" i="1"/>
  <c r="BC110" i="1"/>
  <c r="AV110" i="1"/>
  <c r="L108" i="1"/>
  <c r="AX116" i="1"/>
  <c r="BC116" i="1" s="1"/>
  <c r="AV113" i="1"/>
  <c r="J115" i="1"/>
  <c r="BH116" i="1"/>
  <c r="AD116" i="1" s="1"/>
  <c r="AT108" i="1"/>
  <c r="M113" i="1"/>
  <c r="AW115" i="1"/>
  <c r="BC115" i="1" s="1"/>
  <c r="AX113" i="1"/>
  <c r="BC113" i="1" s="1"/>
  <c r="AX115" i="1"/>
  <c r="AV114" i="1"/>
  <c r="AW92" i="1"/>
  <c r="AV92" i="1" s="1"/>
  <c r="AW102" i="1"/>
  <c r="BC102" i="1" s="1"/>
  <c r="BI93" i="1"/>
  <c r="AE93" i="1" s="1"/>
  <c r="AW96" i="1"/>
  <c r="BH102" i="1"/>
  <c r="AD102" i="1" s="1"/>
  <c r="L91" i="1"/>
  <c r="AS91" i="1"/>
  <c r="M92" i="1"/>
  <c r="AX93" i="1"/>
  <c r="BC93" i="1" s="1"/>
  <c r="AW101" i="1"/>
  <c r="AV101" i="1" s="1"/>
  <c r="BH92" i="1"/>
  <c r="AD92" i="1" s="1"/>
  <c r="M97" i="1"/>
  <c r="BI92" i="1"/>
  <c r="AE92" i="1" s="1"/>
  <c r="AW95" i="1"/>
  <c r="AV95" i="1" s="1"/>
  <c r="AX96" i="1"/>
  <c r="BI101" i="1"/>
  <c r="AE101" i="1" s="1"/>
  <c r="BI102" i="1"/>
  <c r="AE102" i="1" s="1"/>
  <c r="AV104" i="1"/>
  <c r="AT91" i="1"/>
  <c r="K92" i="1"/>
  <c r="BI95" i="1"/>
  <c r="AE95" i="1" s="1"/>
  <c r="M90" i="1"/>
  <c r="AW90" i="1"/>
  <c r="BC90" i="1" s="1"/>
  <c r="AL89" i="1"/>
  <c r="L87" i="1"/>
  <c r="K90" i="1"/>
  <c r="BI88" i="1"/>
  <c r="AE88" i="1" s="1"/>
  <c r="K88" i="1"/>
  <c r="M66" i="1"/>
  <c r="BH73" i="1"/>
  <c r="AD73" i="1" s="1"/>
  <c r="BH74" i="1"/>
  <c r="AD74" i="1" s="1"/>
  <c r="AV76" i="1"/>
  <c r="AW77" i="1"/>
  <c r="BC77" i="1" s="1"/>
  <c r="J79" i="1"/>
  <c r="M84" i="1"/>
  <c r="M63" i="1"/>
  <c r="AW74" i="1"/>
  <c r="AV74" i="1" s="1"/>
  <c r="AW65" i="1"/>
  <c r="AV65" i="1" s="1"/>
  <c r="AW73" i="1"/>
  <c r="AX74" i="1"/>
  <c r="AT62" i="1"/>
  <c r="AW83" i="1"/>
  <c r="AX65" i="1"/>
  <c r="AW82" i="1"/>
  <c r="AV82" i="1" s="1"/>
  <c r="AX83" i="1"/>
  <c r="AV83" i="1" s="1"/>
  <c r="AV64" i="1"/>
  <c r="AW68" i="1"/>
  <c r="M78" i="1"/>
  <c r="J80" i="1"/>
  <c r="BI73" i="1"/>
  <c r="AE73" i="1" s="1"/>
  <c r="AW76" i="1"/>
  <c r="K79" i="1"/>
  <c r="AL79" i="1"/>
  <c r="AV85" i="1"/>
  <c r="M72" i="1"/>
  <c r="BI82" i="1"/>
  <c r="AE82" i="1" s="1"/>
  <c r="BC71" i="1"/>
  <c r="AV54" i="1"/>
  <c r="AX54" i="1"/>
  <c r="BC54" i="1"/>
  <c r="AX57" i="1"/>
  <c r="AV57" i="1" s="1"/>
  <c r="BC57" i="1"/>
  <c r="AX60" i="1"/>
  <c r="AV60" i="1" s="1"/>
  <c r="BH54" i="1"/>
  <c r="BI54" i="1"/>
  <c r="BH57" i="1"/>
  <c r="BH60" i="1"/>
  <c r="BH56" i="1"/>
  <c r="BH59" i="1"/>
  <c r="J54" i="1"/>
  <c r="AS53" i="1"/>
  <c r="AT53" i="1"/>
  <c r="J57" i="1"/>
  <c r="BF52" i="1"/>
  <c r="M52" i="1"/>
  <c r="M51" i="1" s="1"/>
  <c r="AX49" i="1"/>
  <c r="AS48" i="1"/>
  <c r="AW49" i="1"/>
  <c r="BC49" i="1" s="1"/>
  <c r="L48" i="1"/>
  <c r="J49" i="1"/>
  <c r="J47" i="1"/>
  <c r="J45" i="1" s="1"/>
  <c r="AW47" i="1"/>
  <c r="AT45" i="1"/>
  <c r="L45" i="1"/>
  <c r="M44" i="1"/>
  <c r="M43" i="1" s="1"/>
  <c r="AW44" i="1"/>
  <c r="BC44" i="1" s="1"/>
  <c r="BC24" i="1"/>
  <c r="AV24" i="1"/>
  <c r="BC18" i="1"/>
  <c r="AV18" i="1"/>
  <c r="BC21" i="1"/>
  <c r="AV21" i="1"/>
  <c r="M17" i="1"/>
  <c r="AX33" i="1"/>
  <c r="AV33" i="1" s="1"/>
  <c r="J36" i="1"/>
  <c r="AW41" i="1"/>
  <c r="AW36" i="1"/>
  <c r="AV36" i="1" s="1"/>
  <c r="AX16" i="1"/>
  <c r="AX19" i="1"/>
  <c r="AW22" i="1"/>
  <c r="AW38" i="1"/>
  <c r="BC38" i="1" s="1"/>
  <c r="BI41" i="1"/>
  <c r="AE41" i="1" s="1"/>
  <c r="AX22" i="1"/>
  <c r="J16" i="1"/>
  <c r="AW16" i="1"/>
  <c r="AV16" i="1" s="1"/>
  <c r="AW19" i="1"/>
  <c r="BC19" i="1" s="1"/>
  <c r="AV27" i="1"/>
  <c r="BC31" i="1"/>
  <c r="BC15" i="1"/>
  <c r="AV15" i="1"/>
  <c r="K15" i="1"/>
  <c r="J15" i="1"/>
  <c r="L13" i="1"/>
  <c r="BC23" i="1"/>
  <c r="AV23" i="1"/>
  <c r="BC26" i="1"/>
  <c r="AV26" i="1"/>
  <c r="BC29" i="1"/>
  <c r="AV29" i="1"/>
  <c r="BC32" i="1"/>
  <c r="AV32" i="1"/>
  <c r="BC56" i="1"/>
  <c r="AV56" i="1"/>
  <c r="BC40" i="1"/>
  <c r="AV40" i="1"/>
  <c r="BC59" i="1"/>
  <c r="AV59" i="1"/>
  <c r="BC35" i="1"/>
  <c r="AV35" i="1"/>
  <c r="BC67" i="1"/>
  <c r="AV67" i="1"/>
  <c r="BC70" i="1"/>
  <c r="AV70" i="1"/>
  <c r="BC17" i="1"/>
  <c r="AV17" i="1"/>
  <c r="BC14" i="1"/>
  <c r="AV14" i="1"/>
  <c r="BC20" i="1"/>
  <c r="AV20" i="1"/>
  <c r="AL16" i="1"/>
  <c r="AL19" i="1"/>
  <c r="AL22" i="1"/>
  <c r="M25" i="1"/>
  <c r="AL28" i="1"/>
  <c r="AL31" i="1"/>
  <c r="M77" i="1"/>
  <c r="BC99" i="1"/>
  <c r="AV99" i="1"/>
  <c r="K123" i="1"/>
  <c r="BI123" i="1"/>
  <c r="AE123" i="1" s="1"/>
  <c r="AX123" i="1"/>
  <c r="AV123" i="1" s="1"/>
  <c r="BH165" i="1"/>
  <c r="AD165" i="1" s="1"/>
  <c r="J165" i="1"/>
  <c r="AW165" i="1"/>
  <c r="BI189" i="1"/>
  <c r="AE189" i="1" s="1"/>
  <c r="K189" i="1"/>
  <c r="AX189" i="1"/>
  <c r="J14" i="1"/>
  <c r="C20" i="2"/>
  <c r="BH14" i="1"/>
  <c r="AD14" i="1" s="1"/>
  <c r="J17" i="1"/>
  <c r="BH17" i="1"/>
  <c r="AD17" i="1" s="1"/>
  <c r="J20" i="1"/>
  <c r="BH20" i="1"/>
  <c r="AD20" i="1" s="1"/>
  <c r="J23" i="1"/>
  <c r="BH23" i="1"/>
  <c r="AD23" i="1" s="1"/>
  <c r="J26" i="1"/>
  <c r="BH26" i="1"/>
  <c r="AD26" i="1" s="1"/>
  <c r="J29" i="1"/>
  <c r="BH29" i="1"/>
  <c r="AD29" i="1" s="1"/>
  <c r="J32" i="1"/>
  <c r="BH32" i="1"/>
  <c r="AD32" i="1" s="1"/>
  <c r="J35" i="1"/>
  <c r="BH35" i="1"/>
  <c r="AD35" i="1" s="1"/>
  <c r="J39" i="1"/>
  <c r="BH40" i="1"/>
  <c r="AD40" i="1" s="1"/>
  <c r="BI42" i="1"/>
  <c r="AE42" i="1" s="1"/>
  <c r="K42" i="1"/>
  <c r="O45" i="1"/>
  <c r="O12" i="1" s="1"/>
  <c r="BC46" i="1"/>
  <c r="O48" i="1"/>
  <c r="BH55" i="1"/>
  <c r="BI56" i="1"/>
  <c r="BH58" i="1"/>
  <c r="BI59" i="1"/>
  <c r="M86" i="1"/>
  <c r="O87" i="1"/>
  <c r="M96" i="1"/>
  <c r="M105" i="1"/>
  <c r="AL112" i="1"/>
  <c r="M112" i="1"/>
  <c r="AX112" i="1"/>
  <c r="AV112" i="1" s="1"/>
  <c r="K112" i="1"/>
  <c r="AL121" i="1"/>
  <c r="M121" i="1"/>
  <c r="AX121" i="1"/>
  <c r="AV121" i="1" s="1"/>
  <c r="K121" i="1"/>
  <c r="O122" i="1"/>
  <c r="AW142" i="1"/>
  <c r="J142" i="1"/>
  <c r="BH155" i="1"/>
  <c r="AD155" i="1" s="1"/>
  <c r="J155" i="1"/>
  <c r="AW155" i="1"/>
  <c r="AS226" i="1"/>
  <c r="BI44" i="1"/>
  <c r="AE44" i="1" s="1"/>
  <c r="K44" i="1"/>
  <c r="K43" i="1" s="1"/>
  <c r="M16" i="1"/>
  <c r="M34" i="1"/>
  <c r="AL38" i="1"/>
  <c r="AW78" i="1"/>
  <c r="BH78" i="1"/>
  <c r="AD78" i="1" s="1"/>
  <c r="J78" i="1"/>
  <c r="AW106" i="1"/>
  <c r="J106" i="1"/>
  <c r="AL123" i="1"/>
  <c r="M123" i="1"/>
  <c r="AW130" i="1"/>
  <c r="J130" i="1"/>
  <c r="AL246" i="1"/>
  <c r="M246" i="1"/>
  <c r="L226" i="1"/>
  <c r="K14" i="1"/>
  <c r="C27" i="2"/>
  <c r="BI14" i="1"/>
  <c r="AE14" i="1" s="1"/>
  <c r="K17" i="1"/>
  <c r="BI17" i="1"/>
  <c r="AE17" i="1" s="1"/>
  <c r="K20" i="1"/>
  <c r="BI20" i="1"/>
  <c r="AE20" i="1" s="1"/>
  <c r="K23" i="1"/>
  <c r="BI23" i="1"/>
  <c r="AE23" i="1" s="1"/>
  <c r="K26" i="1"/>
  <c r="BI26" i="1"/>
  <c r="AE26" i="1" s="1"/>
  <c r="K29" i="1"/>
  <c r="BI29" i="1"/>
  <c r="AE29" i="1" s="1"/>
  <c r="K32" i="1"/>
  <c r="BI32" i="1"/>
  <c r="AE32" i="1" s="1"/>
  <c r="AX37" i="1"/>
  <c r="AV37" i="1" s="1"/>
  <c r="BI40" i="1"/>
  <c r="AE40" i="1" s="1"/>
  <c r="AX44" i="1"/>
  <c r="AX47" i="1"/>
  <c r="AW50" i="1"/>
  <c r="K64" i="1"/>
  <c r="BC76" i="1"/>
  <c r="AW127" i="1"/>
  <c r="J127" i="1"/>
  <c r="BH127" i="1"/>
  <c r="AD127" i="1" s="1"/>
  <c r="AW145" i="1"/>
  <c r="BH145" i="1"/>
  <c r="AD145" i="1" s="1"/>
  <c r="BI177" i="1"/>
  <c r="AE177" i="1" s="1"/>
  <c r="K177" i="1"/>
  <c r="AX177" i="1"/>
  <c r="AV216" i="1"/>
  <c r="BC216" i="1"/>
  <c r="BH39" i="1"/>
  <c r="AD39" i="1" s="1"/>
  <c r="BC80" i="1"/>
  <c r="AV80" i="1"/>
  <c r="AW97" i="1"/>
  <c r="BH97" i="1"/>
  <c r="AD97" i="1" s="1"/>
  <c r="J97" i="1"/>
  <c r="C28" i="2"/>
  <c r="F28" i="2" s="1"/>
  <c r="AV22" i="1"/>
  <c r="AV25" i="1"/>
  <c r="AV28" i="1"/>
  <c r="AV34" i="1"/>
  <c r="M39" i="1"/>
  <c r="J40" i="1"/>
  <c r="AW42" i="1"/>
  <c r="L62" i="1"/>
  <c r="J67" i="1"/>
  <c r="J70" i="1"/>
  <c r="M74" i="1"/>
  <c r="AW75" i="1"/>
  <c r="BH75" i="1"/>
  <c r="AD75" i="1" s="1"/>
  <c r="J75" i="1"/>
  <c r="BC85" i="1"/>
  <c r="AV90" i="1"/>
  <c r="BC95" i="1"/>
  <c r="BC104" i="1"/>
  <c r="J109" i="1"/>
  <c r="BH109" i="1"/>
  <c r="AD109" i="1" s="1"/>
  <c r="AW109" i="1"/>
  <c r="J118" i="1"/>
  <c r="BH118" i="1"/>
  <c r="AD118" i="1" s="1"/>
  <c r="AW118" i="1"/>
  <c r="BF123" i="1"/>
  <c r="AX137" i="1"/>
  <c r="BC137" i="1" s="1"/>
  <c r="BI137" i="1"/>
  <c r="AE137" i="1" s="1"/>
  <c r="K137" i="1"/>
  <c r="AX145" i="1"/>
  <c r="BI145" i="1"/>
  <c r="AE145" i="1" s="1"/>
  <c r="K145" i="1"/>
  <c r="AL179" i="1"/>
  <c r="M179" i="1"/>
  <c r="C21" i="2"/>
  <c r="AL56" i="1"/>
  <c r="M56" i="1"/>
  <c r="AL59" i="1"/>
  <c r="M59" i="1"/>
  <c r="BC64" i="1"/>
  <c r="BH66" i="1"/>
  <c r="AD66" i="1" s="1"/>
  <c r="J66" i="1"/>
  <c r="M68" i="1"/>
  <c r="M71" i="1"/>
  <c r="AW72" i="1"/>
  <c r="BH72" i="1"/>
  <c r="AD72" i="1" s="1"/>
  <c r="J72" i="1"/>
  <c r="M88" i="1"/>
  <c r="M87" i="1" s="1"/>
  <c r="AL88" i="1"/>
  <c r="AU87" i="1" s="1"/>
  <c r="AW107" i="1"/>
  <c r="J107" i="1"/>
  <c r="AW111" i="1"/>
  <c r="J111" i="1"/>
  <c r="AW120" i="1"/>
  <c r="J120" i="1"/>
  <c r="AX166" i="1"/>
  <c r="BC166" i="1" s="1"/>
  <c r="BI166" i="1"/>
  <c r="AE166" i="1" s="1"/>
  <c r="BH168" i="1"/>
  <c r="AD168" i="1" s="1"/>
  <c r="J168" i="1"/>
  <c r="AW168" i="1"/>
  <c r="AL110" i="1"/>
  <c r="M110" i="1"/>
  <c r="AL119" i="1"/>
  <c r="M119" i="1"/>
  <c r="BI128" i="1"/>
  <c r="AE128" i="1" s="1"/>
  <c r="K128" i="1"/>
  <c r="AX128" i="1"/>
  <c r="BF147" i="1"/>
  <c r="BH63" i="1"/>
  <c r="AD63" i="1" s="1"/>
  <c r="J63" i="1"/>
  <c r="AX75" i="1"/>
  <c r="BI75" i="1"/>
  <c r="AE75" i="1" s="1"/>
  <c r="K75" i="1"/>
  <c r="AW84" i="1"/>
  <c r="BH84" i="1"/>
  <c r="AD84" i="1" s="1"/>
  <c r="J84" i="1"/>
  <c r="BC86" i="1"/>
  <c r="AV86" i="1"/>
  <c r="AW94" i="1"/>
  <c r="BH94" i="1"/>
  <c r="AD94" i="1" s="1"/>
  <c r="J94" i="1"/>
  <c r="AW103" i="1"/>
  <c r="BH103" i="1"/>
  <c r="AD103" i="1" s="1"/>
  <c r="J103" i="1"/>
  <c r="BC105" i="1"/>
  <c r="AV105" i="1"/>
  <c r="AL109" i="1"/>
  <c r="M109" i="1"/>
  <c r="BI109" i="1"/>
  <c r="AE109" i="1" s="1"/>
  <c r="AX109" i="1"/>
  <c r="AL118" i="1"/>
  <c r="M118" i="1"/>
  <c r="BI118" i="1"/>
  <c r="AE118" i="1" s="1"/>
  <c r="AX118" i="1"/>
  <c r="K126" i="1"/>
  <c r="AX126" i="1"/>
  <c r="AV126" i="1" s="1"/>
  <c r="AL137" i="1"/>
  <c r="M137" i="1"/>
  <c r="AX205" i="1"/>
  <c r="BI205" i="1"/>
  <c r="AE205" i="1" s="1"/>
  <c r="K368" i="1"/>
  <c r="AX368" i="1"/>
  <c r="AV368" i="1" s="1"/>
  <c r="BI368" i="1"/>
  <c r="AE368" i="1" s="1"/>
  <c r="BI39" i="1"/>
  <c r="AE39" i="1" s="1"/>
  <c r="K39" i="1"/>
  <c r="AL40" i="1"/>
  <c r="BI63" i="1"/>
  <c r="AE63" i="1" s="1"/>
  <c r="K63" i="1"/>
  <c r="M83" i="1"/>
  <c r="AW89" i="1"/>
  <c r="BH89" i="1"/>
  <c r="AD89" i="1" s="1"/>
  <c r="J89" i="1"/>
  <c r="J87" i="1" s="1"/>
  <c r="M93" i="1"/>
  <c r="M102" i="1"/>
  <c r="AV148" i="1"/>
  <c r="BC148" i="1"/>
  <c r="AW158" i="1"/>
  <c r="BH158" i="1"/>
  <c r="AD158" i="1" s="1"/>
  <c r="J158" i="1"/>
  <c r="BI37" i="1"/>
  <c r="AE37" i="1" s="1"/>
  <c r="BI47" i="1"/>
  <c r="AE47" i="1" s="1"/>
  <c r="M46" i="1"/>
  <c r="M45" i="1" s="1"/>
  <c r="M49" i="1"/>
  <c r="J50" i="1"/>
  <c r="M54" i="1"/>
  <c r="AL54" i="1"/>
  <c r="AU53" i="1" s="1"/>
  <c r="BI55" i="1"/>
  <c r="K55" i="1"/>
  <c r="M57" i="1"/>
  <c r="BI58" i="1"/>
  <c r="K58" i="1"/>
  <c r="M60" i="1"/>
  <c r="AX63" i="1"/>
  <c r="AV63" i="1" s="1"/>
  <c r="BI66" i="1"/>
  <c r="AE66" i="1" s="1"/>
  <c r="K66" i="1"/>
  <c r="BH69" i="1"/>
  <c r="AD69" i="1" s="1"/>
  <c r="J69" i="1"/>
  <c r="AX72" i="1"/>
  <c r="BI72" i="1"/>
  <c r="AE72" i="1" s="1"/>
  <c r="K72" i="1"/>
  <c r="BI111" i="1"/>
  <c r="AE111" i="1" s="1"/>
  <c r="K111" i="1"/>
  <c r="AX111" i="1"/>
  <c r="BI120" i="1"/>
  <c r="AE120" i="1" s="1"/>
  <c r="K120" i="1"/>
  <c r="AX120" i="1"/>
  <c r="BC129" i="1"/>
  <c r="AW150" i="1"/>
  <c r="BH150" i="1"/>
  <c r="AD150" i="1" s="1"/>
  <c r="J150" i="1"/>
  <c r="BH180" i="1"/>
  <c r="AD180" i="1" s="1"/>
  <c r="J180" i="1"/>
  <c r="AW180" i="1"/>
  <c r="AV292" i="1"/>
  <c r="BC292" i="1"/>
  <c r="M15" i="1"/>
  <c r="M18" i="1"/>
  <c r="M21" i="1"/>
  <c r="M24" i="1"/>
  <c r="M27" i="1"/>
  <c r="M30" i="1"/>
  <c r="M33" i="1"/>
  <c r="AX39" i="1"/>
  <c r="BC39" i="1" s="1"/>
  <c r="M41" i="1"/>
  <c r="BH42" i="1"/>
  <c r="AD42" i="1" s="1"/>
  <c r="AV55" i="1"/>
  <c r="AW66" i="1"/>
  <c r="BI69" i="1"/>
  <c r="AE69" i="1" s="1"/>
  <c r="K69" i="1"/>
  <c r="AW81" i="1"/>
  <c r="BH81" i="1"/>
  <c r="AD81" i="1" s="1"/>
  <c r="J81" i="1"/>
  <c r="BC83" i="1"/>
  <c r="AW100" i="1"/>
  <c r="BH100" i="1"/>
  <c r="AD100" i="1" s="1"/>
  <c r="J100" i="1"/>
  <c r="AL107" i="1"/>
  <c r="AU91" i="1" s="1"/>
  <c r="M107" i="1"/>
  <c r="AW117" i="1"/>
  <c r="J117" i="1"/>
  <c r="BH117" i="1"/>
  <c r="AD117" i="1" s="1"/>
  <c r="AW125" i="1"/>
  <c r="BH125" i="1"/>
  <c r="AD125" i="1" s="1"/>
  <c r="BI126" i="1"/>
  <c r="AE126" i="1" s="1"/>
  <c r="BC133" i="1"/>
  <c r="BH141" i="1"/>
  <c r="AD141" i="1" s="1"/>
  <c r="J141" i="1"/>
  <c r="AW141" i="1"/>
  <c r="O156" i="1"/>
  <c r="BF213" i="1"/>
  <c r="O211" i="1"/>
  <c r="BC238" i="1"/>
  <c r="AV238" i="1"/>
  <c r="M36" i="1"/>
  <c r="BI36" i="1"/>
  <c r="AE36" i="1" s="1"/>
  <c r="K36" i="1"/>
  <c r="AL37" i="1"/>
  <c r="BI46" i="1"/>
  <c r="AE46" i="1" s="1"/>
  <c r="K46" i="1"/>
  <c r="K45" i="1" s="1"/>
  <c r="AL47" i="1"/>
  <c r="AU45" i="1" s="1"/>
  <c r="AX55" i="1"/>
  <c r="BC55" i="1" s="1"/>
  <c r="AX58" i="1"/>
  <c r="BC58" i="1" s="1"/>
  <c r="AX66" i="1"/>
  <c r="AW69" i="1"/>
  <c r="BC88" i="1"/>
  <c r="AV88" i="1"/>
  <c r="BH107" i="1"/>
  <c r="AD107" i="1" s="1"/>
  <c r="BH111" i="1"/>
  <c r="AD111" i="1" s="1"/>
  <c r="BH120" i="1"/>
  <c r="AD120" i="1" s="1"/>
  <c r="L122" i="1"/>
  <c r="AL125" i="1"/>
  <c r="M125" i="1"/>
  <c r="BI131" i="1"/>
  <c r="AE131" i="1" s="1"/>
  <c r="K131" i="1"/>
  <c r="BH139" i="1"/>
  <c r="AD139" i="1" s="1"/>
  <c r="J139" i="1"/>
  <c r="AW139" i="1"/>
  <c r="AL153" i="1"/>
  <c r="M153" i="1"/>
  <c r="BF223" i="1"/>
  <c r="O222" i="1"/>
  <c r="AS13" i="1"/>
  <c r="K16" i="1"/>
  <c r="K19" i="1"/>
  <c r="K22" i="1"/>
  <c r="K25" i="1"/>
  <c r="K28" i="1"/>
  <c r="K31" i="1"/>
  <c r="K34" i="1"/>
  <c r="AV49" i="1"/>
  <c r="M50" i="1"/>
  <c r="O62" i="1"/>
  <c r="BI64" i="1"/>
  <c r="AE64" i="1" s="1"/>
  <c r="AX69" i="1"/>
  <c r="AV79" i="1"/>
  <c r="AV98" i="1"/>
  <c r="BI107" i="1"/>
  <c r="AE107" i="1" s="1"/>
  <c r="AT122" i="1"/>
  <c r="M124" i="1"/>
  <c r="AL128" i="1"/>
  <c r="M128" i="1"/>
  <c r="AW128" i="1"/>
  <c r="J128" i="1"/>
  <c r="AX131" i="1"/>
  <c r="AV131" i="1" s="1"/>
  <c r="BH113" i="1"/>
  <c r="AD113" i="1" s="1"/>
  <c r="BI117" i="1"/>
  <c r="AE117" i="1" s="1"/>
  <c r="K117" i="1"/>
  <c r="BI125" i="1"/>
  <c r="AE125" i="1" s="1"/>
  <c r="K125" i="1"/>
  <c r="BH132" i="1"/>
  <c r="AD132" i="1" s="1"/>
  <c r="AX142" i="1"/>
  <c r="BI142" i="1"/>
  <c r="AE142" i="1" s="1"/>
  <c r="K142" i="1"/>
  <c r="K140" i="1" s="1"/>
  <c r="BC147" i="1"/>
  <c r="AV147" i="1"/>
  <c r="BH152" i="1"/>
  <c r="AD152" i="1" s="1"/>
  <c r="J152" i="1"/>
  <c r="AW152" i="1"/>
  <c r="BH153" i="1"/>
  <c r="AD153" i="1" s="1"/>
  <c r="BI168" i="1"/>
  <c r="AE168" i="1" s="1"/>
  <c r="K168" i="1"/>
  <c r="AX168" i="1"/>
  <c r="BH183" i="1"/>
  <c r="AD183" i="1" s="1"/>
  <c r="J183" i="1"/>
  <c r="AW183" i="1"/>
  <c r="BI195" i="1"/>
  <c r="AE195" i="1" s="1"/>
  <c r="K195" i="1"/>
  <c r="AX195" i="1"/>
  <c r="BH198" i="1"/>
  <c r="AD198" i="1" s="1"/>
  <c r="J198" i="1"/>
  <c r="AW198" i="1"/>
  <c r="K78" i="1"/>
  <c r="BI78" i="1"/>
  <c r="AE78" i="1" s="1"/>
  <c r="K81" i="1"/>
  <c r="BI81" i="1"/>
  <c r="AE81" i="1" s="1"/>
  <c r="K84" i="1"/>
  <c r="BI84" i="1"/>
  <c r="AE84" i="1" s="1"/>
  <c r="K89" i="1"/>
  <c r="BI89" i="1"/>
  <c r="AE89" i="1" s="1"/>
  <c r="K94" i="1"/>
  <c r="BI94" i="1"/>
  <c r="AE94" i="1" s="1"/>
  <c r="K97" i="1"/>
  <c r="BI97" i="1"/>
  <c r="AE97" i="1" s="1"/>
  <c r="K100" i="1"/>
  <c r="BI100" i="1"/>
  <c r="AE100" i="1" s="1"/>
  <c r="K103" i="1"/>
  <c r="BI103" i="1"/>
  <c r="AE103" i="1" s="1"/>
  <c r="K106" i="1"/>
  <c r="J113" i="1"/>
  <c r="BI132" i="1"/>
  <c r="AE132" i="1" s="1"/>
  <c r="BH134" i="1"/>
  <c r="AD134" i="1" s="1"/>
  <c r="AT140" i="1"/>
  <c r="AL142" i="1"/>
  <c r="M142" i="1"/>
  <c r="AX147" i="1"/>
  <c r="BI147" i="1"/>
  <c r="AE147" i="1" s="1"/>
  <c r="K147" i="1"/>
  <c r="AL161" i="1"/>
  <c r="M161" i="1"/>
  <c r="J218" i="1"/>
  <c r="AW218" i="1"/>
  <c r="BH218" i="1"/>
  <c r="AB218" i="1" s="1"/>
  <c r="AL281" i="1"/>
  <c r="M281" i="1"/>
  <c r="M55" i="1"/>
  <c r="M58" i="1"/>
  <c r="M111" i="1"/>
  <c r="BH114" i="1"/>
  <c r="AD114" i="1" s="1"/>
  <c r="BI115" i="1"/>
  <c r="AE115" i="1" s="1"/>
  <c r="M120" i="1"/>
  <c r="BH129" i="1"/>
  <c r="AD129" i="1" s="1"/>
  <c r="BH133" i="1"/>
  <c r="AD133" i="1" s="1"/>
  <c r="L146" i="1"/>
  <c r="AL147" i="1"/>
  <c r="M147" i="1"/>
  <c r="AV151" i="1"/>
  <c r="BC151" i="1"/>
  <c r="BH174" i="1"/>
  <c r="AD174" i="1" s="1"/>
  <c r="J174" i="1"/>
  <c r="AW174" i="1"/>
  <c r="AL188" i="1"/>
  <c r="M188" i="1"/>
  <c r="AL194" i="1"/>
  <c r="M194" i="1"/>
  <c r="K218" i="1"/>
  <c r="BI218" i="1"/>
  <c r="AC218" i="1" s="1"/>
  <c r="AX218" i="1"/>
  <c r="BC237" i="1"/>
  <c r="AV237" i="1"/>
  <c r="AX318" i="1"/>
  <c r="BC318" i="1" s="1"/>
  <c r="BI318" i="1"/>
  <c r="AE318" i="1" s="1"/>
  <c r="K318" i="1"/>
  <c r="BC121" i="1"/>
  <c r="BH136" i="1"/>
  <c r="AD136" i="1" s="1"/>
  <c r="J136" i="1"/>
  <c r="AW136" i="1"/>
  <c r="AL145" i="1"/>
  <c r="M145" i="1"/>
  <c r="AX150" i="1"/>
  <c r="BI150" i="1"/>
  <c r="AE150" i="1" s="1"/>
  <c r="K150" i="1"/>
  <c r="AX158" i="1"/>
  <c r="BI158" i="1"/>
  <c r="AE158" i="1" s="1"/>
  <c r="K158" i="1"/>
  <c r="AX169" i="1"/>
  <c r="AV169" i="1" s="1"/>
  <c r="BI169" i="1"/>
  <c r="AE169" i="1" s="1"/>
  <c r="AL185" i="1"/>
  <c r="M185" i="1"/>
  <c r="AL203" i="1"/>
  <c r="M203" i="1"/>
  <c r="AT211" i="1"/>
  <c r="BC235" i="1"/>
  <c r="AV235" i="1"/>
  <c r="M241" i="1"/>
  <c r="BI302" i="1"/>
  <c r="AE302" i="1" s="1"/>
  <c r="AX302" i="1"/>
  <c r="K302" i="1"/>
  <c r="O108" i="1"/>
  <c r="M114" i="1"/>
  <c r="J132" i="1"/>
  <c r="J134" i="1"/>
  <c r="AS146" i="1"/>
  <c r="AL150" i="1"/>
  <c r="M150" i="1"/>
  <c r="AT156" i="1"/>
  <c r="AL158" i="1"/>
  <c r="M158" i="1"/>
  <c r="AX160" i="1"/>
  <c r="AV160" i="1" s="1"/>
  <c r="BI160" i="1"/>
  <c r="AE160" i="1" s="1"/>
  <c r="AX193" i="1"/>
  <c r="AV193" i="1" s="1"/>
  <c r="BI193" i="1"/>
  <c r="AE193" i="1" s="1"/>
  <c r="AV206" i="1"/>
  <c r="AW219" i="1"/>
  <c r="J219" i="1"/>
  <c r="BH219" i="1"/>
  <c r="AB219" i="1" s="1"/>
  <c r="AV228" i="1"/>
  <c r="BC228" i="1"/>
  <c r="AV320" i="1"/>
  <c r="AX106" i="1"/>
  <c r="AL115" i="1"/>
  <c r="M115" i="1"/>
  <c r="AS122" i="1"/>
  <c r="AL134" i="1"/>
  <c r="M134" i="1"/>
  <c r="BC135" i="1"/>
  <c r="BH144" i="1"/>
  <c r="AD144" i="1" s="1"/>
  <c r="J144" i="1"/>
  <c r="AW144" i="1"/>
  <c r="BI171" i="1"/>
  <c r="AE171" i="1" s="1"/>
  <c r="K171" i="1"/>
  <c r="AX171" i="1"/>
  <c r="AV182" i="1"/>
  <c r="BC182" i="1"/>
  <c r="AL206" i="1"/>
  <c r="M206" i="1"/>
  <c r="L224" i="1"/>
  <c r="M225" i="1"/>
  <c r="M224" i="1" s="1"/>
  <c r="AS108" i="1"/>
  <c r="BI114" i="1"/>
  <c r="AE114" i="1" s="1"/>
  <c r="K114" i="1"/>
  <c r="M116" i="1"/>
  <c r="BI134" i="1"/>
  <c r="AE134" i="1" s="1"/>
  <c r="K134" i="1"/>
  <c r="BH149" i="1"/>
  <c r="AD149" i="1" s="1"/>
  <c r="J149" i="1"/>
  <c r="AW149" i="1"/>
  <c r="BH157" i="1"/>
  <c r="AD157" i="1" s="1"/>
  <c r="J157" i="1"/>
  <c r="AW157" i="1"/>
  <c r="AL182" i="1"/>
  <c r="M182" i="1"/>
  <c r="BC203" i="1"/>
  <c r="M219" i="1"/>
  <c r="AL305" i="1"/>
  <c r="M130" i="1"/>
  <c r="AL131" i="1"/>
  <c r="M131" i="1"/>
  <c r="AX134" i="1"/>
  <c r="BC134" i="1" s="1"/>
  <c r="L140" i="1"/>
  <c r="AX153" i="1"/>
  <c r="AV153" i="1" s="1"/>
  <c r="BI153" i="1"/>
  <c r="AE153" i="1" s="1"/>
  <c r="K153" i="1"/>
  <c r="BH186" i="1"/>
  <c r="AD186" i="1" s="1"/>
  <c r="J186" i="1"/>
  <c r="AW186" i="1"/>
  <c r="AW276" i="1"/>
  <c r="BH276" i="1"/>
  <c r="J276" i="1"/>
  <c r="BI175" i="1"/>
  <c r="AE175" i="1" s="1"/>
  <c r="BH177" i="1"/>
  <c r="AD177" i="1" s="1"/>
  <c r="J177" i="1"/>
  <c r="AW177" i="1"/>
  <c r="BI180" i="1"/>
  <c r="AE180" i="1" s="1"/>
  <c r="K180" i="1"/>
  <c r="AX180" i="1"/>
  <c r="BI183" i="1"/>
  <c r="AE183" i="1" s="1"/>
  <c r="K183" i="1"/>
  <c r="AX183" i="1"/>
  <c r="BI186" i="1"/>
  <c r="AE186" i="1" s="1"/>
  <c r="K186" i="1"/>
  <c r="AX186" i="1"/>
  <c r="BI207" i="1"/>
  <c r="AE207" i="1" s="1"/>
  <c r="K207" i="1"/>
  <c r="AX207" i="1"/>
  <c r="AV207" i="1" s="1"/>
  <c r="AW213" i="1"/>
  <c r="J213" i="1"/>
  <c r="BC215" i="1"/>
  <c r="AV215" i="1"/>
  <c r="AW223" i="1"/>
  <c r="J223" i="1"/>
  <c r="J222" i="1" s="1"/>
  <c r="M229" i="1"/>
  <c r="AL254" i="1"/>
  <c r="M254" i="1"/>
  <c r="BF334" i="1"/>
  <c r="O332" i="1"/>
  <c r="AW312" i="1"/>
  <c r="J312" i="1"/>
  <c r="BH312" i="1"/>
  <c r="AD312" i="1" s="1"/>
  <c r="BH171" i="1"/>
  <c r="AD171" i="1" s="1"/>
  <c r="J171" i="1"/>
  <c r="AW171" i="1"/>
  <c r="BI174" i="1"/>
  <c r="AE174" i="1" s="1"/>
  <c r="K174" i="1"/>
  <c r="AX174" i="1"/>
  <c r="BH189" i="1"/>
  <c r="AD189" i="1" s="1"/>
  <c r="J189" i="1"/>
  <c r="AW189" i="1"/>
  <c r="AL197" i="1"/>
  <c r="M197" i="1"/>
  <c r="BI198" i="1"/>
  <c r="AE198" i="1" s="1"/>
  <c r="K198" i="1"/>
  <c r="AX198" i="1"/>
  <c r="BI199" i="1"/>
  <c r="AE199" i="1" s="1"/>
  <c r="AL215" i="1"/>
  <c r="M215" i="1"/>
  <c r="AW225" i="1"/>
  <c r="J225" i="1"/>
  <c r="J224" i="1" s="1"/>
  <c r="BH225" i="1"/>
  <c r="AT226" i="1"/>
  <c r="M235" i="1"/>
  <c r="K324" i="1"/>
  <c r="BI324" i="1"/>
  <c r="AE324" i="1" s="1"/>
  <c r="BH393" i="1"/>
  <c r="AB393" i="1" s="1"/>
  <c r="J393" i="1"/>
  <c r="AW393" i="1"/>
  <c r="BH403" i="1"/>
  <c r="J403" i="1"/>
  <c r="AW403" i="1"/>
  <c r="BH162" i="1"/>
  <c r="AD162" i="1" s="1"/>
  <c r="J162" i="1"/>
  <c r="AW162" i="1"/>
  <c r="BI165" i="1"/>
  <c r="AE165" i="1" s="1"/>
  <c r="K165" i="1"/>
  <c r="AX165" i="1"/>
  <c r="AL176" i="1"/>
  <c r="M176" i="1"/>
  <c r="AV176" i="1"/>
  <c r="BH201" i="1"/>
  <c r="AD201" i="1" s="1"/>
  <c r="J201" i="1"/>
  <c r="AW201" i="1"/>
  <c r="BC241" i="1"/>
  <c r="AV241" i="1"/>
  <c r="AW267" i="1"/>
  <c r="J267" i="1"/>
  <c r="BH267" i="1"/>
  <c r="BF303" i="1"/>
  <c r="O299" i="1"/>
  <c r="O298" i="1" s="1"/>
  <c r="J354" i="1"/>
  <c r="M126" i="1"/>
  <c r="M129" i="1"/>
  <c r="M132" i="1"/>
  <c r="M135" i="1"/>
  <c r="M138" i="1"/>
  <c r="M143" i="1"/>
  <c r="M148" i="1"/>
  <c r="M151" i="1"/>
  <c r="M154" i="1"/>
  <c r="M159" i="1"/>
  <c r="BH159" i="1"/>
  <c r="AD159" i="1" s="1"/>
  <c r="AW159" i="1"/>
  <c r="BI162" i="1"/>
  <c r="AE162" i="1" s="1"/>
  <c r="K162" i="1"/>
  <c r="AX162" i="1"/>
  <c r="AL173" i="1"/>
  <c r="M173" i="1"/>
  <c r="BC178" i="1"/>
  <c r="BH192" i="1"/>
  <c r="AD192" i="1" s="1"/>
  <c r="J192" i="1"/>
  <c r="AW192" i="1"/>
  <c r="BC196" i="1"/>
  <c r="AL200" i="1"/>
  <c r="M200" i="1"/>
  <c r="BI201" i="1"/>
  <c r="AE201" i="1" s="1"/>
  <c r="K201" i="1"/>
  <c r="AX201" i="1"/>
  <c r="L211" i="1"/>
  <c r="BI212" i="1"/>
  <c r="AC212" i="1" s="1"/>
  <c r="AX212" i="1"/>
  <c r="AV212" i="1" s="1"/>
  <c r="AW214" i="1"/>
  <c r="J214" i="1"/>
  <c r="BH250" i="1"/>
  <c r="AW250" i="1"/>
  <c r="J250" i="1"/>
  <c r="AW274" i="1"/>
  <c r="J274" i="1"/>
  <c r="BH274" i="1"/>
  <c r="BH285" i="1"/>
  <c r="AD285" i="1" s="1"/>
  <c r="J285" i="1"/>
  <c r="AW285" i="1"/>
  <c r="AX288" i="1"/>
  <c r="BC288" i="1" s="1"/>
  <c r="BI288" i="1"/>
  <c r="AE288" i="1" s="1"/>
  <c r="K288" i="1"/>
  <c r="BI159" i="1"/>
  <c r="AE159" i="1" s="1"/>
  <c r="AX159" i="1"/>
  <c r="AL170" i="1"/>
  <c r="M170" i="1"/>
  <c r="AL191" i="1"/>
  <c r="M191" i="1"/>
  <c r="BI192" i="1"/>
  <c r="AE192" i="1" s="1"/>
  <c r="K192" i="1"/>
  <c r="AX192" i="1"/>
  <c r="BC210" i="1"/>
  <c r="AV210" i="1"/>
  <c r="BI214" i="1"/>
  <c r="AC214" i="1" s="1"/>
  <c r="K214" i="1"/>
  <c r="K211" i="1" s="1"/>
  <c r="AX214" i="1"/>
  <c r="M232" i="1"/>
  <c r="K250" i="1"/>
  <c r="AX250" i="1"/>
  <c r="BI250" i="1"/>
  <c r="J313" i="1"/>
  <c r="AW313" i="1"/>
  <c r="BH313" i="1"/>
  <c r="AD313" i="1" s="1"/>
  <c r="M395" i="1"/>
  <c r="AL395" i="1"/>
  <c r="AL167" i="1"/>
  <c r="M167" i="1"/>
  <c r="BH204" i="1"/>
  <c r="AD204" i="1" s="1"/>
  <c r="J204" i="1"/>
  <c r="AW204" i="1"/>
  <c r="AL208" i="1"/>
  <c r="AL214" i="1"/>
  <c r="M214" i="1"/>
  <c r="AV232" i="1"/>
  <c r="AL164" i="1"/>
  <c r="M164" i="1"/>
  <c r="AV164" i="1"/>
  <c r="AV175" i="1"/>
  <c r="BH195" i="1"/>
  <c r="AD195" i="1" s="1"/>
  <c r="J195" i="1"/>
  <c r="AW195" i="1"/>
  <c r="BI204" i="1"/>
  <c r="AE204" i="1" s="1"/>
  <c r="K204" i="1"/>
  <c r="AX204" i="1"/>
  <c r="J208" i="1"/>
  <c r="BH208" i="1"/>
  <c r="AD208" i="1" s="1"/>
  <c r="AW208" i="1"/>
  <c r="BC217" i="1"/>
  <c r="M238" i="1"/>
  <c r="AV249" i="1"/>
  <c r="AX252" i="1"/>
  <c r="K252" i="1"/>
  <c r="BC280" i="1"/>
  <c r="AV280" i="1"/>
  <c r="AL251" i="1"/>
  <c r="M251" i="1"/>
  <c r="BC251" i="1"/>
  <c r="AL259" i="1"/>
  <c r="M259" i="1"/>
  <c r="J259" i="1"/>
  <c r="BH259" i="1"/>
  <c r="AW259" i="1"/>
  <c r="AL268" i="1"/>
  <c r="M268" i="1"/>
  <c r="AW268" i="1"/>
  <c r="J268" i="1"/>
  <c r="BH268" i="1"/>
  <c r="BH293" i="1"/>
  <c r="AF293" i="1" s="1"/>
  <c r="C18" i="2" s="1"/>
  <c r="J293" i="1"/>
  <c r="AW293" i="1"/>
  <c r="AV308" i="1"/>
  <c r="AX327" i="1"/>
  <c r="K327" i="1"/>
  <c r="BI327" i="1"/>
  <c r="AE327" i="1" s="1"/>
  <c r="AL403" i="1"/>
  <c r="M403" i="1"/>
  <c r="BF412" i="1"/>
  <c r="O409" i="1"/>
  <c r="O408" i="1" s="1"/>
  <c r="M160" i="1"/>
  <c r="M163" i="1"/>
  <c r="M166" i="1"/>
  <c r="M169" i="1"/>
  <c r="M172" i="1"/>
  <c r="M175" i="1"/>
  <c r="M178" i="1"/>
  <c r="M181" i="1"/>
  <c r="M184" i="1"/>
  <c r="M187" i="1"/>
  <c r="M190" i="1"/>
  <c r="M193" i="1"/>
  <c r="M196" i="1"/>
  <c r="M199" i="1"/>
  <c r="M202" i="1"/>
  <c r="M205" i="1"/>
  <c r="AL212" i="1"/>
  <c r="AX255" i="1"/>
  <c r="BC255" i="1" s="1"/>
  <c r="BI255" i="1"/>
  <c r="K259" i="1"/>
  <c r="AX259" i="1"/>
  <c r="AW270" i="1"/>
  <c r="J270" i="1"/>
  <c r="AV289" i="1"/>
  <c r="BC289" i="1"/>
  <c r="BI314" i="1"/>
  <c r="AE314" i="1" s="1"/>
  <c r="AX314" i="1"/>
  <c r="K314" i="1"/>
  <c r="BH161" i="1"/>
  <c r="AD161" i="1" s="1"/>
  <c r="BH164" i="1"/>
  <c r="AD164" i="1" s="1"/>
  <c r="BH167" i="1"/>
  <c r="AD167" i="1" s="1"/>
  <c r="BH170" i="1"/>
  <c r="AD170" i="1" s="1"/>
  <c r="BH173" i="1"/>
  <c r="AD173" i="1" s="1"/>
  <c r="BH176" i="1"/>
  <c r="AD176" i="1" s="1"/>
  <c r="BH179" i="1"/>
  <c r="AD179" i="1" s="1"/>
  <c r="BH182" i="1"/>
  <c r="AD182" i="1" s="1"/>
  <c r="BH185" i="1"/>
  <c r="AD185" i="1" s="1"/>
  <c r="J191" i="1"/>
  <c r="J194" i="1"/>
  <c r="J197" i="1"/>
  <c r="J200" i="1"/>
  <c r="J203" i="1"/>
  <c r="BH203" i="1"/>
  <c r="AD203" i="1" s="1"/>
  <c r="J206" i="1"/>
  <c r="BH206" i="1"/>
  <c r="AD206" i="1" s="1"/>
  <c r="J215" i="1"/>
  <c r="BH216" i="1"/>
  <c r="AB216" i="1" s="1"/>
  <c r="BH221" i="1"/>
  <c r="AB221" i="1" s="1"/>
  <c r="BH227" i="1"/>
  <c r="AW248" i="1"/>
  <c r="BH248" i="1"/>
  <c r="J248" i="1"/>
  <c r="AL249" i="1"/>
  <c r="M249" i="1"/>
  <c r="AW254" i="1"/>
  <c r="J254" i="1"/>
  <c r="K270" i="1"/>
  <c r="AX270" i="1"/>
  <c r="AW334" i="1"/>
  <c r="J334" i="1"/>
  <c r="J332" i="1" s="1"/>
  <c r="BH334" i="1"/>
  <c r="AD334" i="1" s="1"/>
  <c r="AW338" i="1"/>
  <c r="J338" i="1"/>
  <c r="J337" i="1" s="1"/>
  <c r="BH338" i="1"/>
  <c r="AD338" i="1" s="1"/>
  <c r="AL210" i="1"/>
  <c r="AU209" i="1" s="1"/>
  <c r="AL244" i="1"/>
  <c r="AW245" i="1"/>
  <c r="BH245" i="1"/>
  <c r="J245" i="1"/>
  <c r="BI246" i="1"/>
  <c r="K246" i="1"/>
  <c r="AX246" i="1"/>
  <c r="AV246" i="1" s="1"/>
  <c r="BC247" i="1"/>
  <c r="AV247" i="1"/>
  <c r="K258" i="1"/>
  <c r="BI258" i="1"/>
  <c r="AX258" i="1"/>
  <c r="AV258" i="1" s="1"/>
  <c r="BI276" i="1"/>
  <c r="K276" i="1"/>
  <c r="AX276" i="1"/>
  <c r="L342" i="1"/>
  <c r="M343" i="1"/>
  <c r="M342" i="1" s="1"/>
  <c r="AL343" i="1"/>
  <c r="AU342" i="1" s="1"/>
  <c r="AW353" i="1"/>
  <c r="BH353" i="1"/>
  <c r="AB353" i="1" s="1"/>
  <c r="AX392" i="1"/>
  <c r="AV392" i="1" s="1"/>
  <c r="BI392" i="1"/>
  <c r="AC392" i="1" s="1"/>
  <c r="BI208" i="1"/>
  <c r="AE208" i="1" s="1"/>
  <c r="AL216" i="1"/>
  <c r="AL221" i="1"/>
  <c r="AU220" i="1" s="1"/>
  <c r="M227" i="1"/>
  <c r="AL253" i="1"/>
  <c r="M253" i="1"/>
  <c r="AX272" i="1"/>
  <c r="BC272" i="1" s="1"/>
  <c r="AW279" i="1"/>
  <c r="J279" i="1"/>
  <c r="BH279" i="1"/>
  <c r="BI282" i="1"/>
  <c r="K282" i="1"/>
  <c r="AX282" i="1"/>
  <c r="BC282" i="1" s="1"/>
  <c r="AX291" i="1"/>
  <c r="AV291" i="1" s="1"/>
  <c r="BI291" i="1"/>
  <c r="AE291" i="1" s="1"/>
  <c r="K291" i="1"/>
  <c r="BI315" i="1"/>
  <c r="AE315" i="1" s="1"/>
  <c r="K315" i="1"/>
  <c r="AX315" i="1"/>
  <c r="AV315" i="1" s="1"/>
  <c r="AL217" i="1"/>
  <c r="M217" i="1"/>
  <c r="O226" i="1"/>
  <c r="AL228" i="1"/>
  <c r="M228" i="1"/>
  <c r="AL229" i="1"/>
  <c r="AL232" i="1"/>
  <c r="AL235" i="1"/>
  <c r="AL238" i="1"/>
  <c r="AL241" i="1"/>
  <c r="AL243" i="1"/>
  <c r="M243" i="1"/>
  <c r="AX253" i="1"/>
  <c r="K253" i="1"/>
  <c r="BC257" i="1"/>
  <c r="AW269" i="1"/>
  <c r="J269" i="1"/>
  <c r="BI279" i="1"/>
  <c r="K279" i="1"/>
  <c r="AX279" i="1"/>
  <c r="BC291" i="1"/>
  <c r="AV341" i="1"/>
  <c r="BC341" i="1"/>
  <c r="BI217" i="1"/>
  <c r="AC217" i="1" s="1"/>
  <c r="K217" i="1"/>
  <c r="BI228" i="1"/>
  <c r="K228" i="1"/>
  <c r="BH229" i="1"/>
  <c r="J229" i="1"/>
  <c r="AL231" i="1"/>
  <c r="M231" i="1"/>
  <c r="BH232" i="1"/>
  <c r="J232" i="1"/>
  <c r="AL234" i="1"/>
  <c r="M234" i="1"/>
  <c r="BH235" i="1"/>
  <c r="J235" i="1"/>
  <c r="AL237" i="1"/>
  <c r="M237" i="1"/>
  <c r="BH238" i="1"/>
  <c r="J238" i="1"/>
  <c r="AL240" i="1"/>
  <c r="M240" i="1"/>
  <c r="BH241" i="1"/>
  <c r="J241" i="1"/>
  <c r="AW242" i="1"/>
  <c r="BH242" i="1"/>
  <c r="BI243" i="1"/>
  <c r="K243" i="1"/>
  <c r="AX243" i="1"/>
  <c r="AV243" i="1" s="1"/>
  <c r="AW253" i="1"/>
  <c r="AL269" i="1"/>
  <c r="M269" i="1"/>
  <c r="BI272" i="1"/>
  <c r="M162" i="1"/>
  <c r="M165" i="1"/>
  <c r="M168" i="1"/>
  <c r="M171" i="1"/>
  <c r="M174" i="1"/>
  <c r="M177" i="1"/>
  <c r="M180" i="1"/>
  <c r="M183" i="1"/>
  <c r="M186" i="1"/>
  <c r="BI231" i="1"/>
  <c r="K231" i="1"/>
  <c r="BI234" i="1"/>
  <c r="K234" i="1"/>
  <c r="BI237" i="1"/>
  <c r="K237" i="1"/>
  <c r="BI240" i="1"/>
  <c r="K240" i="1"/>
  <c r="AL256" i="1"/>
  <c r="M256" i="1"/>
  <c r="AW256" i="1"/>
  <c r="BH256" i="1"/>
  <c r="AL260" i="1"/>
  <c r="M260" i="1"/>
  <c r="K271" i="1"/>
  <c r="AX271" i="1"/>
  <c r="AV271" i="1" s="1"/>
  <c r="O295" i="1"/>
  <c r="BF296" i="1"/>
  <c r="J301" i="1"/>
  <c r="AW301" i="1"/>
  <c r="BH301" i="1"/>
  <c r="AD301" i="1" s="1"/>
  <c r="AT299" i="1"/>
  <c r="AL265" i="1"/>
  <c r="M265" i="1"/>
  <c r="AL266" i="1"/>
  <c r="M266" i="1"/>
  <c r="AV266" i="1"/>
  <c r="AL278" i="1"/>
  <c r="M278" i="1"/>
  <c r="AS299" i="1"/>
  <c r="AX305" i="1"/>
  <c r="AV305" i="1" s="1"/>
  <c r="K305" i="1"/>
  <c r="BI305" i="1"/>
  <c r="AE305" i="1" s="1"/>
  <c r="AX319" i="1"/>
  <c r="BI319" i="1"/>
  <c r="AE319" i="1" s="1"/>
  <c r="BC343" i="1"/>
  <c r="AV343" i="1"/>
  <c r="BH390" i="1"/>
  <c r="AB390" i="1" s="1"/>
  <c r="J390" i="1"/>
  <c r="AW390" i="1"/>
  <c r="AV260" i="1"/>
  <c r="AL262" i="1"/>
  <c r="M262" i="1"/>
  <c r="AL263" i="1"/>
  <c r="M263" i="1"/>
  <c r="AX269" i="1"/>
  <c r="BC277" i="1"/>
  <c r="BI316" i="1"/>
  <c r="AE316" i="1" s="1"/>
  <c r="AL252" i="1"/>
  <c r="M252" i="1"/>
  <c r="BH257" i="1"/>
  <c r="BH272" i="1"/>
  <c r="AV282" i="1"/>
  <c r="AS284" i="1"/>
  <c r="BH287" i="1"/>
  <c r="AD287" i="1" s="1"/>
  <c r="J287" i="1"/>
  <c r="AW287" i="1"/>
  <c r="AL308" i="1"/>
  <c r="M308" i="1"/>
  <c r="AW325" i="1"/>
  <c r="J325" i="1"/>
  <c r="O362" i="1"/>
  <c r="BF363" i="1"/>
  <c r="M374" i="1"/>
  <c r="M373" i="1" s="1"/>
  <c r="AX395" i="1"/>
  <c r="AV395" i="1" s="1"/>
  <c r="BI395" i="1"/>
  <c r="AC395" i="1" s="1"/>
  <c r="J257" i="1"/>
  <c r="BH266" i="1"/>
  <c r="AL275" i="1"/>
  <c r="M275" i="1"/>
  <c r="BH278" i="1"/>
  <c r="AW281" i="1"/>
  <c r="BH281" i="1"/>
  <c r="J281" i="1"/>
  <c r="AX285" i="1"/>
  <c r="BI285" i="1"/>
  <c r="AE285" i="1" s="1"/>
  <c r="K285" i="1"/>
  <c r="AV286" i="1"/>
  <c r="BC286" i="1"/>
  <c r="AX307" i="1"/>
  <c r="BI307" i="1"/>
  <c r="AE307" i="1" s="1"/>
  <c r="AL312" i="1"/>
  <c r="M312" i="1"/>
  <c r="K323" i="1"/>
  <c r="BI323" i="1"/>
  <c r="AE323" i="1" s="1"/>
  <c r="AX323" i="1"/>
  <c r="AV323" i="1" s="1"/>
  <c r="BH325" i="1"/>
  <c r="AD325" i="1" s="1"/>
  <c r="O339" i="1"/>
  <c r="BF340" i="1"/>
  <c r="M392" i="1"/>
  <c r="AL392" i="1"/>
  <c r="BH261" i="1"/>
  <c r="BH262" i="1"/>
  <c r="J271" i="1"/>
  <c r="J272" i="1"/>
  <c r="K273" i="1"/>
  <c r="O284" i="1"/>
  <c r="BH290" i="1"/>
  <c r="AD290" i="1" s="1"/>
  <c r="J290" i="1"/>
  <c r="AW290" i="1"/>
  <c r="AX317" i="1"/>
  <c r="AV317" i="1" s="1"/>
  <c r="K317" i="1"/>
  <c r="BI317" i="1"/>
  <c r="AE317" i="1" s="1"/>
  <c r="J244" i="1"/>
  <c r="J247" i="1"/>
  <c r="BH251" i="1"/>
  <c r="AV273" i="1"/>
  <c r="AX294" i="1"/>
  <c r="BC294" i="1" s="1"/>
  <c r="BI294" i="1"/>
  <c r="AG294" i="1" s="1"/>
  <c r="C19" i="2" s="1"/>
  <c r="K294" i="1"/>
  <c r="AX306" i="1"/>
  <c r="BC306" i="1" s="1"/>
  <c r="BI306" i="1"/>
  <c r="AE306" i="1" s="1"/>
  <c r="AL400" i="1"/>
  <c r="M400" i="1"/>
  <c r="L399" i="1"/>
  <c r="AV257" i="1"/>
  <c r="AL272" i="1"/>
  <c r="M272" i="1"/>
  <c r="AV272" i="1"/>
  <c r="AX296" i="1"/>
  <c r="BC296" i="1" s="1"/>
  <c r="BI296" i="1"/>
  <c r="AC296" i="1" s="1"/>
  <c r="K296" i="1"/>
  <c r="K295" i="1" s="1"/>
  <c r="AV297" i="1"/>
  <c r="BC297" i="1"/>
  <c r="AL300" i="1"/>
  <c r="L299" i="1"/>
  <c r="L298" i="1" s="1"/>
  <c r="AW300" i="1"/>
  <c r="J300" i="1"/>
  <c r="BH300" i="1"/>
  <c r="AD300" i="1" s="1"/>
  <c r="BI303" i="1"/>
  <c r="AE303" i="1" s="1"/>
  <c r="K303" i="1"/>
  <c r="AW311" i="1"/>
  <c r="J311" i="1"/>
  <c r="BH311" i="1"/>
  <c r="AD311" i="1" s="1"/>
  <c r="AL320" i="1"/>
  <c r="M320" i="1"/>
  <c r="L347" i="1"/>
  <c r="M348" i="1"/>
  <c r="M347" i="1" s="1"/>
  <c r="AX367" i="1"/>
  <c r="BI367" i="1"/>
  <c r="AE367" i="1" s="1"/>
  <c r="K367" i="1"/>
  <c r="M385" i="1"/>
  <c r="M384" i="1" s="1"/>
  <c r="L384" i="1"/>
  <c r="BH398" i="1"/>
  <c r="AB398" i="1" s="1"/>
  <c r="J398" i="1"/>
  <c r="J396" i="1" s="1"/>
  <c r="AW398" i="1"/>
  <c r="AW404" i="1"/>
  <c r="J404" i="1"/>
  <c r="BF406" i="1"/>
  <c r="O405" i="1"/>
  <c r="J406" i="1"/>
  <c r="J405" i="1" s="1"/>
  <c r="AW406" i="1"/>
  <c r="M271" i="1"/>
  <c r="M274" i="1"/>
  <c r="M277" i="1"/>
  <c r="M280" i="1"/>
  <c r="AX300" i="1"/>
  <c r="M302" i="1"/>
  <c r="M314" i="1"/>
  <c r="BI326" i="1"/>
  <c r="AE326" i="1" s="1"/>
  <c r="AX364" i="1"/>
  <c r="BI364" i="1"/>
  <c r="AE364" i="1" s="1"/>
  <c r="K364" i="1"/>
  <c r="K362" i="1" s="1"/>
  <c r="AV375" i="1"/>
  <c r="BC375" i="1"/>
  <c r="AL398" i="1"/>
  <c r="AU396" i="1" s="1"/>
  <c r="M398" i="1"/>
  <c r="M396" i="1" s="1"/>
  <c r="AX406" i="1"/>
  <c r="BI406" i="1"/>
  <c r="K406" i="1"/>
  <c r="K405" i="1" s="1"/>
  <c r="M285" i="1"/>
  <c r="M288" i="1"/>
  <c r="M291" i="1"/>
  <c r="M294" i="1"/>
  <c r="M296" i="1"/>
  <c r="M295" i="1" s="1"/>
  <c r="AL303" i="1"/>
  <c r="M303" i="1"/>
  <c r="AV303" i="1"/>
  <c r="AX311" i="1"/>
  <c r="AL315" i="1"/>
  <c r="M315" i="1"/>
  <c r="AX355" i="1"/>
  <c r="BI355" i="1"/>
  <c r="AC355" i="1" s="1"/>
  <c r="K355" i="1"/>
  <c r="K354" i="1" s="1"/>
  <c r="BC385" i="1"/>
  <c r="L396" i="1"/>
  <c r="AW411" i="1"/>
  <c r="BH411" i="1"/>
  <c r="AB411" i="1" s="1"/>
  <c r="J411" i="1"/>
  <c r="J409" i="1" s="1"/>
  <c r="J408" i="1" s="1"/>
  <c r="BC303" i="1"/>
  <c r="AW304" i="1"/>
  <c r="AL306" i="1"/>
  <c r="M306" i="1"/>
  <c r="AW316" i="1"/>
  <c r="AL318" i="1"/>
  <c r="M318" i="1"/>
  <c r="AV318" i="1"/>
  <c r="AL327" i="1"/>
  <c r="M327" i="1"/>
  <c r="AW327" i="1"/>
  <c r="BH327" i="1"/>
  <c r="AD327" i="1" s="1"/>
  <c r="J327" i="1"/>
  <c r="BH330" i="1"/>
  <c r="AD330" i="1" s="1"/>
  <c r="BC336" i="1"/>
  <c r="AV336" i="1"/>
  <c r="AW414" i="1"/>
  <c r="BH414" i="1"/>
  <c r="AB414" i="1" s="1"/>
  <c r="J414" i="1"/>
  <c r="BH346" i="1"/>
  <c r="AB346" i="1" s="1"/>
  <c r="J346" i="1"/>
  <c r="J345" i="1" s="1"/>
  <c r="AW346" i="1"/>
  <c r="BH350" i="1"/>
  <c r="AB350" i="1" s="1"/>
  <c r="J350" i="1"/>
  <c r="J349" i="1" s="1"/>
  <c r="AW350" i="1"/>
  <c r="L351" i="1"/>
  <c r="M352" i="1"/>
  <c r="AL359" i="1"/>
  <c r="AU358" i="1" s="1"/>
  <c r="M359" i="1"/>
  <c r="M358" i="1" s="1"/>
  <c r="L358" i="1"/>
  <c r="AL361" i="1"/>
  <c r="AU360" i="1" s="1"/>
  <c r="M361" i="1"/>
  <c r="M360" i="1" s="1"/>
  <c r="L360" i="1"/>
  <c r="AV361" i="1"/>
  <c r="BC361" i="1"/>
  <c r="K287" i="1"/>
  <c r="K290" i="1"/>
  <c r="K293" i="1"/>
  <c r="BH302" i="1"/>
  <c r="AD302" i="1" s="1"/>
  <c r="BH303" i="1"/>
  <c r="AD303" i="1" s="1"/>
  <c r="AL309" i="1"/>
  <c r="M309" i="1"/>
  <c r="BH314" i="1"/>
  <c r="AD314" i="1" s="1"/>
  <c r="BH315" i="1"/>
  <c r="AD315" i="1" s="1"/>
  <c r="AL321" i="1"/>
  <c r="M321" i="1"/>
  <c r="AV321" i="1"/>
  <c r="AT332" i="1"/>
  <c r="AX338" i="1"/>
  <c r="M346" i="1"/>
  <c r="M345" i="1" s="1"/>
  <c r="M350" i="1"/>
  <c r="M349" i="1" s="1"/>
  <c r="BI372" i="1"/>
  <c r="AE372" i="1" s="1"/>
  <c r="M381" i="1"/>
  <c r="M379" i="1" s="1"/>
  <c r="L379" i="1"/>
  <c r="O399" i="1"/>
  <c r="BH401" i="1"/>
  <c r="J401" i="1"/>
  <c r="AX412" i="1"/>
  <c r="AV412" i="1" s="1"/>
  <c r="K412" i="1"/>
  <c r="M255" i="1"/>
  <c r="M261" i="1"/>
  <c r="M264" i="1"/>
  <c r="M267" i="1"/>
  <c r="M270" i="1"/>
  <c r="M273" i="1"/>
  <c r="M276" i="1"/>
  <c r="M279" i="1"/>
  <c r="M282" i="1"/>
  <c r="AL324" i="1"/>
  <c r="M324" i="1"/>
  <c r="AW324" i="1"/>
  <c r="BH324" i="1"/>
  <c r="AD324" i="1" s="1"/>
  <c r="J324" i="1"/>
  <c r="J330" i="1"/>
  <c r="J329" i="1" s="1"/>
  <c r="L332" i="1"/>
  <c r="AL335" i="1"/>
  <c r="M335" i="1"/>
  <c r="BH336" i="1"/>
  <c r="AD336" i="1" s="1"/>
  <c r="BI340" i="1"/>
  <c r="AC340" i="1" s="1"/>
  <c r="AV357" i="1"/>
  <c r="BC357" i="1"/>
  <c r="AT389" i="1"/>
  <c r="AX391" i="1"/>
  <c r="AV391" i="1" s="1"/>
  <c r="BI391" i="1"/>
  <c r="AC391" i="1" s="1"/>
  <c r="K391" i="1"/>
  <c r="AX394" i="1"/>
  <c r="AV394" i="1" s="1"/>
  <c r="BI394" i="1"/>
  <c r="AC394" i="1" s="1"/>
  <c r="K394" i="1"/>
  <c r="AX401" i="1"/>
  <c r="BC401" i="1" s="1"/>
  <c r="BI401" i="1"/>
  <c r="K401" i="1"/>
  <c r="K399" i="1" s="1"/>
  <c r="AL412" i="1"/>
  <c r="M412" i="1"/>
  <c r="M409" i="1" s="1"/>
  <c r="M408" i="1" s="1"/>
  <c r="AL331" i="1"/>
  <c r="AU329" i="1" s="1"/>
  <c r="M331" i="1"/>
  <c r="M329" i="1" s="1"/>
  <c r="J340" i="1"/>
  <c r="J339" i="1" s="1"/>
  <c r="AS339" i="1"/>
  <c r="J364" i="1"/>
  <c r="BH388" i="1"/>
  <c r="AB388" i="1" s="1"/>
  <c r="J388" i="1"/>
  <c r="J386" i="1" s="1"/>
  <c r="BI411" i="1"/>
  <c r="AC411" i="1" s="1"/>
  <c r="K411" i="1"/>
  <c r="BI414" i="1"/>
  <c r="AC414" i="1" s="1"/>
  <c r="K414" i="1"/>
  <c r="AV335" i="1"/>
  <c r="AL356" i="1"/>
  <c r="BH357" i="1"/>
  <c r="AB357" i="1" s="1"/>
  <c r="J357" i="1"/>
  <c r="AL365" i="1"/>
  <c r="AL368" i="1"/>
  <c r="AL372" i="1"/>
  <c r="AU371" i="1" s="1"/>
  <c r="AL388" i="1"/>
  <c r="AU386" i="1" s="1"/>
  <c r="M388" i="1"/>
  <c r="M386" i="1" s="1"/>
  <c r="BI335" i="1"/>
  <c r="AE335" i="1" s="1"/>
  <c r="K335" i="1"/>
  <c r="K332" i="1" s="1"/>
  <c r="BF355" i="1"/>
  <c r="O354" i="1"/>
  <c r="AL357" i="1"/>
  <c r="M357" i="1"/>
  <c r="M354" i="1" s="1"/>
  <c r="AL363" i="1"/>
  <c r="M363" i="1"/>
  <c r="L362" i="1"/>
  <c r="BH363" i="1"/>
  <c r="AD363" i="1" s="1"/>
  <c r="J363" i="1"/>
  <c r="AL366" i="1"/>
  <c r="M366" i="1"/>
  <c r="BH366" i="1"/>
  <c r="AD366" i="1" s="1"/>
  <c r="J366" i="1"/>
  <c r="L369" i="1"/>
  <c r="M372" i="1"/>
  <c r="M371" i="1" s="1"/>
  <c r="L373" i="1"/>
  <c r="BF378" i="1"/>
  <c r="O377" i="1"/>
  <c r="AX378" i="1"/>
  <c r="AV378" i="1" s="1"/>
  <c r="BI378" i="1"/>
  <c r="AE378" i="1" s="1"/>
  <c r="K378" i="1"/>
  <c r="K377" i="1" s="1"/>
  <c r="BC397" i="1"/>
  <c r="BH400" i="1"/>
  <c r="J400" i="1"/>
  <c r="BC407" i="1"/>
  <c r="AX414" i="1"/>
  <c r="AW340" i="1"/>
  <c r="O345" i="1"/>
  <c r="BH348" i="1"/>
  <c r="AB348" i="1" s="1"/>
  <c r="J348" i="1"/>
  <c r="J347" i="1" s="1"/>
  <c r="O349" i="1"/>
  <c r="BH352" i="1"/>
  <c r="AB352" i="1" s="1"/>
  <c r="J352" i="1"/>
  <c r="J351" i="1" s="1"/>
  <c r="AW355" i="1"/>
  <c r="BC356" i="1"/>
  <c r="BH359" i="1"/>
  <c r="AB359" i="1" s="1"/>
  <c r="J359" i="1"/>
  <c r="J358" i="1" s="1"/>
  <c r="AW364" i="1"/>
  <c r="AW367" i="1"/>
  <c r="BC372" i="1"/>
  <c r="AS373" i="1"/>
  <c r="AX383" i="1"/>
  <c r="AV383" i="1" s="1"/>
  <c r="AX387" i="1"/>
  <c r="AL390" i="1"/>
  <c r="M390" i="1"/>
  <c r="L389" i="1"/>
  <c r="AL393" i="1"/>
  <c r="M393" i="1"/>
  <c r="AX404" i="1"/>
  <c r="BI404" i="1"/>
  <c r="K404" i="1"/>
  <c r="AX353" i="1"/>
  <c r="BI353" i="1"/>
  <c r="AC353" i="1" s="1"/>
  <c r="K353" i="1"/>
  <c r="K351" i="1" s="1"/>
  <c r="AL370" i="1"/>
  <c r="AU369" i="1" s="1"/>
  <c r="AL374" i="1"/>
  <c r="BF380" i="1"/>
  <c r="O379" i="1"/>
  <c r="BC402" i="1"/>
  <c r="AL375" i="1"/>
  <c r="M375" i="1"/>
  <c r="BH375" i="1"/>
  <c r="AD375" i="1" s="1"/>
  <c r="J375" i="1"/>
  <c r="J373" i="1" s="1"/>
  <c r="AX380" i="1"/>
  <c r="BI380" i="1"/>
  <c r="AC380" i="1" s="1"/>
  <c r="K380" i="1"/>
  <c r="K379" i="1" s="1"/>
  <c r="M301" i="1"/>
  <c r="M304" i="1"/>
  <c r="M307" i="1"/>
  <c r="M310" i="1"/>
  <c r="M313" i="1"/>
  <c r="M316" i="1"/>
  <c r="M319" i="1"/>
  <c r="M322" i="1"/>
  <c r="M325" i="1"/>
  <c r="AL333" i="1"/>
  <c r="M333" i="1"/>
  <c r="BC348" i="1"/>
  <c r="BC352" i="1"/>
  <c r="BC359" i="1"/>
  <c r="BH361" i="1"/>
  <c r="AB361" i="1" s="1"/>
  <c r="J361" i="1"/>
  <c r="J360" i="1" s="1"/>
  <c r="AX376" i="1"/>
  <c r="BC376" i="1" s="1"/>
  <c r="BI376" i="1"/>
  <c r="AE376" i="1" s="1"/>
  <c r="K376" i="1"/>
  <c r="K373" i="1" s="1"/>
  <c r="AU405" i="1"/>
  <c r="M336" i="1"/>
  <c r="M338" i="1"/>
  <c r="M337" i="1" s="1"/>
  <c r="M340" i="1"/>
  <c r="M339" i="1" s="1"/>
  <c r="BC112" i="1" l="1"/>
  <c r="BC231" i="1"/>
  <c r="BC169" i="1"/>
  <c r="AV278" i="1"/>
  <c r="BC239" i="1"/>
  <c r="AV370" i="1"/>
  <c r="AV381" i="1"/>
  <c r="M405" i="1"/>
  <c r="AV170" i="1"/>
  <c r="O283" i="1"/>
  <c r="BC154" i="1"/>
  <c r="AV77" i="1"/>
  <c r="AV115" i="1"/>
  <c r="AV387" i="1"/>
  <c r="AV388" i="1"/>
  <c r="K409" i="1"/>
  <c r="K408" i="1" s="1"/>
  <c r="BC400" i="1"/>
  <c r="BC243" i="1"/>
  <c r="BC124" i="1"/>
  <c r="BC132" i="1"/>
  <c r="AV102" i="1"/>
  <c r="AV185" i="1"/>
  <c r="AV331" i="1"/>
  <c r="M332" i="1"/>
  <c r="M328" i="1" s="1"/>
  <c r="K91" i="1"/>
  <c r="AV244" i="1"/>
  <c r="L328" i="1"/>
  <c r="AV263" i="1"/>
  <c r="BC138" i="1"/>
  <c r="BC92" i="1"/>
  <c r="AV19" i="1"/>
  <c r="AV179" i="1"/>
  <c r="BC143" i="1"/>
  <c r="BC197" i="1"/>
  <c r="AV365" i="1"/>
  <c r="AV264" i="1"/>
  <c r="BC391" i="1"/>
  <c r="BC160" i="1"/>
  <c r="BC193" i="1"/>
  <c r="AU146" i="1"/>
  <c r="BC82" i="1"/>
  <c r="AV47" i="1"/>
  <c r="AV229" i="1"/>
  <c r="BC60" i="1"/>
  <c r="K389" i="1"/>
  <c r="K344" i="1" s="1"/>
  <c r="O61" i="1"/>
  <c r="AV44" i="1"/>
  <c r="BC188" i="1"/>
  <c r="M351" i="1"/>
  <c r="K87" i="1"/>
  <c r="AV96" i="1"/>
  <c r="AV330" i="1"/>
  <c r="BC16" i="1"/>
  <c r="L12" i="1"/>
  <c r="AV410" i="1"/>
  <c r="BC410" i="1"/>
  <c r="AU409" i="1"/>
  <c r="AV413" i="1"/>
  <c r="BC413" i="1"/>
  <c r="AU399" i="1"/>
  <c r="M399" i="1"/>
  <c r="AV397" i="1"/>
  <c r="BC392" i="1"/>
  <c r="BC394" i="1"/>
  <c r="M389" i="1"/>
  <c r="BC395" i="1"/>
  <c r="BC381" i="1"/>
  <c r="AV380" i="1"/>
  <c r="BC374" i="1"/>
  <c r="AV374" i="1"/>
  <c r="BC363" i="1"/>
  <c r="L344" i="1"/>
  <c r="J362" i="1"/>
  <c r="BC333" i="1"/>
  <c r="AV333" i="1"/>
  <c r="K299" i="1"/>
  <c r="K298" i="1" s="1"/>
  <c r="AV309" i="1"/>
  <c r="AV306" i="1"/>
  <c r="J299" i="1"/>
  <c r="J298" i="1" s="1"/>
  <c r="BC322" i="1"/>
  <c r="AV322" i="1"/>
  <c r="M299" i="1"/>
  <c r="M298" i="1" s="1"/>
  <c r="BC323" i="1"/>
  <c r="K226" i="1"/>
  <c r="AV261" i="1"/>
  <c r="AV233" i="1"/>
  <c r="AU226" i="1"/>
  <c r="AV255" i="1"/>
  <c r="BC240" i="1"/>
  <c r="AV240" i="1"/>
  <c r="BC221" i="1"/>
  <c r="C14" i="2"/>
  <c r="C15" i="2"/>
  <c r="M211" i="1"/>
  <c r="AV161" i="1"/>
  <c r="AV194" i="1"/>
  <c r="BC194" i="1"/>
  <c r="BC167" i="1"/>
  <c r="BC202" i="1"/>
  <c r="AV202" i="1"/>
  <c r="AV188" i="1"/>
  <c r="M156" i="1"/>
  <c r="AV166" i="1"/>
  <c r="AU156" i="1"/>
  <c r="K156" i="1"/>
  <c r="AV173" i="1"/>
  <c r="AV205" i="1"/>
  <c r="BC191" i="1"/>
  <c r="BC181" i="1"/>
  <c r="AV181" i="1"/>
  <c r="AV200" i="1"/>
  <c r="AV197" i="1"/>
  <c r="BC153" i="1"/>
  <c r="J146" i="1"/>
  <c r="M140" i="1"/>
  <c r="AU140" i="1"/>
  <c r="L415" i="1"/>
  <c r="BC123" i="1"/>
  <c r="J122" i="1"/>
  <c r="AV134" i="1"/>
  <c r="K108" i="1"/>
  <c r="AV116" i="1"/>
  <c r="BC101" i="1"/>
  <c r="AV93" i="1"/>
  <c r="BC96" i="1"/>
  <c r="J91" i="1"/>
  <c r="BC65" i="1"/>
  <c r="AV68" i="1"/>
  <c r="BC68" i="1"/>
  <c r="BC74" i="1"/>
  <c r="M62" i="1"/>
  <c r="BC73" i="1"/>
  <c r="AV73" i="1"/>
  <c r="K53" i="1"/>
  <c r="J53" i="1"/>
  <c r="M53" i="1"/>
  <c r="J48" i="1"/>
  <c r="AU13" i="1"/>
  <c r="BC41" i="1"/>
  <c r="AV41" i="1"/>
  <c r="BC36" i="1"/>
  <c r="M13" i="1"/>
  <c r="BC33" i="1"/>
  <c r="AV38" i="1"/>
  <c r="BC22" i="1"/>
  <c r="AV201" i="1"/>
  <c r="BC201" i="1"/>
  <c r="AV250" i="1"/>
  <c r="BC250" i="1"/>
  <c r="AV66" i="1"/>
  <c r="BC66" i="1"/>
  <c r="J62" i="1"/>
  <c r="M122" i="1"/>
  <c r="BC315" i="1"/>
  <c r="BC383" i="1"/>
  <c r="AV398" i="1"/>
  <c r="BC398" i="1"/>
  <c r="AV300" i="1"/>
  <c r="BC300" i="1"/>
  <c r="BC253" i="1"/>
  <c r="AV253" i="1"/>
  <c r="J226" i="1"/>
  <c r="BC317" i="1"/>
  <c r="BC338" i="1"/>
  <c r="AV338" i="1"/>
  <c r="BC248" i="1"/>
  <c r="AV248" i="1"/>
  <c r="BC208" i="1"/>
  <c r="AV208" i="1"/>
  <c r="AV192" i="1"/>
  <c r="BC192" i="1"/>
  <c r="BC305" i="1"/>
  <c r="AV225" i="1"/>
  <c r="BC225" i="1"/>
  <c r="O328" i="1"/>
  <c r="AV183" i="1"/>
  <c r="BC183" i="1"/>
  <c r="AV128" i="1"/>
  <c r="BC128" i="1"/>
  <c r="BC100" i="1"/>
  <c r="AV100" i="1"/>
  <c r="AV58" i="1"/>
  <c r="BC107" i="1"/>
  <c r="AV107" i="1"/>
  <c r="BC126" i="1"/>
  <c r="BC97" i="1"/>
  <c r="AV97" i="1"/>
  <c r="BC145" i="1"/>
  <c r="AV145" i="1"/>
  <c r="AU122" i="1"/>
  <c r="BC37" i="1"/>
  <c r="AV177" i="1"/>
  <c r="BC177" i="1"/>
  <c r="O344" i="1"/>
  <c r="AV350" i="1"/>
  <c r="BC350" i="1"/>
  <c r="BC380" i="1"/>
  <c r="AV301" i="1"/>
  <c r="BC301" i="1"/>
  <c r="M226" i="1"/>
  <c r="AV288" i="1"/>
  <c r="AV219" i="1"/>
  <c r="BC219" i="1"/>
  <c r="K146" i="1"/>
  <c r="AV139" i="1"/>
  <c r="BC139" i="1"/>
  <c r="M48" i="1"/>
  <c r="BC94" i="1"/>
  <c r="AV94" i="1"/>
  <c r="AV168" i="1"/>
  <c r="BC168" i="1"/>
  <c r="AV174" i="1"/>
  <c r="BC174" i="1"/>
  <c r="BC368" i="1"/>
  <c r="AV367" i="1"/>
  <c r="BC367" i="1"/>
  <c r="BC340" i="1"/>
  <c r="AV340" i="1"/>
  <c r="M362" i="1"/>
  <c r="BC378" i="1"/>
  <c r="AU299" i="1"/>
  <c r="AV281" i="1"/>
  <c r="BC281" i="1"/>
  <c r="BC214" i="1"/>
  <c r="AV214" i="1"/>
  <c r="AV393" i="1"/>
  <c r="BC393" i="1"/>
  <c r="BC69" i="1"/>
  <c r="AV69" i="1"/>
  <c r="AV125" i="1"/>
  <c r="BC125" i="1"/>
  <c r="BC89" i="1"/>
  <c r="AV89" i="1"/>
  <c r="M108" i="1"/>
  <c r="BC118" i="1"/>
  <c r="AV118" i="1"/>
  <c r="BC106" i="1"/>
  <c r="AV106" i="1"/>
  <c r="AV390" i="1"/>
  <c r="BC390" i="1"/>
  <c r="AV334" i="1"/>
  <c r="BC334" i="1"/>
  <c r="AV268" i="1"/>
  <c r="BC268" i="1"/>
  <c r="BC207" i="1"/>
  <c r="AU108" i="1"/>
  <c r="C17" i="2"/>
  <c r="K122" i="1"/>
  <c r="BC63" i="1"/>
  <c r="AV256" i="1"/>
  <c r="BC256" i="1"/>
  <c r="AV189" i="1"/>
  <c r="BC189" i="1"/>
  <c r="BC111" i="1"/>
  <c r="AV111" i="1"/>
  <c r="BC42" i="1"/>
  <c r="AV42" i="1"/>
  <c r="BC50" i="1"/>
  <c r="AV50" i="1"/>
  <c r="BC130" i="1"/>
  <c r="AV130" i="1"/>
  <c r="BC149" i="1"/>
  <c r="AV149" i="1"/>
  <c r="AV346" i="1"/>
  <c r="BC346" i="1"/>
  <c r="BC304" i="1"/>
  <c r="AV304" i="1"/>
  <c r="AV325" i="1"/>
  <c r="BC325" i="1"/>
  <c r="J389" i="1"/>
  <c r="AV269" i="1"/>
  <c r="BC269" i="1"/>
  <c r="BC245" i="1"/>
  <c r="AV245" i="1"/>
  <c r="AV270" i="1"/>
  <c r="BC270" i="1"/>
  <c r="BC285" i="1"/>
  <c r="AV285" i="1"/>
  <c r="AV171" i="1"/>
  <c r="BC171" i="1"/>
  <c r="M146" i="1"/>
  <c r="AV180" i="1"/>
  <c r="BC180" i="1"/>
  <c r="K62" i="1"/>
  <c r="AV127" i="1"/>
  <c r="BC127" i="1"/>
  <c r="BC155" i="1"/>
  <c r="AV155" i="1"/>
  <c r="C16" i="2"/>
  <c r="BC213" i="1"/>
  <c r="AV213" i="1"/>
  <c r="BC404" i="1"/>
  <c r="AV404" i="1"/>
  <c r="AV327" i="1"/>
  <c r="BC327" i="1"/>
  <c r="M284" i="1"/>
  <c r="M283" i="1" s="1"/>
  <c r="AV313" i="1"/>
  <c r="BC313" i="1"/>
  <c r="J284" i="1"/>
  <c r="J283" i="1" s="1"/>
  <c r="AV267" i="1"/>
  <c r="BC267" i="1"/>
  <c r="AV117" i="1"/>
  <c r="BC117" i="1"/>
  <c r="BC72" i="1"/>
  <c r="AV72" i="1"/>
  <c r="BC109" i="1"/>
  <c r="AV109" i="1"/>
  <c r="BC75" i="1"/>
  <c r="AV75" i="1"/>
  <c r="K13" i="1"/>
  <c r="K12" i="1" s="1"/>
  <c r="BC78" i="1"/>
  <c r="AV78" i="1"/>
  <c r="BC47" i="1"/>
  <c r="AU332" i="1"/>
  <c r="AU373" i="1"/>
  <c r="AU389" i="1"/>
  <c r="J399" i="1"/>
  <c r="J344" i="1" s="1"/>
  <c r="AU354" i="1"/>
  <c r="J328" i="1"/>
  <c r="BC406" i="1"/>
  <c r="AV406" i="1"/>
  <c r="AV307" i="1"/>
  <c r="BC307" i="1"/>
  <c r="AV296" i="1"/>
  <c r="AV401" i="1"/>
  <c r="BC212" i="1"/>
  <c r="AV259" i="1"/>
  <c r="BC259" i="1"/>
  <c r="BC252" i="1"/>
  <c r="AV252" i="1"/>
  <c r="AV195" i="1"/>
  <c r="BC195" i="1"/>
  <c r="BC223" i="1"/>
  <c r="AV223" i="1"/>
  <c r="AV276" i="1"/>
  <c r="BC276" i="1"/>
  <c r="BC157" i="1"/>
  <c r="AV157" i="1"/>
  <c r="BC136" i="1"/>
  <c r="AV136" i="1"/>
  <c r="AV198" i="1"/>
  <c r="BC198" i="1"/>
  <c r="J13" i="1"/>
  <c r="J12" i="1" s="1"/>
  <c r="AV364" i="1"/>
  <c r="BC364" i="1"/>
  <c r="BC355" i="1"/>
  <c r="AV355" i="1"/>
  <c r="BC412" i="1"/>
  <c r="AV311" i="1"/>
  <c r="BC311" i="1"/>
  <c r="AV287" i="1"/>
  <c r="BC287" i="1"/>
  <c r="BC242" i="1"/>
  <c r="AV242" i="1"/>
  <c r="AV254" i="1"/>
  <c r="BC254" i="1"/>
  <c r="AV162" i="1"/>
  <c r="BC162" i="1"/>
  <c r="BC258" i="1"/>
  <c r="J156" i="1"/>
  <c r="AV144" i="1"/>
  <c r="BC144" i="1"/>
  <c r="AV152" i="1"/>
  <c r="BC152" i="1"/>
  <c r="BC141" i="1"/>
  <c r="AV141" i="1"/>
  <c r="BC81" i="1"/>
  <c r="AV81" i="1"/>
  <c r="BC158" i="1"/>
  <c r="AV158" i="1"/>
  <c r="BC84" i="1"/>
  <c r="AV84" i="1"/>
  <c r="J108" i="1"/>
  <c r="AV165" i="1"/>
  <c r="BC165" i="1"/>
  <c r="BC316" i="1"/>
  <c r="AV316" i="1"/>
  <c r="BC314" i="1"/>
  <c r="AV314" i="1"/>
  <c r="AV403" i="1"/>
  <c r="BC403" i="1"/>
  <c r="BC131" i="1"/>
  <c r="AU362" i="1"/>
  <c r="AV411" i="1"/>
  <c r="BC411" i="1"/>
  <c r="K328" i="1"/>
  <c r="BC387" i="1"/>
  <c r="AV294" i="1"/>
  <c r="AV290" i="1"/>
  <c r="BC290" i="1"/>
  <c r="AV353" i="1"/>
  <c r="BC353" i="1"/>
  <c r="AV376" i="1"/>
  <c r="AV204" i="1"/>
  <c r="BC204" i="1"/>
  <c r="AV186" i="1"/>
  <c r="BC186" i="1"/>
  <c r="BC302" i="1"/>
  <c r="AV302" i="1"/>
  <c r="AV137" i="1"/>
  <c r="J140" i="1"/>
  <c r="BC103" i="1"/>
  <c r="AV103" i="1"/>
  <c r="BC120" i="1"/>
  <c r="AV120" i="1"/>
  <c r="BC142" i="1"/>
  <c r="AV142" i="1"/>
  <c r="AV39" i="1"/>
  <c r="AV414" i="1"/>
  <c r="BC414" i="1"/>
  <c r="AV293" i="1"/>
  <c r="BC293" i="1"/>
  <c r="AV159" i="1"/>
  <c r="BC159" i="1"/>
  <c r="M91" i="1"/>
  <c r="AV324" i="1"/>
  <c r="BC324" i="1"/>
  <c r="K284" i="1"/>
  <c r="K283" i="1" s="1"/>
  <c r="AV319" i="1"/>
  <c r="BC319" i="1"/>
  <c r="BC271" i="1"/>
  <c r="BC246" i="1"/>
  <c r="AV279" i="1"/>
  <c r="BC279" i="1"/>
  <c r="AU211" i="1"/>
  <c r="BC274" i="1"/>
  <c r="AV274" i="1"/>
  <c r="BC205" i="1"/>
  <c r="AV312" i="1"/>
  <c r="BC312" i="1"/>
  <c r="J211" i="1"/>
  <c r="BC218" i="1"/>
  <c r="AV218" i="1"/>
  <c r="BC150" i="1"/>
  <c r="AV150" i="1"/>
  <c r="L61" i="1"/>
  <c r="M12" i="1" l="1"/>
  <c r="M344" i="1"/>
  <c r="K61" i="1"/>
  <c r="M415" i="1"/>
  <c r="C22" i="2"/>
  <c r="H21" i="3" s="1"/>
  <c r="I21" i="3" s="1"/>
  <c r="I14" i="2" s="1"/>
  <c r="J61" i="1"/>
  <c r="M61" i="1"/>
  <c r="I22" i="2" l="1"/>
  <c r="C29" i="2" s="1"/>
  <c r="I28" i="2" s="1"/>
  <c r="I27" i="3"/>
  <c r="F29" i="3" s="1"/>
  <c r="F29" i="2" l="1"/>
  <c r="I29" i="2" s="1"/>
</calcChain>
</file>

<file path=xl/sharedStrings.xml><?xml version="1.0" encoding="utf-8"?>
<sst xmlns="http://schemas.openxmlformats.org/spreadsheetml/2006/main" count="5359" uniqueCount="1281">
  <si>
    <t>Stavební rozpočet</t>
  </si>
  <si>
    <t>Název stavby:</t>
  </si>
  <si>
    <t>Energetické úspory a využití OZE na budově ZŠ a Gymnázia Konice</t>
  </si>
  <si>
    <t>Doba výstavby:</t>
  </si>
  <si>
    <t xml:space="preserve"> </t>
  </si>
  <si>
    <t>Objednatel:</t>
  </si>
  <si>
    <t> </t>
  </si>
  <si>
    <t>Druh stavby:</t>
  </si>
  <si>
    <t>D1 - Rekonstrukce zdroje tepla</t>
  </si>
  <si>
    <t>Začátek výstavby:</t>
  </si>
  <si>
    <t>Projektant:</t>
  </si>
  <si>
    <t>HEGAs, s.r.o., Kaštanová 182, 739 61 Třinec</t>
  </si>
  <si>
    <t>Lokalita:</t>
  </si>
  <si>
    <t>ZŠ a Gymnázium města Konice</t>
  </si>
  <si>
    <t>Konec výstavby:</t>
  </si>
  <si>
    <t>Zhotovitel:</t>
  </si>
  <si>
    <t>JKSO:</t>
  </si>
  <si>
    <t>Zpracováno dne:</t>
  </si>
  <si>
    <t>23.04.2025</t>
  </si>
  <si>
    <t>Zpracoval:</t>
  </si>
  <si>
    <t>Ing. Kawulok</t>
  </si>
  <si>
    <t>Č</t>
  </si>
  <si>
    <t>Objekt</t>
  </si>
  <si>
    <t>Kód</t>
  </si>
  <si>
    <t>Zkrácený popis</t>
  </si>
  <si>
    <t>MJ</t>
  </si>
  <si>
    <t>Množství</t>
  </si>
  <si>
    <t>Cena/MJ</t>
  </si>
  <si>
    <t>Sazba DPH</t>
  </si>
  <si>
    <t>Náklady (Kč)</t>
  </si>
  <si>
    <t>Hmotnost (t)</t>
  </si>
  <si>
    <t>Cenová</t>
  </si>
  <si>
    <t>ISWORK</t>
  </si>
  <si>
    <t>GROUPCODE</t>
  </si>
  <si>
    <t>VATTAX</t>
  </si>
  <si>
    <t>Rozměry</t>
  </si>
  <si>
    <t>(Kč)</t>
  </si>
  <si>
    <t>Dodávka</t>
  </si>
  <si>
    <t>Montáž</t>
  </si>
  <si>
    <t>Celkem</t>
  </si>
  <si>
    <t>Celkem vč. DPH</t>
  </si>
  <si>
    <t>Jednot.</t>
  </si>
  <si>
    <t>soustava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</si>
  <si>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</si>
  <si>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</si>
  <si>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</si>
  <si>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</si>
  <si>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</si>
  <si>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</si>
  <si>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</si>
  <si>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</si>
  <si>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</si>
  <si>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MAT</t>
  </si>
  <si>
    <t>WORK</t>
  </si>
  <si>
    <t>CELK</t>
  </si>
  <si>
    <t/>
  </si>
  <si>
    <t>01</t>
  </si>
  <si>
    <t>Plynoinstalace</t>
  </si>
  <si>
    <t>723</t>
  </si>
  <si>
    <t>Potrubní rozvod</t>
  </si>
  <si>
    <t>1</t>
  </si>
  <si>
    <t>723120202R00</t>
  </si>
  <si>
    <t>Potrubí ocelové závitové černé svařované DN 15 mm</t>
  </si>
  <si>
    <t>m</t>
  </si>
  <si>
    <t>RTS I / 2025</t>
  </si>
  <si>
    <t>7</t>
  </si>
  <si>
    <t>723_</t>
  </si>
  <si>
    <t>01_72_</t>
  </si>
  <si>
    <t>01_</t>
  </si>
  <si>
    <t>P</t>
  </si>
  <si>
    <t>2</t>
  </si>
  <si>
    <t>723120204R00</t>
  </si>
  <si>
    <t>Potrubí ocelové závitové černé svařované DN 25 mm</t>
  </si>
  <si>
    <t>3</t>
  </si>
  <si>
    <t>723120205R00</t>
  </si>
  <si>
    <t>Potrubí ocelové závitové černé svařované DN 32 mm</t>
  </si>
  <si>
    <t>4</t>
  </si>
  <si>
    <t>723150314R00</t>
  </si>
  <si>
    <t>Potrubí ocelové hladké černé svařované D 89 x 3,6 mm</t>
  </si>
  <si>
    <t>5</t>
  </si>
  <si>
    <t>723150317R00</t>
  </si>
  <si>
    <t>Potrubí ocelové hladké černé svařované D 159 x 4,5 mm</t>
  </si>
  <si>
    <t>6</t>
  </si>
  <si>
    <t>723190912R00</t>
  </si>
  <si>
    <t>Navaření odbočky na plynové potrubí DN 15</t>
  </si>
  <si>
    <t>kus</t>
  </si>
  <si>
    <t>723190914R00</t>
  </si>
  <si>
    <t>Navaření odbočky na plynové potrubí DN 25 - napojení KGJ</t>
  </si>
  <si>
    <t>8</t>
  </si>
  <si>
    <t>723190915R00</t>
  </si>
  <si>
    <t>Navaření odbočky na plynové potrubí DN 32 mm - napojení kotlů</t>
  </si>
  <si>
    <t>9</t>
  </si>
  <si>
    <t>723190919R00</t>
  </si>
  <si>
    <t>Navaření odbočky na plynové potrubí DN 80 mm - potrubí ke kotlům</t>
  </si>
  <si>
    <t>10</t>
  </si>
  <si>
    <t>723225111R00</t>
  </si>
  <si>
    <t>Ventil vzorkovací DN15</t>
  </si>
  <si>
    <t>11</t>
  </si>
  <si>
    <t>723235111R00</t>
  </si>
  <si>
    <t>Kohout kulový plynový, DN 15</t>
  </si>
  <si>
    <t>12</t>
  </si>
  <si>
    <t>723235113R00</t>
  </si>
  <si>
    <t>Kohout kulový plynový, DN 25</t>
  </si>
  <si>
    <t>13</t>
  </si>
  <si>
    <t>723235114R00</t>
  </si>
  <si>
    <t>Kohout kulový plynový, DN 32 mm</t>
  </si>
  <si>
    <t>14</t>
  </si>
  <si>
    <t>723239103R00</t>
  </si>
  <si>
    <t>Montáž plynovodních armatur, 2 závity, G 1 - plynové filtry,</t>
  </si>
  <si>
    <t>15</t>
  </si>
  <si>
    <t>723239104R00</t>
  </si>
  <si>
    <t>Montáž plynovodních armatur, 2 závity, G 5/4" - plynový filtr</t>
  </si>
  <si>
    <t>16</t>
  </si>
  <si>
    <t>723190901R00</t>
  </si>
  <si>
    <t>Uzavření nebo otevření plynového potrubí, stávající vývody z aku</t>
  </si>
  <si>
    <t>17</t>
  </si>
  <si>
    <t>723190907R00</t>
  </si>
  <si>
    <t>Odvzdušnění a napuštění plynového potrubí</t>
  </si>
  <si>
    <t>18</t>
  </si>
  <si>
    <t>723190908R00</t>
  </si>
  <si>
    <t>Odplynění stávajícího plynového potrubí</t>
  </si>
  <si>
    <t>19</t>
  </si>
  <si>
    <t>723190909R00</t>
  </si>
  <si>
    <t>Zkouška tlaková  plynového potrubí</t>
  </si>
  <si>
    <t>20</t>
  </si>
  <si>
    <t>723261914R00</t>
  </si>
  <si>
    <t>Montáž podružného plynoměru k KGJ</t>
  </si>
  <si>
    <t>21</t>
  </si>
  <si>
    <t>723160204R00</t>
  </si>
  <si>
    <t>Přípojka k plynoměru, závitová bez ochozu G 1"</t>
  </si>
  <si>
    <t>soubor</t>
  </si>
  <si>
    <t>22</t>
  </si>
  <si>
    <t>723160334R00</t>
  </si>
  <si>
    <t>Rozpěrka přípojky plynoměru G 1"</t>
  </si>
  <si>
    <t>23</t>
  </si>
  <si>
    <t>723215118R00</t>
  </si>
  <si>
    <t>Kohout kulový DN 80 mm, spoj s navařením přírub, litinový - dle specifikace</t>
  </si>
  <si>
    <t>24</t>
  </si>
  <si>
    <t>723215422R00</t>
  </si>
  <si>
    <t>Klapka uzavírací, mezipřirubová  DN 150 mm, litinová pro plyn</t>
  </si>
  <si>
    <t>25</t>
  </si>
  <si>
    <t>723219104R00</t>
  </si>
  <si>
    <t>Montáž armatury přírubové plynovodní, DN 80 mm - kulový kohout</t>
  </si>
  <si>
    <t>26</t>
  </si>
  <si>
    <t>723219107R00</t>
  </si>
  <si>
    <t>Montáž armatury přírubové plynovodní, DN 150 mm - klapa</t>
  </si>
  <si>
    <t>27</t>
  </si>
  <si>
    <t>723163106R00</t>
  </si>
  <si>
    <t>Potrubí z měděných plynových trubek D 35 x 1,5 mm - napojení kotlů</t>
  </si>
  <si>
    <t>28</t>
  </si>
  <si>
    <t>723165204R00</t>
  </si>
  <si>
    <t>Montáž tvarovky Cu lisováním D 35 mm 1 spoj - přechod</t>
  </si>
  <si>
    <t>29</t>
  </si>
  <si>
    <t>723300VD</t>
  </si>
  <si>
    <t>Ostatní nespecifikovatelné potrubní tvarovky</t>
  </si>
  <si>
    <t>kpl</t>
  </si>
  <si>
    <t>M</t>
  </si>
  <si>
    <t>734</t>
  </si>
  <si>
    <t>Armatury</t>
  </si>
  <si>
    <t>30</t>
  </si>
  <si>
    <t>734422130R00</t>
  </si>
  <si>
    <t>Tlakoměr ukazovací pro plyn 0-4kPa - komplet podle specifikace</t>
  </si>
  <si>
    <t>734_</t>
  </si>
  <si>
    <t>01_73_</t>
  </si>
  <si>
    <t>783</t>
  </si>
  <si>
    <t>Nátěry</t>
  </si>
  <si>
    <t>31</t>
  </si>
  <si>
    <t>783424340R00</t>
  </si>
  <si>
    <t>Nátěr syntet. potrubí do DN 50 mm + oprava stávajícího</t>
  </si>
  <si>
    <t>783_</t>
  </si>
  <si>
    <t>01_78_</t>
  </si>
  <si>
    <t>32</t>
  </si>
  <si>
    <t>783425350R00</t>
  </si>
  <si>
    <t>Nátěr syntet. potrubí do DN 100 mm + oprava nátěru stávajícího potrubí</t>
  </si>
  <si>
    <t>90</t>
  </si>
  <si>
    <t>Hodinové zúčtovací sazby (HZS)</t>
  </si>
  <si>
    <t>33</t>
  </si>
  <si>
    <t>900      RT2</t>
  </si>
  <si>
    <t>Hzs - demontáž stávajícího plynového potrubí a armatur</t>
  </si>
  <si>
    <t>h</t>
  </si>
  <si>
    <t>90_</t>
  </si>
  <si>
    <t>01_9_</t>
  </si>
  <si>
    <t>34</t>
  </si>
  <si>
    <t>900      RT1</t>
  </si>
  <si>
    <t>Hzs - vynesaení demontovaného zařízení před objekt</t>
  </si>
  <si>
    <t>H723</t>
  </si>
  <si>
    <t>Vnitřní plynovod</t>
  </si>
  <si>
    <t>35</t>
  </si>
  <si>
    <t>998723201R00</t>
  </si>
  <si>
    <t>Přesun hmot - objekt Plynoinstalace</t>
  </si>
  <si>
    <t>%</t>
  </si>
  <si>
    <t>H723_</t>
  </si>
  <si>
    <t>Ostatní materiál</t>
  </si>
  <si>
    <t>36</t>
  </si>
  <si>
    <t>723120VD</t>
  </si>
  <si>
    <t>Plynový filtr závitový G 5/4"" pro plynový kotel - dle specifikace</t>
  </si>
  <si>
    <t>0</t>
  </si>
  <si>
    <t>Z99999_</t>
  </si>
  <si>
    <t>01_Z_</t>
  </si>
  <si>
    <t>37</t>
  </si>
  <si>
    <t>Plynový filtr závitový G 1" pro KGJ - dle specifikace</t>
  </si>
  <si>
    <t>38</t>
  </si>
  <si>
    <t>723100VD</t>
  </si>
  <si>
    <t>Membránový plynoměr včetne šroubení a NF snímače - dle specifikace</t>
  </si>
  <si>
    <t>39</t>
  </si>
  <si>
    <t>723302VD</t>
  </si>
  <si>
    <t>Nerezová ohebná trubka proměnlivé délky pro plyn DN 25, délka 300 mm včetně převlečných matic G1" - napojení KGJ</t>
  </si>
  <si>
    <t>40</t>
  </si>
  <si>
    <t>723201VD</t>
  </si>
  <si>
    <t>Měděná lisovací tvárovka pro plyn - přechod s vněj. závitem 35x1"</t>
  </si>
  <si>
    <t>41</t>
  </si>
  <si>
    <t>Měděná lisovací tvárovka pro plyn - přechod s vněj. závitem 35x5/4"</t>
  </si>
  <si>
    <t>42</t>
  </si>
  <si>
    <t>723301VD</t>
  </si>
  <si>
    <t>Uchycení potrubí a ostatní montážní materiál</t>
  </si>
  <si>
    <t>02</t>
  </si>
  <si>
    <t>Technologie zdroje tepla</t>
  </si>
  <si>
    <t>713</t>
  </si>
  <si>
    <t>Izolace tepelné</t>
  </si>
  <si>
    <t>43</t>
  </si>
  <si>
    <t>713351221R00</t>
  </si>
  <si>
    <t>Montáž tepelné izolace těles, tvarové - rozdělovač, sběrač</t>
  </si>
  <si>
    <t>m2</t>
  </si>
  <si>
    <t>713_</t>
  </si>
  <si>
    <t>02_71_</t>
  </si>
  <si>
    <t>02_</t>
  </si>
  <si>
    <t>44</t>
  </si>
  <si>
    <t>713150VD</t>
  </si>
  <si>
    <t>Izolace tepelná rozdělovače a sběrače - min. vlna tl. 40 mm</t>
  </si>
  <si>
    <t>45</t>
  </si>
  <si>
    <t>713611VD</t>
  </si>
  <si>
    <t>Izolace potr. z miner.vlny s Al. kašírováním 21/20</t>
  </si>
  <si>
    <t>46</t>
  </si>
  <si>
    <t>713600VD</t>
  </si>
  <si>
    <t>Izolace potr. z miner.vlny s Al. kašírováním 27/25</t>
  </si>
  <si>
    <t>47</t>
  </si>
  <si>
    <t>713603VD</t>
  </si>
  <si>
    <t>Izolace potr. z miner.vlny s Al. kašírováním 35/30</t>
  </si>
  <si>
    <t>48</t>
  </si>
  <si>
    <t>713604VD</t>
  </si>
  <si>
    <t>Izolace potr. z miner.vlny s Al. kašírováním 42/30</t>
  </si>
  <si>
    <t>49</t>
  </si>
  <si>
    <t>713606VD</t>
  </si>
  <si>
    <t>Izolace potr. z miner.vlny s Al. kašírováním 54/40</t>
  </si>
  <si>
    <t>50</t>
  </si>
  <si>
    <t>713607VD</t>
  </si>
  <si>
    <t>Izolace potr. z miner.vlny s Al. kašírováním 76/40</t>
  </si>
  <si>
    <t>51</t>
  </si>
  <si>
    <t>713608VD</t>
  </si>
  <si>
    <t>Izolace potr. z miner.vlny s Al. kašírováním 89/40</t>
  </si>
  <si>
    <t>52</t>
  </si>
  <si>
    <t>713609VD</t>
  </si>
  <si>
    <t>Izolace potr. z miner.vlny s Al. kašírováním 108/40</t>
  </si>
  <si>
    <t>53</t>
  </si>
  <si>
    <t>722182024RT1</t>
  </si>
  <si>
    <t>Montáž izolačních skruží s Al. kašírováním na potrubí do DN 40-vnitřní izolace</t>
  </si>
  <si>
    <t>54</t>
  </si>
  <si>
    <t>722182026RT1</t>
  </si>
  <si>
    <t>Montáž izolačních skruží s Al. kašírováním na potrubí do DN 80-vnitřní izolace</t>
  </si>
  <si>
    <t>55</t>
  </si>
  <si>
    <t>722182008RT2</t>
  </si>
  <si>
    <t>Montáž izolačních skruží s Al. kašírováním na potrubí do DN 110-vnitřní izolace</t>
  </si>
  <si>
    <t>56</t>
  </si>
  <si>
    <t>722182094RT1</t>
  </si>
  <si>
    <t>Příplatek za montáž izolačních tvarovek DN 40 mm</t>
  </si>
  <si>
    <t>57</t>
  </si>
  <si>
    <t>722182096RT1</t>
  </si>
  <si>
    <t>Příplatek za montáž izolačních tvarovek DN 80 mm</t>
  </si>
  <si>
    <t>58</t>
  </si>
  <si>
    <t>722182098RT1</t>
  </si>
  <si>
    <t>Příplatek za montáž izolačních tvarovek DN 110 mm</t>
  </si>
  <si>
    <t>59</t>
  </si>
  <si>
    <t>722181212RT8</t>
  </si>
  <si>
    <t>Tepelná izolace návleková s pěnového poletylénu tl. stěny 6 mm, vnitřní průměr 25 mm</t>
  </si>
  <si>
    <t>60</t>
  </si>
  <si>
    <t>722181212RU2</t>
  </si>
  <si>
    <t>Tepelná izolace návleková s pěnového poletylénu tl. stěny 9 mm, vnitřní průměr 35 mm</t>
  </si>
  <si>
    <t>61</t>
  </si>
  <si>
    <t>722181214RU2</t>
  </si>
  <si>
    <t>Tepelná izolace návleková s pěnového poletylénu tl. stěny 20 mm, vnitřní průměr 35 mm</t>
  </si>
  <si>
    <t>62</t>
  </si>
  <si>
    <t>722181212RY3</t>
  </si>
  <si>
    <t>Tepelná izolace návleková s pěnového poletylénu tl. stěny 9 mm, vnitřní průměr 63 mm</t>
  </si>
  <si>
    <t>63</t>
  </si>
  <si>
    <t>722181215RW6</t>
  </si>
  <si>
    <t>Izolace návleková  MIRELON PRO tl. stěny 25 mm, vnitřní průměr 50 mm</t>
  </si>
  <si>
    <t>64</t>
  </si>
  <si>
    <t>722181215RY3</t>
  </si>
  <si>
    <t>Izolace návleková  MIRELON PRO tl. stěny 25 mm, vnitřní průměr 63 mm</t>
  </si>
  <si>
    <t>65</t>
  </si>
  <si>
    <t>722181215RY5</t>
  </si>
  <si>
    <t>Izolace návleková  MIRELON PRO tl. stěny 25 mm, vnitřní průměr 76 mm</t>
  </si>
  <si>
    <t>66</t>
  </si>
  <si>
    <t>713190VD</t>
  </si>
  <si>
    <t>Ostatní nespec.izolace-páska,lepidlo,sponky</t>
  </si>
  <si>
    <t>721</t>
  </si>
  <si>
    <t>Kanalizace</t>
  </si>
  <si>
    <t>67</t>
  </si>
  <si>
    <t>721176101R00</t>
  </si>
  <si>
    <t>Potrubí HT připojovací, D 32 x 1,8 mm - kondenzát z kotlů a KGJ</t>
  </si>
  <si>
    <t>721_</t>
  </si>
  <si>
    <t>02_72_</t>
  </si>
  <si>
    <t>68</t>
  </si>
  <si>
    <t>721176102R00</t>
  </si>
  <si>
    <t>Potrubí HT připojovací, D 40 x 1,8 mm - kondenzát z kotlů</t>
  </si>
  <si>
    <t>69</t>
  </si>
  <si>
    <t>721176103R00</t>
  </si>
  <si>
    <t>Potrubí HT připojovací D 50 x 1,8 mm - odvod z úpravny vody</t>
  </si>
  <si>
    <t>722</t>
  </si>
  <si>
    <t>Vnitřní vodovod</t>
  </si>
  <si>
    <t>70</t>
  </si>
  <si>
    <t>722172312R00</t>
  </si>
  <si>
    <t>Potrubí PP-R , D 25 x 3,5 mm, PN 16 - plnění systému ÚT, rozvod vody</t>
  </si>
  <si>
    <t>722_</t>
  </si>
  <si>
    <t>71</t>
  </si>
  <si>
    <t>722172313R00</t>
  </si>
  <si>
    <t>Potrubí PP-R , D 32 x 4,4 mm, PN 16 - rozvod vody</t>
  </si>
  <si>
    <t>72</t>
  </si>
  <si>
    <t>722172314R00</t>
  </si>
  <si>
    <t>Potrubí PP-R  D 40 x 5,5 mm, PN 16</t>
  </si>
  <si>
    <t>73</t>
  </si>
  <si>
    <t>722172315R00</t>
  </si>
  <si>
    <t>Potrubí PP-R, D 50 x 6,9 mm, PN 16</t>
  </si>
  <si>
    <t>74</t>
  </si>
  <si>
    <t>722172316R00</t>
  </si>
  <si>
    <t>Potrubí PP-R, D 63 x 8,6 mm, PN 16</t>
  </si>
  <si>
    <t>75</t>
  </si>
  <si>
    <t>722172317R00</t>
  </si>
  <si>
    <t>Potrubí PP-R , D 75 x 10,3 mm, PN 16</t>
  </si>
  <si>
    <t>76</t>
  </si>
  <si>
    <t>722265325R00</t>
  </si>
  <si>
    <t>Impulsní vícevtokový suchoběžný vodoměr SV, DN 25 mm, Qn 6,3, včetně šroubení, včetně impulsního vysílače reedí - dle specifikace</t>
  </si>
  <si>
    <t>77</t>
  </si>
  <si>
    <t>722239102R00</t>
  </si>
  <si>
    <t>Montáž vodovodních armatur 2závity, G 3/4" - Dg přechod</t>
  </si>
  <si>
    <t>78</t>
  </si>
  <si>
    <t>722239104R00</t>
  </si>
  <si>
    <t>Montáž vodovodních armatur 2závity, G 5/4" - Dg přechod</t>
  </si>
  <si>
    <t>79</t>
  </si>
  <si>
    <t>722239105R00</t>
  </si>
  <si>
    <t>Montáž vodovodních armatur 2závity, G 6/4" - Dg přechod</t>
  </si>
  <si>
    <t>80</t>
  </si>
  <si>
    <t>722239106R00</t>
  </si>
  <si>
    <t>Montáž vodovodních armatur 2závity, G 2" - Dg přechod</t>
  </si>
  <si>
    <t>81</t>
  </si>
  <si>
    <t>722209VD</t>
  </si>
  <si>
    <t>Dg přechodka s kovovým závitem vnějším PPR 25 x 3/4"</t>
  </si>
  <si>
    <t>82</t>
  </si>
  <si>
    <t>722211VD</t>
  </si>
  <si>
    <t>Dg přechodka s kovovým závitem vnějším PPR40 x 5/4"</t>
  </si>
  <si>
    <t>83</t>
  </si>
  <si>
    <t>722212VD</t>
  </si>
  <si>
    <t>Dg přechodka s kovovým závitem vnějším PPR 50 x 6/4"</t>
  </si>
  <si>
    <t>84</t>
  </si>
  <si>
    <t>722213VD</t>
  </si>
  <si>
    <t>Dg přechodka s kovovým závitem vnějším PPR 63 x 2"</t>
  </si>
  <si>
    <t>85</t>
  </si>
  <si>
    <t>Ostatní nespec. HT a PPR potrubn a tvárovky</t>
  </si>
  <si>
    <t>731</t>
  </si>
  <si>
    <t>Kotelny</t>
  </si>
  <si>
    <t>86</t>
  </si>
  <si>
    <t>731292812R00</t>
  </si>
  <si>
    <t>Demontáž hořáků na kapalina/plyn pal. do 500 kW - stávající kotel</t>
  </si>
  <si>
    <t>731_</t>
  </si>
  <si>
    <t>02_73_</t>
  </si>
  <si>
    <t>87</t>
  </si>
  <si>
    <t>731201815R00</t>
  </si>
  <si>
    <t>Demontáž kotlů ocel.poloautomat. do 290 kW - stávající kotel</t>
  </si>
  <si>
    <t>88</t>
  </si>
  <si>
    <t>731201822R00</t>
  </si>
  <si>
    <t>Demontáž kotlů ocel.automatických do 465 kW - stávající kotel</t>
  </si>
  <si>
    <t>89</t>
  </si>
  <si>
    <t>731202820R00</t>
  </si>
  <si>
    <t>Rozřezání kotlů ocelových do 1000 kg</t>
  </si>
  <si>
    <t>731202830R00</t>
  </si>
  <si>
    <t>Rozřezání kotlů ocelových do 2500 kg</t>
  </si>
  <si>
    <t>91</t>
  </si>
  <si>
    <t>731391815R00</t>
  </si>
  <si>
    <t>Vypouštění vody z kotlů samospádem</t>
  </si>
  <si>
    <t>92</t>
  </si>
  <si>
    <t>731249128R00</t>
  </si>
  <si>
    <t>Osazení a montáž plynových kotlů 150 kW a rámů do prostoru</t>
  </si>
  <si>
    <t>93</t>
  </si>
  <si>
    <t>731101VD</t>
  </si>
  <si>
    <t>Montáž kaskadních modulů, kaskadního regulátoru a komunikačního modulu kaskády s nadřaz.systémem</t>
  </si>
  <si>
    <t>94</t>
  </si>
  <si>
    <t>731190VD</t>
  </si>
  <si>
    <t>Montáž přípojovací sydy topného okruhu kotle</t>
  </si>
  <si>
    <t>95</t>
  </si>
  <si>
    <t>731831VD</t>
  </si>
  <si>
    <t>Montáž neutralizačního boxu, vč. náplně</t>
  </si>
  <si>
    <t>96</t>
  </si>
  <si>
    <t>731900VD</t>
  </si>
  <si>
    <t>Uvedení do provozu kaskády kotlů a kaskádní regulace autorizovaným technikem</t>
  </si>
  <si>
    <t>97</t>
  </si>
  <si>
    <t>731180VD</t>
  </si>
  <si>
    <t>Osazení a montáž kogenerační jednotky</t>
  </si>
  <si>
    <t>ks</t>
  </si>
  <si>
    <t>98</t>
  </si>
  <si>
    <t>731185VD</t>
  </si>
  <si>
    <t>Uvedení kogenerační jednotky do provozu servisním technikem, zaškolení obsluhy,  vstupní certifikace výrobku</t>
  </si>
  <si>
    <t>732</t>
  </si>
  <si>
    <t>Strojovny</t>
  </si>
  <si>
    <t>99</t>
  </si>
  <si>
    <t>732429112R00</t>
  </si>
  <si>
    <t>Montáž čerpadel oběhových spirálních, do DN 40</t>
  </si>
  <si>
    <t>732_</t>
  </si>
  <si>
    <t>100</t>
  </si>
  <si>
    <t>732219316R00</t>
  </si>
  <si>
    <t>Montáž akumulační nádoby stojat.PN 0,6-0,6,do 1600 l</t>
  </si>
  <si>
    <t>101</t>
  </si>
  <si>
    <t>732219315R00</t>
  </si>
  <si>
    <t>Montáž ohříváků vody stojat.PN 0,6-0,6,do 1000 l</t>
  </si>
  <si>
    <t>102</t>
  </si>
  <si>
    <t>732119194R00</t>
  </si>
  <si>
    <t>Montáž rozdělovačů a sběračů DN 200 (150x150mm) dl 1m</t>
  </si>
  <si>
    <t>103</t>
  </si>
  <si>
    <t>732119294R00</t>
  </si>
  <si>
    <t>Přípl. za dalšího 0,5 m tělesa rozděl.,DN 200</t>
  </si>
  <si>
    <t>104</t>
  </si>
  <si>
    <t>732199100RM1</t>
  </si>
  <si>
    <t>Montáž orientačního štítku včetně dodávky štítků</t>
  </si>
  <si>
    <t>105</t>
  </si>
  <si>
    <t>732324817R00</t>
  </si>
  <si>
    <t>Vypuštění vody z nádrží o obsahu 3000 l - ohřívače vody</t>
  </si>
  <si>
    <t>106</t>
  </si>
  <si>
    <t>732331514R00</t>
  </si>
  <si>
    <t>Nádoby expanzní tlak.s memb. 35 l - EN ke kotlům a KGJ</t>
  </si>
  <si>
    <t>107</t>
  </si>
  <si>
    <t>732339103R00</t>
  </si>
  <si>
    <t>Montáž nádoby expanzní tlakové 35 l</t>
  </si>
  <si>
    <t>108</t>
  </si>
  <si>
    <t>732331516R00</t>
  </si>
  <si>
    <t>Nádoby expanzní tlak.s memb., 60 l - ohřev TV</t>
  </si>
  <si>
    <t>109</t>
  </si>
  <si>
    <t>732339105R00</t>
  </si>
  <si>
    <t>Montáž nádoby expanzní tlakové 60 l</t>
  </si>
  <si>
    <t>110</t>
  </si>
  <si>
    <t>732211821R00</t>
  </si>
  <si>
    <t>Demontáž ohříváků zásobníkových ležatých do 2500 l</t>
  </si>
  <si>
    <t>111</t>
  </si>
  <si>
    <t>732213815R00</t>
  </si>
  <si>
    <t>Rozřezání demontovaných ohříváků do 2500 l</t>
  </si>
  <si>
    <t>112</t>
  </si>
  <si>
    <t>732214821R00</t>
  </si>
  <si>
    <t>Vypuštění vody z ohříváků o obsahu do 2500 l</t>
  </si>
  <si>
    <t>113</t>
  </si>
  <si>
    <t>732324816R00</t>
  </si>
  <si>
    <t>Vypuštění vody z nádrží o obsahu 2000 l - expanzní systém</t>
  </si>
  <si>
    <t>114</t>
  </si>
  <si>
    <t>732393816R00</t>
  </si>
  <si>
    <t>Rozřezání demontovaných nádrží, do 2000 l - expanzní systém</t>
  </si>
  <si>
    <t>115</t>
  </si>
  <si>
    <t>732320816R00</t>
  </si>
  <si>
    <t>Odpojení nádrží od rozvodů potrubí, do 2000 l - expanzní systém</t>
  </si>
  <si>
    <t>732VD</t>
  </si>
  <si>
    <t>116</t>
  </si>
  <si>
    <t>732350VD</t>
  </si>
  <si>
    <t>Bloková úpravna vody, dodávka a montáž - dle specifikace</t>
  </si>
  <si>
    <t>732VD_</t>
  </si>
  <si>
    <t>117</t>
  </si>
  <si>
    <t>732360VD</t>
  </si>
  <si>
    <t>Uvedení úpravny vody do provozu servisním technikem, doprava, zaškolení obsluhy</t>
  </si>
  <si>
    <t>118</t>
  </si>
  <si>
    <t>732400VD</t>
  </si>
  <si>
    <t>Expanzní jednočerpadlový automat vč. 1 ks základní nádoby s vakem o objemu 800 l - dle specifikace</t>
  </si>
  <si>
    <t>119</t>
  </si>
  <si>
    <t>732401VD</t>
  </si>
  <si>
    <t>Propojovací potrubí včetně armatur mezi čerpadlovým automatem a záklasdní nádobou</t>
  </si>
  <si>
    <t>120</t>
  </si>
  <si>
    <t>732410VD</t>
  </si>
  <si>
    <t>Uvedení expanzního automatu do provozu servisním technikem</t>
  </si>
  <si>
    <t>733</t>
  </si>
  <si>
    <t>Rozvod potrubí</t>
  </si>
  <si>
    <t>121</t>
  </si>
  <si>
    <t>733121222R00</t>
  </si>
  <si>
    <t>Potrubí hladké bezešvé v kotelnách D 76 x 3,2 mm</t>
  </si>
  <si>
    <t>733_</t>
  </si>
  <si>
    <t>122</t>
  </si>
  <si>
    <t>733121225R00</t>
  </si>
  <si>
    <t>Potrubí hladké bezešvé v kotelnách D 89 x 3,6 mm</t>
  </si>
  <si>
    <t>123</t>
  </si>
  <si>
    <t>733121228R00</t>
  </si>
  <si>
    <t>Potrubí hladké bezešvé v kotelnách D 108 x 4,0 mm</t>
  </si>
  <si>
    <t>124</t>
  </si>
  <si>
    <t>733151214R00</t>
  </si>
  <si>
    <t>Potrubí ocel. vně pozink.  22x1,5 mm</t>
  </si>
  <si>
    <t>125</t>
  </si>
  <si>
    <t>733151215R00</t>
  </si>
  <si>
    <t>Potrubí ocel. vně pozink. D 28x1,5 mm</t>
  </si>
  <si>
    <t>126</t>
  </si>
  <si>
    <t>733151216R00</t>
  </si>
  <si>
    <t>Potrubí ocel. vně pozink. D 35x1,5 mm</t>
  </si>
  <si>
    <t>127</t>
  </si>
  <si>
    <t>733151217R00</t>
  </si>
  <si>
    <t>Potrubí ocel. vně pozink. D 42x1,5 mm</t>
  </si>
  <si>
    <t>128</t>
  </si>
  <si>
    <t>733151218R00</t>
  </si>
  <si>
    <t>Potrubí ocel. vně pozink.  D 54x1,5 mm</t>
  </si>
  <si>
    <t>129</t>
  </si>
  <si>
    <t>733900VD</t>
  </si>
  <si>
    <t>Ostatní nespecifikované ocelové svářované a Steel press fitinky (kolena, T-kusy, hrdla, objímky, ...)</t>
  </si>
  <si>
    <t>130</t>
  </si>
  <si>
    <t>734235131R00</t>
  </si>
  <si>
    <t>Kohout kulový s vypouštěním DN 15</t>
  </si>
  <si>
    <t>131</t>
  </si>
  <si>
    <t>734235135R00</t>
  </si>
  <si>
    <t>Kohout kulový s vypouštěním, DN 40</t>
  </si>
  <si>
    <t>132</t>
  </si>
  <si>
    <t>734235121R00</t>
  </si>
  <si>
    <t>Kohout kulový,2xvnitřní záv. DN 15</t>
  </si>
  <si>
    <t>133</t>
  </si>
  <si>
    <t>734235122R00</t>
  </si>
  <si>
    <t>Kohout kulový,2xvnitřní záv., DN 20</t>
  </si>
  <si>
    <t>134</t>
  </si>
  <si>
    <t>734235124R00</t>
  </si>
  <si>
    <t>Kohout kulový,2xvnitřní záv.  DN 32</t>
  </si>
  <si>
    <t>135</t>
  </si>
  <si>
    <t>734235125R00</t>
  </si>
  <si>
    <t>Kohout kulový,2xvnitřní záv., DN 40</t>
  </si>
  <si>
    <t>136</t>
  </si>
  <si>
    <t>734235226R00</t>
  </si>
  <si>
    <t>Kohout kulový,2xvnitřní záv.  DN 50</t>
  </si>
  <si>
    <t>137</t>
  </si>
  <si>
    <t>734245121R00</t>
  </si>
  <si>
    <t>Ventil zpětný,2xvnitřní závit DN 15</t>
  </si>
  <si>
    <t>138</t>
  </si>
  <si>
    <t>734245124R00</t>
  </si>
  <si>
    <t>Ventil zpětný,2xvnitřní závit  DN 32</t>
  </si>
  <si>
    <t>139</t>
  </si>
  <si>
    <t>734245125R00</t>
  </si>
  <si>
    <t>Ventil zpětný,2xvnitřní závit  DN 40</t>
  </si>
  <si>
    <t>140</t>
  </si>
  <si>
    <t>734245126R00</t>
  </si>
  <si>
    <t>Ventil zpětný,2xvnitřní závit  DN 50</t>
  </si>
  <si>
    <t>141</t>
  </si>
  <si>
    <t>734293225R00</t>
  </si>
  <si>
    <t>Filtr, vnitřní-vnitřní z.  DN 40</t>
  </si>
  <si>
    <t>142</t>
  </si>
  <si>
    <t>734293226R00</t>
  </si>
  <si>
    <t>Filtr, vnitřní-vnitřní z. DN 50</t>
  </si>
  <si>
    <t>143</t>
  </si>
  <si>
    <t>734163117R00</t>
  </si>
  <si>
    <t>Filtr přírubový, DN 65, PN 6</t>
  </si>
  <si>
    <t>144</t>
  </si>
  <si>
    <t>734163119R00</t>
  </si>
  <si>
    <t>Filtr přírubový, DN100, PN 6</t>
  </si>
  <si>
    <t>145</t>
  </si>
  <si>
    <t>734295321R00</t>
  </si>
  <si>
    <t>Kohout kul.vypouštěcí,komplet, DN 15</t>
  </si>
  <si>
    <t>146</t>
  </si>
  <si>
    <t>734291114R00</t>
  </si>
  <si>
    <t>Kohouty plnící a vypouštěcí G 1- upravená položka</t>
  </si>
  <si>
    <t>147</t>
  </si>
  <si>
    <t>734215133R00</t>
  </si>
  <si>
    <t>Ventil odvzdušňovací automat. DN 15</t>
  </si>
  <si>
    <t>148</t>
  </si>
  <si>
    <t>734411147R00</t>
  </si>
  <si>
    <t>Teploměr 120° C, D 100 vč. jímky - dle specifikace</t>
  </si>
  <si>
    <t>149</t>
  </si>
  <si>
    <t>734494121R00</t>
  </si>
  <si>
    <t>Návarky M 20x1,5  délka do 100 mm-teploměr</t>
  </si>
  <si>
    <t>150</t>
  </si>
  <si>
    <t>734419111R00</t>
  </si>
  <si>
    <t>Montáž teploměru s pouzdrem nebo stonkem a jímkou</t>
  </si>
  <si>
    <t>151</t>
  </si>
  <si>
    <t>734490VD</t>
  </si>
  <si>
    <t>Teploměr příložný, 0-120°C, pr. 60 mm včetně příslušenství</t>
  </si>
  <si>
    <t>152</t>
  </si>
  <si>
    <t>734419112R00</t>
  </si>
  <si>
    <t>Montáž teploměru dvoukovového příložného</t>
  </si>
  <si>
    <t>153</t>
  </si>
  <si>
    <t>734421150R00</t>
  </si>
  <si>
    <t>Tlakoměr ukazovací  D 100, 0,4 MPa - komplet dle specifikace</t>
  </si>
  <si>
    <t>154</t>
  </si>
  <si>
    <t>Tlakoměr ukazovací  D 100, 1,0 MPa - komplet dle specifikace</t>
  </si>
  <si>
    <t>155</t>
  </si>
  <si>
    <t>734209103R00</t>
  </si>
  <si>
    <t>Montáž armatur závitových,s 1závitem, G 1/2</t>
  </si>
  <si>
    <t>156</t>
  </si>
  <si>
    <t>734209114R00</t>
  </si>
  <si>
    <t>Montáž armatur závitových,se 2závity, do G 3/4 - armatury, dopouštěcí ventil</t>
  </si>
  <si>
    <t>157</t>
  </si>
  <si>
    <t>734209115R00</t>
  </si>
  <si>
    <t>Montáž armatur závitových,se 2závity, G 1 - armatury, servisní ventil</t>
  </si>
  <si>
    <t>158</t>
  </si>
  <si>
    <t>734209116R00</t>
  </si>
  <si>
    <t>Montáž armatur závitových,se 2závity, G 5/4 - armaturty</t>
  </si>
  <si>
    <t>159</t>
  </si>
  <si>
    <t>734209117R00</t>
  </si>
  <si>
    <t>Montáž armatur závitových,se 2závity, G 6/4 - armatury</t>
  </si>
  <si>
    <t>160</t>
  </si>
  <si>
    <t>734209118R00</t>
  </si>
  <si>
    <t>Montáž armatur závitových,se 2závity, G 2 - armatury</t>
  </si>
  <si>
    <t>161</t>
  </si>
  <si>
    <t>734209122R00</t>
  </si>
  <si>
    <t>Montáž servopohonu bez el. připojení</t>
  </si>
  <si>
    <t>162</t>
  </si>
  <si>
    <t>734209127R00</t>
  </si>
  <si>
    <t>Montáž armatur závitových,se 3závity, G 6/4 - směš ventil</t>
  </si>
  <si>
    <t>163</t>
  </si>
  <si>
    <t>Montáž armatur závitových,se 3závity, do G5/4" - směš. ventil</t>
  </si>
  <si>
    <t>164</t>
  </si>
  <si>
    <t>734209128R00</t>
  </si>
  <si>
    <t>Montáž armatur závitových,se 3závity, G 2 - směš ventil</t>
  </si>
  <si>
    <t>165</t>
  </si>
  <si>
    <t>734494213R00</t>
  </si>
  <si>
    <t>Návarky s trubkovým závitem G 1/2</t>
  </si>
  <si>
    <t>166</t>
  </si>
  <si>
    <t>734494214R00</t>
  </si>
  <si>
    <t>Návarky s trubkovým závitem G 3/4</t>
  </si>
  <si>
    <t>167</t>
  </si>
  <si>
    <t>734494215R00</t>
  </si>
  <si>
    <t>Návarky s trubkovým závitem G 1</t>
  </si>
  <si>
    <t>168</t>
  </si>
  <si>
    <t>734494216R00</t>
  </si>
  <si>
    <t>Návarky s trubkovým závitem G 5/4</t>
  </si>
  <si>
    <t>169</t>
  </si>
  <si>
    <t>734494217R00</t>
  </si>
  <si>
    <t>Návarky s trubkovým závitem G 6/4</t>
  </si>
  <si>
    <t>170</t>
  </si>
  <si>
    <t>734494218R00</t>
  </si>
  <si>
    <t>Návarky s trubkovým závitem G 2</t>
  </si>
  <si>
    <t>171</t>
  </si>
  <si>
    <t>734193217R00</t>
  </si>
  <si>
    <t>Klapka uzav.regul.mezipřirub. DN 65</t>
  </si>
  <si>
    <t>172</t>
  </si>
  <si>
    <t>734193219R00</t>
  </si>
  <si>
    <t>Klapka uzav.regul.mezipřirub. DN100</t>
  </si>
  <si>
    <t>173</t>
  </si>
  <si>
    <t>734193237R00</t>
  </si>
  <si>
    <t>Klapka zpětná,motýl.mezipřír. DN 65</t>
  </si>
  <si>
    <t>174</t>
  </si>
  <si>
    <t>734109215R00</t>
  </si>
  <si>
    <t>Montáž přírub. armatur, 2 příruby, PN 1,6, DN 65 - armatury</t>
  </si>
  <si>
    <t>175</t>
  </si>
  <si>
    <t>734109217R00</t>
  </si>
  <si>
    <t>Montáž přírub. armatur, 2 příruby, PN 1,6, DN 100 - armatury</t>
  </si>
  <si>
    <t>176</t>
  </si>
  <si>
    <t>734109113R00</t>
  </si>
  <si>
    <t>Montáž přírubových armatur, 2 příruby, PN 6, DN 40 - čerpadla</t>
  </si>
  <si>
    <t>177</t>
  </si>
  <si>
    <t>734255114R00</t>
  </si>
  <si>
    <t>Ventil pojistný, DN 15 x 4,0 bar - KGJ</t>
  </si>
  <si>
    <t>178</t>
  </si>
  <si>
    <t>734255125R00</t>
  </si>
  <si>
    <t>Ventil pojistný,  DN 20 x 6,0 bar - TV</t>
  </si>
  <si>
    <t>179</t>
  </si>
  <si>
    <t>734419123R00</t>
  </si>
  <si>
    <t>Montáž kompaktního měřiče tepla závitového 6/4"</t>
  </si>
  <si>
    <t>180</t>
  </si>
  <si>
    <t>734419134R00</t>
  </si>
  <si>
    <t>Montáž kompaktního měřiče tepla závitového 5/4"</t>
  </si>
  <si>
    <t>181</t>
  </si>
  <si>
    <t>734419126R00</t>
  </si>
  <si>
    <t>Montáž kompaktního měřiče tepla přírubového DN 80</t>
  </si>
  <si>
    <t>182</t>
  </si>
  <si>
    <t>Nátěr syntet. potrubí do DN 100 mm</t>
  </si>
  <si>
    <t>02_78_</t>
  </si>
  <si>
    <t>183</t>
  </si>
  <si>
    <t>900      R01</t>
  </si>
  <si>
    <t>HZS - vypouštění vody z otopné soustavy v objektu</t>
  </si>
  <si>
    <t>02_9_</t>
  </si>
  <si>
    <t>184</t>
  </si>
  <si>
    <t>HZS - demontáž potrubních rozvodů, armatur a oběhových čerpadel</t>
  </si>
  <si>
    <t>185</t>
  </si>
  <si>
    <t>HZS - demontáž ostatní technologie a elektro kotelny (expanzní nádoba, úpravna vody, ...)</t>
  </si>
  <si>
    <t>186</t>
  </si>
  <si>
    <t>HZS - demontáž stávající tepelné izolace rozvodů ÚT a TV ve zdroji tepla</t>
  </si>
  <si>
    <t>187</t>
  </si>
  <si>
    <t>HZS - vynesení demontovaného materiálu před objekt, naložení na dopravní prostředek</t>
  </si>
  <si>
    <t>188</t>
  </si>
  <si>
    <t>900      RT3</t>
  </si>
  <si>
    <t>HZS - kotvení potrubí</t>
  </si>
  <si>
    <t>189</t>
  </si>
  <si>
    <t>900      R03</t>
  </si>
  <si>
    <t>HZS - napouštění vody do otopné soustavy, odvzdušnění</t>
  </si>
  <si>
    <t>190</t>
  </si>
  <si>
    <t>904      R02</t>
  </si>
  <si>
    <t>Hzs-zkousky v ramci montaz.praci - topná zkouška</t>
  </si>
  <si>
    <t>Lešení a stavební výtahy</t>
  </si>
  <si>
    <t>191</t>
  </si>
  <si>
    <t>941955002R00</t>
  </si>
  <si>
    <t>Lešení lehké pomocné, výška podlahy do 1,9 m</t>
  </si>
  <si>
    <t>94_</t>
  </si>
  <si>
    <t>998VD</t>
  </si>
  <si>
    <t>Přesun hmot</t>
  </si>
  <si>
    <t>192</t>
  </si>
  <si>
    <t>998201VD</t>
  </si>
  <si>
    <t>Odvoz demontované tepelné izolace na skládku, uskladnění, poplatek</t>
  </si>
  <si>
    <t>998VD_</t>
  </si>
  <si>
    <t>H731</t>
  </si>
  <si>
    <t>193</t>
  </si>
  <si>
    <t>998731201R00</t>
  </si>
  <si>
    <t>Přesun hmot - objekt Technologie zdroje tepla</t>
  </si>
  <si>
    <t>H731_</t>
  </si>
  <si>
    <t>194</t>
  </si>
  <si>
    <t>731200VD</t>
  </si>
  <si>
    <t>Kaskáda 5 ks plynový závěsných kondenzačních kotelů s modulovaným tepelným výkonem 5 x 32-150 kW (pro 50/30°C) - dle specifikace</t>
  </si>
  <si>
    <t>02_Z_</t>
  </si>
  <si>
    <t>195</t>
  </si>
  <si>
    <t>731201VD</t>
  </si>
  <si>
    <t>Montážní rám pro plynové kotle - instalace kotle do prostoru - dle specifikace</t>
  </si>
  <si>
    <t>196</t>
  </si>
  <si>
    <t>731202VD</t>
  </si>
  <si>
    <t>Rozšířující modul pro ovlávání kaskády kotlů 0-10V s nadřazeného systému - dle specifikace</t>
  </si>
  <si>
    <t>197</t>
  </si>
  <si>
    <t>731203VD</t>
  </si>
  <si>
    <t>Neutralizační zařízení pro kaskádu plynových kotlů a KGJ - výkon do 1 000 kW - dle specifikace</t>
  </si>
  <si>
    <t>198</t>
  </si>
  <si>
    <t>731204VD</t>
  </si>
  <si>
    <t>Balení granulátu pro neutralizační zařízení - dle specifikace</t>
  </si>
  <si>
    <t>199</t>
  </si>
  <si>
    <t>731205VD</t>
  </si>
  <si>
    <t>Pojistka proti zpětnbému proudění spalin z kotle - dle specifikace</t>
  </si>
  <si>
    <t>200</t>
  </si>
  <si>
    <t>731250VD</t>
  </si>
  <si>
    <t>Kogenerační jednotka pro zemní plyn s výkonem 20 kWe,  43,3 kWt včetně regulace a příslušenství - dle specifikace</t>
  </si>
  <si>
    <t>201</t>
  </si>
  <si>
    <t>731301VD</t>
  </si>
  <si>
    <t>Hadice plynová pro kogenerační jednotku - napojení na rozvod plynu - dle specifikace</t>
  </si>
  <si>
    <t>202</t>
  </si>
  <si>
    <t>731302VD</t>
  </si>
  <si>
    <t>Kompenzátor výfuku - kompenzátor spalinového potrubí k útlumu přenosu vibrací mezi KJ a spalinovou trasou a vyrovnání dilatace - dle specifikace</t>
  </si>
  <si>
    <t>203</t>
  </si>
  <si>
    <t>731303VD</t>
  </si>
  <si>
    <t>Odvaděč kondenzátu pro kogenerační jednotku - dle specifikace</t>
  </si>
  <si>
    <t>204</t>
  </si>
  <si>
    <t>731304VD</t>
  </si>
  <si>
    <t>Elektroměr pro měření na svorkách generátoru 1-kvadrant, 1-tarif - dle specifikace</t>
  </si>
  <si>
    <t>205</t>
  </si>
  <si>
    <t>731306VD</t>
  </si>
  <si>
    <t>Olejová náplň  další provozní kapaliny nutné pro provoz KGJ</t>
  </si>
  <si>
    <t>206</t>
  </si>
  <si>
    <t>731310VD</t>
  </si>
  <si>
    <t>Doprava KGJ z výrobního závodu na stavbu</t>
  </si>
  <si>
    <t>207</t>
  </si>
  <si>
    <t>731120VD</t>
  </si>
  <si>
    <t>Gumový kompenzátor pro topnou vody (teplota topné vody max 115°C), závitové přípojení - napojení KGJ - dle specifikace</t>
  </si>
  <si>
    <t>208</t>
  </si>
  <si>
    <t>732346VD</t>
  </si>
  <si>
    <t>Akumulační nádoba 1 000, skutečný objem 910 l - dle specifikace</t>
  </si>
  <si>
    <t>209</t>
  </si>
  <si>
    <t>732210VD</t>
  </si>
  <si>
    <t>Hydraulický vyrovnávač dynamických tlaků - dle specifikace</t>
  </si>
  <si>
    <t>210</t>
  </si>
  <si>
    <t>732250VD</t>
  </si>
  <si>
    <t>Rozdělovač, sběrač systému ÚT; DN 200, délka 2,6m; počet větví - 1 x DN 100 PN 10, 2 x DN 65 PN 10, 3 x G 2",  2 x G 6/4" - dle specifikace</t>
  </si>
  <si>
    <t>211</t>
  </si>
  <si>
    <t>732100VD</t>
  </si>
  <si>
    <t>Oběhové čerpadlo Č1 -  elektronicky měnitelné otáčky, DN 32- ohřev TV - dle specifikace</t>
  </si>
  <si>
    <t>212</t>
  </si>
  <si>
    <t>732101VD</t>
  </si>
  <si>
    <t>Oběhové čerpadlo Č2 - elektronicky měnitelné otáčky, DN 40 - VZT - dle specifikace</t>
  </si>
  <si>
    <t>213</t>
  </si>
  <si>
    <t>732102VD</t>
  </si>
  <si>
    <t>Oběhové čerpadlo Č3 - elektronicky plynulé měnitelné otáčky, DN 40 - ÚT objekt "C" - dle specifikace</t>
  </si>
  <si>
    <t>214</t>
  </si>
  <si>
    <t>732103VD</t>
  </si>
  <si>
    <t>Oběhové čerpadlo Č4 - elektronicky plynulé měnitelné otáčky, DN 32 - ÚT objekt "B" chodby - dle specifikace</t>
  </si>
  <si>
    <t>215</t>
  </si>
  <si>
    <t>732104VD</t>
  </si>
  <si>
    <t>Oběhové čerpadlo Č5 - elektronicky plynulé měnitelné otáčky, DN 40 - ÚT objekt "A+B" - dle specifikace</t>
  </si>
  <si>
    <t>216</t>
  </si>
  <si>
    <t>732105VD</t>
  </si>
  <si>
    <t>Oběhové čerpadlo Č6 - elektronicky plynulé měnitelné otáčky, DN 40 - ÚT objekt "D"  - dle specifikace</t>
  </si>
  <si>
    <t>217</t>
  </si>
  <si>
    <t>732106VD</t>
  </si>
  <si>
    <t>Oběhové čerpadlo Č7 - elektronicky plynuléy měnitelné otáčky, DN 32 - ÚT objekt "D" tělocvična - dle specifikace</t>
  </si>
  <si>
    <t>218</t>
  </si>
  <si>
    <t>732107VD</t>
  </si>
  <si>
    <t>Oběhové čerpadlo Č8 -  elektronicky měnitelné otáčky, DN 32 - akumulačná nádoby - anuloid - dle specifikace</t>
  </si>
  <si>
    <t>219</t>
  </si>
  <si>
    <t>732108VD</t>
  </si>
  <si>
    <t>Oběhové čerpadlo Č9 -elektronicky měnitelné otáčky, DN 32 - cirkulace TV, materiálové provedení - bronz, nerez  - dle specifikace</t>
  </si>
  <si>
    <t>220</t>
  </si>
  <si>
    <t>732109VD</t>
  </si>
  <si>
    <t>Ponorné kalové čerpadlo včetně plovakového spínače a kabelu se zástrčkou pro čerpání odpadní vody z jímky do kanalizace - dle specifikace</t>
  </si>
  <si>
    <t>221</t>
  </si>
  <si>
    <t>732110VD</t>
  </si>
  <si>
    <t>Uzavírací kulový kohout DN 40 se servopohonem - ohřev TV - dle specifikace</t>
  </si>
  <si>
    <t>222</t>
  </si>
  <si>
    <t>732111VD</t>
  </si>
  <si>
    <t>Uzavírací kulový kohout DN 40 se servopohonem - studená a teplá užitková voda - dle specifikace</t>
  </si>
  <si>
    <t>223</t>
  </si>
  <si>
    <t>732201VD</t>
  </si>
  <si>
    <t>Trojcestný směšovací ventil DN 50, kvs=40 včetně servopohonu - pro ÚT  objekt "A+B", "C" - dle specifikace</t>
  </si>
  <si>
    <t>224</t>
  </si>
  <si>
    <t>732202VD</t>
  </si>
  <si>
    <t>Trojcestný směšovací ventil DN 32, kvs=16 včetně servopohonu - pro ÚT  objekt "B" chodby a objekt  "D" tělocvična - dle specifikace</t>
  </si>
  <si>
    <t>225</t>
  </si>
  <si>
    <t>732204VD</t>
  </si>
  <si>
    <t>Trojcestný směšovací ventil DN 40, kvs 25 včetně servopohonu - pro ÚT  objekt "D"  - dle specifikace</t>
  </si>
  <si>
    <t>226</t>
  </si>
  <si>
    <t>734054VD</t>
  </si>
  <si>
    <t>Servisní ventil G 1" k expanzní nádově - TV</t>
  </si>
  <si>
    <t>227</t>
  </si>
  <si>
    <t>734055VD</t>
  </si>
  <si>
    <t>Servisní ventil G 3/4" k expanzní nádově - ÚT</t>
  </si>
  <si>
    <t>228</t>
  </si>
  <si>
    <t>734901VD</t>
  </si>
  <si>
    <t>Odkalovač s magnetem + tepelná izolace pro KGJ -  dle specifikace</t>
  </si>
  <si>
    <t>229</t>
  </si>
  <si>
    <t>734103VD</t>
  </si>
  <si>
    <t>Vyvažovací ventil uzavírací bez vypouštěním DN 40 - dle specifikace</t>
  </si>
  <si>
    <t>230</t>
  </si>
  <si>
    <t>734104VD</t>
  </si>
  <si>
    <t>Vyvažovací ventil uzavírací bez vypouštění DN 50 - dle specifikace</t>
  </si>
  <si>
    <t>231</t>
  </si>
  <si>
    <t>734105VD</t>
  </si>
  <si>
    <t>Vyvažovací ventil uzavírací bez vypouštění DN 65 - přírubový - dle spacifikace</t>
  </si>
  <si>
    <t>232</t>
  </si>
  <si>
    <t>Zásobníkový ohřívač vody s integrovaným smaltovým výměníkem s topnou plochou 3,5 m2; objem kapaliny 860 l, včetn izol - dle specifikace</t>
  </si>
  <si>
    <t>233</t>
  </si>
  <si>
    <t>Příruba pro další elektrické topné těleso včetně sady elektronické anody G 6/4" + G 1/2" - dle specifikace</t>
  </si>
  <si>
    <t>234</t>
  </si>
  <si>
    <t>732130VD</t>
  </si>
  <si>
    <t>Poniklovaná elektrická topná tělesa, G 6/4" M, s termostatickou kovovou hlavicí, 3x230/400 V, výkon 7,5 kWe - dle specifikace</t>
  </si>
  <si>
    <t>235</t>
  </si>
  <si>
    <t>722300VD</t>
  </si>
  <si>
    <t>Termostatický směšovací ventil pro teplou vodu DN 40, rozsah teplot 35-65°C, včetně sady přípoj. šroubení se zpet ventilem- dle specifikace</t>
  </si>
  <si>
    <t>236</t>
  </si>
  <si>
    <t>734153VD</t>
  </si>
  <si>
    <t>Ultrazvukový měřič tepla MT1; průtok 2,2 m3/h, DN 25 včetně sady teplotních čidel, ModBus modul; bateriové napájení - KGJ - dle specifikace</t>
  </si>
  <si>
    <t>237</t>
  </si>
  <si>
    <t>734160VD</t>
  </si>
  <si>
    <t>Ultrazvukový měřič tepla MT2; průtok 30 m3/h, DN 80 včetně sady teplotních čidel, ModBus modul; bateriové napájení - plynové kotle - dle specofokace</t>
  </si>
  <si>
    <t>238</t>
  </si>
  <si>
    <t>Ultrazvukový měřič tepla MT3; průtok 4,3 m3/h, DN 32 včetně sady teplotních čidel, ModBus modul; bateriové napájení - ohřev TV - dle specofokace</t>
  </si>
  <si>
    <t>239</t>
  </si>
  <si>
    <t>Ultrazvukový měřič tepla MT4; průtok 6,7 m3/h, DN 40 včetně sady teplotních čidel, ModBus modul; bateriové napájení - VZT - dle specofokace</t>
  </si>
  <si>
    <t>240</t>
  </si>
  <si>
    <t>734501VD</t>
  </si>
  <si>
    <t>Magnetický odlučovač nečistot a kalů + tepelná izolace, DN 100, PN 16 - dle specifikace</t>
  </si>
  <si>
    <t>241</t>
  </si>
  <si>
    <t>734502VD</t>
  </si>
  <si>
    <t>T-kus s magnetickou tyčí a jímkou, příslušenství s magnetem pro montáž do odkalovače</t>
  </si>
  <si>
    <t>242</t>
  </si>
  <si>
    <t>734503VD</t>
  </si>
  <si>
    <t>Automatický odvzdušňovací ventil pro sodlučovač nečistot, provedení s uzavíráním  G1"</t>
  </si>
  <si>
    <t>243</t>
  </si>
  <si>
    <t>733247VD</t>
  </si>
  <si>
    <t>Steel press lisovací tvárovka - přechod s vnějš. závitem 22x3/4"</t>
  </si>
  <si>
    <t>244</t>
  </si>
  <si>
    <t>733246VD</t>
  </si>
  <si>
    <t>Steel press lisovací tvárovka - přechod s vnějš. závitem 28x1"</t>
  </si>
  <si>
    <t>245</t>
  </si>
  <si>
    <t>733244VD</t>
  </si>
  <si>
    <t>Steel press lisovací tvárovka - přechod s vnějš. závitem 35x5/4"</t>
  </si>
  <si>
    <t>246</t>
  </si>
  <si>
    <t>733245VD</t>
  </si>
  <si>
    <t>Steel press lisovací tvárovka - přechod s vnějš. závitem 42x6/4"</t>
  </si>
  <si>
    <t>247</t>
  </si>
  <si>
    <t>733249VD</t>
  </si>
  <si>
    <t>Steel press lisovací tvárovka - přechod s vnějš. závitem 54x2"</t>
  </si>
  <si>
    <t>248</t>
  </si>
  <si>
    <t>733960VD</t>
  </si>
  <si>
    <t>Režijní materiál pro demontážní práce - plyn, kyslík, řezné kotouče, ...</t>
  </si>
  <si>
    <t>249</t>
  </si>
  <si>
    <t>733901VD</t>
  </si>
  <si>
    <t>Ostatní montážní a kotvící materiál</t>
  </si>
  <si>
    <t>03</t>
  </si>
  <si>
    <t>Větrání kotelny</t>
  </si>
  <si>
    <t>728</t>
  </si>
  <si>
    <t>Vzduchotechnika</t>
  </si>
  <si>
    <t>250</t>
  </si>
  <si>
    <t>728124VD</t>
  </si>
  <si>
    <t>Protidešťová žaluzie, vč. síťky proti hmyzu pro přívod vzduchu do kotelny ve dveřích - dle specifikace</t>
  </si>
  <si>
    <t>728_</t>
  </si>
  <si>
    <t>03_72_</t>
  </si>
  <si>
    <t>03_</t>
  </si>
  <si>
    <t>251</t>
  </si>
  <si>
    <t>728125VD</t>
  </si>
  <si>
    <t>Protidešťová žaluzie, fasádní, vč. síťky proti hmyzu pro přívod vzduchu do kotelny, montáž na potrubí - dle specifikace</t>
  </si>
  <si>
    <t>252</t>
  </si>
  <si>
    <t>728160VD</t>
  </si>
  <si>
    <t>Čtyřhranné vzduchotechnické potrubí 450x450 mm, z pozinkovaného ocelového plechu tloušťky 0,6 - 0,8 mm - dodávka + montáž - dle specifikace</t>
  </si>
  <si>
    <t>253</t>
  </si>
  <si>
    <t>728120VD</t>
  </si>
  <si>
    <t>Plechová lamelová mřížka, 450x450 - do vyústění VZT potrubí v kotelně, montáž na potrubí - přívod vzduchu do kotelny - dle specifikace</t>
  </si>
  <si>
    <t>254</t>
  </si>
  <si>
    <t>713145VD</t>
  </si>
  <si>
    <t>Spojky, těsnící pásky, objímky pro utěsnění a uchycení potrubí 450 x 450 mm - podle specifikace</t>
  </si>
  <si>
    <t>255</t>
  </si>
  <si>
    <t>728880VD</t>
  </si>
  <si>
    <t>Zhotovení otvoru 400 x 400 mm ve dveřích z venkovního prostoru do kotelny pro osatení větrací mřížky</t>
  </si>
  <si>
    <t>256</t>
  </si>
  <si>
    <t>728885VD</t>
  </si>
  <si>
    <t>Úprava stávajících mřížek pro odvod vzduchu z kotelny - vyčištění</t>
  </si>
  <si>
    <t>257</t>
  </si>
  <si>
    <t>728882VD</t>
  </si>
  <si>
    <t>Montáž větracích mřížek a VZT potrubí</t>
  </si>
  <si>
    <t>258</t>
  </si>
  <si>
    <t>240999VD</t>
  </si>
  <si>
    <t>Přesun hmot - větrání kotelny</t>
  </si>
  <si>
    <t>259</t>
  </si>
  <si>
    <t>240990VD</t>
  </si>
  <si>
    <t>Zednické výpomoce při montáži VZT</t>
  </si>
  <si>
    <t>260</t>
  </si>
  <si>
    <t>900      R02</t>
  </si>
  <si>
    <t>HZS - demontáž stávajícího VZT potrubí včetně ventilátoru</t>
  </si>
  <si>
    <t>03_9_</t>
  </si>
  <si>
    <t>261</t>
  </si>
  <si>
    <t>HZS - kotvení VZT potrubí</t>
  </si>
  <si>
    <t>04</t>
  </si>
  <si>
    <t>Odtah spalin</t>
  </si>
  <si>
    <t>731VD</t>
  </si>
  <si>
    <t>262</t>
  </si>
  <si>
    <t>731652VD</t>
  </si>
  <si>
    <t>Nerezová protipříruba DN 50, PN 6 s přívařenou nerezovou trubkou pr. 50 mm a přechodovým kusem z pr. 50/100 - dle specifikace</t>
  </si>
  <si>
    <t>731VD_</t>
  </si>
  <si>
    <t>04_73_</t>
  </si>
  <si>
    <t>04_</t>
  </si>
  <si>
    <t>263</t>
  </si>
  <si>
    <t>731671VD</t>
  </si>
  <si>
    <t>Komínová nerezová vložka pevná - trubka - 1000 mm, DN 100 - mat. nerez - dle specifikace</t>
  </si>
  <si>
    <t>264</t>
  </si>
  <si>
    <t>731672VD</t>
  </si>
  <si>
    <t>Patní koleno s kotvením DN 100 - mat. nerez - dle specifikace</t>
  </si>
  <si>
    <t>265</t>
  </si>
  <si>
    <t>731676VD</t>
  </si>
  <si>
    <t>Komínová krycí deska s manžetou včetně komínové hlavice - ukončení odtahu spalin - dle specifikace</t>
  </si>
  <si>
    <t>266</t>
  </si>
  <si>
    <t>Nerezový tepelně izolovaný třisložkový kouřovod - trubka - 1000 mm, vnitřní průměr DN 100, izolace 2 x 40 mm, opláštění nerez - dle specifikace</t>
  </si>
  <si>
    <t>267</t>
  </si>
  <si>
    <t>731673VD</t>
  </si>
  <si>
    <t>Revizní díl rovný, vnitřní DN 100 - mat. nerez/izolace/nerez - dle specifikace</t>
  </si>
  <si>
    <t>268</t>
  </si>
  <si>
    <t>731674VD</t>
  </si>
  <si>
    <t>Koleno 90°, vnitřní DN 100 - mat. nerez/izolace/nerez - dle specifikace</t>
  </si>
  <si>
    <t>269</t>
  </si>
  <si>
    <t>Koleno 45°, vnitřní DN 100 - mat. nerez/izolace/nerez - dle specifikace</t>
  </si>
  <si>
    <t>270</t>
  </si>
  <si>
    <t>Odváděč kondenzátu, vnitřní DN 100 - mat. nerez/izolace/nerez - dle specifikace</t>
  </si>
  <si>
    <t>271</t>
  </si>
  <si>
    <t>731685VD</t>
  </si>
  <si>
    <t>Distanční objímky - dle specifikace</t>
  </si>
  <si>
    <t>272</t>
  </si>
  <si>
    <t>731678VD</t>
  </si>
  <si>
    <t>Těsnění včetně spon pro přetlakový systém odvodu spalin</t>
  </si>
  <si>
    <t>273</t>
  </si>
  <si>
    <t>Ostatní přesně nespecifikované nerezové komponenty pro odtah spalin z KGJ včetně uchycení</t>
  </si>
  <si>
    <t>274</t>
  </si>
  <si>
    <t>731680VD</t>
  </si>
  <si>
    <t>Kouřovod-spalinová kaskáda pro 3 kotle pr. 250/110 - mat. plast - dle specifikace</t>
  </si>
  <si>
    <t>275</t>
  </si>
  <si>
    <t>Kouřovod-spalinová kaskáda pro 2 kotle pr. 250/110 - mat. plast - dle specifikace</t>
  </si>
  <si>
    <t>276</t>
  </si>
  <si>
    <t>731681VD</t>
  </si>
  <si>
    <t>Trubka 1m prodloužení DN 110 - mat. plast - dopojení kotlů - dle specifikace</t>
  </si>
  <si>
    <t>277</t>
  </si>
  <si>
    <t>731682VD</t>
  </si>
  <si>
    <t>Trubka s hrdlem 1m prodloužení DN 250 - mat. plast - dle specifikace</t>
  </si>
  <si>
    <t>278</t>
  </si>
  <si>
    <t>731683VD</t>
  </si>
  <si>
    <t>Revizní T kus přímý DN 250 s měřícím otvorem - mat. plast - dle specifikace</t>
  </si>
  <si>
    <t>279</t>
  </si>
  <si>
    <t>731684VD</t>
  </si>
  <si>
    <t>Redukce 250/250  nerez/plast - dle specifikace</t>
  </si>
  <si>
    <t>280</t>
  </si>
  <si>
    <t>Patní koleno 87° s kotvením, DN 250, uložný profil - mat. nerez - dle specifikace</t>
  </si>
  <si>
    <t>281</t>
  </si>
  <si>
    <t>731686VD</t>
  </si>
  <si>
    <t>Distanční objímka univerzální pro pr. 250 (balení 6 segmentů)  - dle specifikace</t>
  </si>
  <si>
    <t>282</t>
  </si>
  <si>
    <t>731690VD</t>
  </si>
  <si>
    <t>Komínová vložka, nerez trubka DN 250, 1000 mm - dle specifikace</t>
  </si>
  <si>
    <t>283</t>
  </si>
  <si>
    <t>Komínová nerezová hlavice komplet DN 250 - vyústění z komínového tělesa - dle specifikace</t>
  </si>
  <si>
    <t>284</t>
  </si>
  <si>
    <t>731687VD</t>
  </si>
  <si>
    <t>Manžata kolem vložky DN 250 nerez - objímka nerez DN 250 - dle specifikace</t>
  </si>
  <si>
    <t>285</t>
  </si>
  <si>
    <t>731688VD</t>
  </si>
  <si>
    <t>Ostatní přesně nespecifikovaný materiál pro odtah spalin včetně uchycení a utěsnění odtahu spalin z plynových kotlů</t>
  </si>
  <si>
    <t>286</t>
  </si>
  <si>
    <t>Stavební práce - související s odtahem spalin (vybourání části komínového zdiva pro osazení patního kolena a komínové vložky</t>
  </si>
  <si>
    <t>287</t>
  </si>
  <si>
    <t>731691VD</t>
  </si>
  <si>
    <t>Montážní práce odtahu spalin</t>
  </si>
  <si>
    <t>hod</t>
  </si>
  <si>
    <t>288</t>
  </si>
  <si>
    <t>731692VD</t>
  </si>
  <si>
    <t>Rrevize a přesunů hmot</t>
  </si>
  <si>
    <t>289</t>
  </si>
  <si>
    <t>731689VD</t>
  </si>
  <si>
    <t>Demontáž stávajících 3 ks Al kouřovodů a Al komínové vložky včetně odvozu do sběrných surovin</t>
  </si>
  <si>
    <t>kjpl</t>
  </si>
  <si>
    <t>06</t>
  </si>
  <si>
    <t>Otopná soustava - výměna ventilů</t>
  </si>
  <si>
    <t>290</t>
  </si>
  <si>
    <t>06_73_</t>
  </si>
  <si>
    <t>06_</t>
  </si>
  <si>
    <t>291</t>
  </si>
  <si>
    <t>Drobný nespecifikovaný materiál pro výměnu radiátorových ventilů (prodloužení, vsuvky, návarky, …)</t>
  </si>
  <si>
    <t>292</t>
  </si>
  <si>
    <t>734221672RT3</t>
  </si>
  <si>
    <t>Termostatická hlavice s vestavěným čidlem včetně ochrany proti odcizení pomocí zabezpečovacího kroužku, zátěžová skupina 1  - dle specifikace</t>
  </si>
  <si>
    <t>293</t>
  </si>
  <si>
    <t>734226211RT4</t>
  </si>
  <si>
    <t>Ventil term.přímý,vnitř.z. s automatickým omezením průtoku DN 10, zkrácena délka - dle specifikace</t>
  </si>
  <si>
    <t>294</t>
  </si>
  <si>
    <t>734226212RT4</t>
  </si>
  <si>
    <t>Ventil term.přímý,vnitř.z. s automatickým omezením průtoku DN 15, zkrácena délka - dle specifikace</t>
  </si>
  <si>
    <t>295</t>
  </si>
  <si>
    <t>734226213RT4</t>
  </si>
  <si>
    <t>Ventil term.přímý,vnitř.z. s automatickým omezením průtoku DN 20, zkrácena délka - dle specifikace</t>
  </si>
  <si>
    <t>783VD</t>
  </si>
  <si>
    <t>296</t>
  </si>
  <si>
    <t>783100VD</t>
  </si>
  <si>
    <t>Oprava nátěrů v místech výměny ventilů</t>
  </si>
  <si>
    <t>783VD_</t>
  </si>
  <si>
    <t>06_78_</t>
  </si>
  <si>
    <t>297</t>
  </si>
  <si>
    <t>HZS - demontáž stávajících radiátorových ventilů</t>
  </si>
  <si>
    <t>06_9_</t>
  </si>
  <si>
    <t>298</t>
  </si>
  <si>
    <t>H734</t>
  </si>
  <si>
    <t>299</t>
  </si>
  <si>
    <t>998734203R00</t>
  </si>
  <si>
    <t>Přesun hmot pro armatury, výšky do 24 m</t>
  </si>
  <si>
    <t>H734_</t>
  </si>
  <si>
    <t>07</t>
  </si>
  <si>
    <t>Drobné stavební práce</t>
  </si>
  <si>
    <t>Základy</t>
  </si>
  <si>
    <t>300</t>
  </si>
  <si>
    <t>278381165R00</t>
  </si>
  <si>
    <t>Základ pod kaskádu plynových kotlů z betonu C 20/25 - rozšíření základu</t>
  </si>
  <si>
    <t>m3</t>
  </si>
  <si>
    <t>27_</t>
  </si>
  <si>
    <t>07_2_</t>
  </si>
  <si>
    <t>07_</t>
  </si>
  <si>
    <t>Zdi podpěrné a volné</t>
  </si>
  <si>
    <t>301</t>
  </si>
  <si>
    <t>317120010RAA</t>
  </si>
  <si>
    <t>Osazení překladů, otvor šířky do 105 cm, včetně dodávky RZP 119 x 14 x 14 - stěna</t>
  </si>
  <si>
    <t>31_</t>
  </si>
  <si>
    <t>07_3_</t>
  </si>
  <si>
    <t>Stěny a příčky</t>
  </si>
  <si>
    <t>302</t>
  </si>
  <si>
    <t>342254811R00</t>
  </si>
  <si>
    <t>Příčky z desek pórobetonových tl. 150 mm - místnost baterek</t>
  </si>
  <si>
    <t>34_</t>
  </si>
  <si>
    <t>Omítky ze suchých směsí</t>
  </si>
  <si>
    <t>303</t>
  </si>
  <si>
    <t>602011112RT1</t>
  </si>
  <si>
    <t>Omítka na stěnách jádrová vápenocementová, ručně - nová stěna</t>
  </si>
  <si>
    <t>60_</t>
  </si>
  <si>
    <t>07_6_</t>
  </si>
  <si>
    <t>304</t>
  </si>
  <si>
    <t>602011147RT1</t>
  </si>
  <si>
    <t>Stěrka na stěnách sádrová, ručně, tloušťka vrstvy 2 mm</t>
  </si>
  <si>
    <t>Úprava povrchů vnitřní</t>
  </si>
  <si>
    <t>305</t>
  </si>
  <si>
    <t>612100032RAA</t>
  </si>
  <si>
    <t>Oprava omítek stěn vnitřních vápenocem. štukových - oprava z 20% ve zdroji tepla</t>
  </si>
  <si>
    <t>61_</t>
  </si>
  <si>
    <t>306</t>
  </si>
  <si>
    <t>612100036RAA</t>
  </si>
  <si>
    <t>Oprava omítek stěn vnitřních cem. - po prostupech</t>
  </si>
  <si>
    <t>307</t>
  </si>
  <si>
    <t>612481211RT2</t>
  </si>
  <si>
    <t>Montáž výztužné sítě(perlinky)do stěrky-vnit.stěny - nová stěna</t>
  </si>
  <si>
    <t>Podlahy a podlahové konstrukce</t>
  </si>
  <si>
    <t>308</t>
  </si>
  <si>
    <t>631312121R00</t>
  </si>
  <si>
    <t>Doplnění mazanin betonem do 4 m2, do tl. 8 cm - uprava podlahy v místě vybouraných základů</t>
  </si>
  <si>
    <t>63_</t>
  </si>
  <si>
    <t>Výplně otvorů</t>
  </si>
  <si>
    <t>309</t>
  </si>
  <si>
    <t>642942111RT5</t>
  </si>
  <si>
    <t>Osazení zárubní dveřních ocelových, pl. do 2,5 m2, včetně dodávky zárubně 900 x 1970 x 100 mm - místnost baterek</t>
  </si>
  <si>
    <t>64_</t>
  </si>
  <si>
    <t>727VD</t>
  </si>
  <si>
    <t>Protipožární opatření</t>
  </si>
  <si>
    <t>310</t>
  </si>
  <si>
    <t>727210VD</t>
  </si>
  <si>
    <t>Zpěňující ochranný pás na bázi grafitu pro prostupy plastových potrubí požárně dělicí konstrukci; rozměr 4,5 m x 50 mm - dle specifikace</t>
  </si>
  <si>
    <t>727VD_</t>
  </si>
  <si>
    <t>07_72_</t>
  </si>
  <si>
    <t>311</t>
  </si>
  <si>
    <t>727212VD</t>
  </si>
  <si>
    <t>Požárně ochranná stěrková hmota pro protipožární utěsnění, balení 310 ml - dle specifikace</t>
  </si>
  <si>
    <t>312</t>
  </si>
  <si>
    <t>727220VD</t>
  </si>
  <si>
    <t>Vypracování protokolu o provedení prostupu požárně bezpečnostní stěnou, vč. vyvěšení štítku s identifikací prostupu</t>
  </si>
  <si>
    <t>313</t>
  </si>
  <si>
    <t>727250VD</t>
  </si>
  <si>
    <t>Protipožární větrací mřížka 300 x 200 mm, požární odolnost min EI 30 min - větrání místnosti baterek</t>
  </si>
  <si>
    <t>314</t>
  </si>
  <si>
    <t>727225VD</t>
  </si>
  <si>
    <t>Hasící přístroj práškový 6 kg, hasící schopnost 21A včetně revize - dle specifikace</t>
  </si>
  <si>
    <t>315</t>
  </si>
  <si>
    <t>727226VD</t>
  </si>
  <si>
    <t>Hasící přístroj gelový G6 - pro hašení Li-ion baterií - dle specifikace</t>
  </si>
  <si>
    <t>767</t>
  </si>
  <si>
    <t>Konstrukce doplňkové stavební (zámečnické)</t>
  </si>
  <si>
    <t>316</t>
  </si>
  <si>
    <t>767649191R00</t>
  </si>
  <si>
    <t>Montáž doplňků dveří, samozavírače hydraulického</t>
  </si>
  <si>
    <t>767_</t>
  </si>
  <si>
    <t>07_76_</t>
  </si>
  <si>
    <t>777</t>
  </si>
  <si>
    <t>Podlahy ze syntetických hmot</t>
  </si>
  <si>
    <t>317</t>
  </si>
  <si>
    <t>777561020R00</t>
  </si>
  <si>
    <t>Vyspravení a vyrovnání podlahy stěrkou tloušťky 2 mm - v místě vybouraných základů</t>
  </si>
  <si>
    <t>777_</t>
  </si>
  <si>
    <t>07_77_</t>
  </si>
  <si>
    <t>318</t>
  </si>
  <si>
    <t>777101101R00</t>
  </si>
  <si>
    <t>Příprava podkladu - vysávání podlah prům.vysavačem</t>
  </si>
  <si>
    <t>07_78_</t>
  </si>
  <si>
    <t>319</t>
  </si>
  <si>
    <t>783896210R00</t>
  </si>
  <si>
    <t>Penetrace betonových podkladů 1x</t>
  </si>
  <si>
    <t>320</t>
  </si>
  <si>
    <t>783851223R00</t>
  </si>
  <si>
    <t>Nátěr epoxidový betonových podlah v kotelně - 2 x</t>
  </si>
  <si>
    <t>784</t>
  </si>
  <si>
    <t>Malby</t>
  </si>
  <si>
    <t>321</t>
  </si>
  <si>
    <t>784450020RA0</t>
  </si>
  <si>
    <t>Malba ze směsi, penetrace 1x, bílá 2x</t>
  </si>
  <si>
    <t>784_</t>
  </si>
  <si>
    <t>900VD</t>
  </si>
  <si>
    <t>Stavební práce</t>
  </si>
  <si>
    <t>322</t>
  </si>
  <si>
    <t>900900VD</t>
  </si>
  <si>
    <t>Přesun hmot-komplet stavebních prací</t>
  </si>
  <si>
    <t>900VD_</t>
  </si>
  <si>
    <t>07_9_</t>
  </si>
  <si>
    <t>323</t>
  </si>
  <si>
    <t>900680VD</t>
  </si>
  <si>
    <t>Zednické výpomoci začištění prostupů rozvodů topného média</t>
  </si>
  <si>
    <t>324</t>
  </si>
  <si>
    <t>941955003R00</t>
  </si>
  <si>
    <t>Lešení lehké pomocné, výška podlahy do 2,5 m</t>
  </si>
  <si>
    <t>954VD</t>
  </si>
  <si>
    <t>Dokončovací konstrukce a práce</t>
  </si>
  <si>
    <t>325</t>
  </si>
  <si>
    <t>954310VD</t>
  </si>
  <si>
    <t>Vyčištění prostoru kotelny (podlaha, stěny, strop) před nátěrem podlahy a výmalbou</t>
  </si>
  <si>
    <t>954VD_</t>
  </si>
  <si>
    <t>Bourání konstrukcí</t>
  </si>
  <si>
    <t>326</t>
  </si>
  <si>
    <t>961100015RA0</t>
  </si>
  <si>
    <t>Bourání základů z betonu prostého - základy pod ohřívače vody</t>
  </si>
  <si>
    <t>96_</t>
  </si>
  <si>
    <t>327</t>
  </si>
  <si>
    <t>968071126R00</t>
  </si>
  <si>
    <t>Vyvěšení kovových křídel dveří nad 2 m2 - dveře do technické místnoati</t>
  </si>
  <si>
    <t>Prorážení otvorů a ostatní bourací práce</t>
  </si>
  <si>
    <t>328</t>
  </si>
  <si>
    <t>900200VD</t>
  </si>
  <si>
    <t>Zednické výpomoci - ostatní nespecifikované průrazy potrubí ÚT stěnou</t>
  </si>
  <si>
    <t>97_</t>
  </si>
  <si>
    <t>329</t>
  </si>
  <si>
    <t>971033561R00</t>
  </si>
  <si>
    <t>Vybourání otv. zeď cihel. pl.1 m2, tl.60 cm, MVC - otvory do komínového tělesa pro osazení komínových hložek</t>
  </si>
  <si>
    <t>330</t>
  </si>
  <si>
    <t>970031160R00</t>
  </si>
  <si>
    <t>Vrtání jádrové do zdiva cihelného do D 160 mm - prostupy potrubí ÚT s tepelnoi izolaci stěnami</t>
  </si>
  <si>
    <t>331</t>
  </si>
  <si>
    <t>970031100R00</t>
  </si>
  <si>
    <t>Vrtání jádrové do zdiva cihelného do D 100 mm - prostupy potrubí ÚT s tepelnoi izolaci stěnami</t>
  </si>
  <si>
    <t>332</t>
  </si>
  <si>
    <t>970033160R00</t>
  </si>
  <si>
    <t>Příp. za jádr. vrt. ve H nad 1,5m cihel do D 160mm</t>
  </si>
  <si>
    <t>333</t>
  </si>
  <si>
    <t>970033100R00</t>
  </si>
  <si>
    <t>Příp. za jádr. vrt. ve H nad 1,5m cihel do D 100mm</t>
  </si>
  <si>
    <t>334</t>
  </si>
  <si>
    <t>998200VD</t>
  </si>
  <si>
    <t>Odvoz demontovaného zařízení (potrubí, armatury) do sběrných surovin</t>
  </si>
  <si>
    <t>335</t>
  </si>
  <si>
    <t>S</t>
  </si>
  <si>
    <t>Přesuny sutí</t>
  </si>
  <si>
    <t>336</t>
  </si>
  <si>
    <t>979011111R00</t>
  </si>
  <si>
    <t>Svislá doprava suti a vybour. hmot za 2.NP a 1.PP</t>
  </si>
  <si>
    <t>t</t>
  </si>
  <si>
    <t>S_</t>
  </si>
  <si>
    <t>337</t>
  </si>
  <si>
    <t>979081111R00</t>
  </si>
  <si>
    <t>Odvoz suti a vybour. hmot na skládku do 1 km</t>
  </si>
  <si>
    <t>338</t>
  </si>
  <si>
    <t>979081121R00</t>
  </si>
  <si>
    <t>Příplatek k odvozu za každý další 1 km - 10 km</t>
  </si>
  <si>
    <t>339</t>
  </si>
  <si>
    <t>979086213R00</t>
  </si>
  <si>
    <t>Nakládání vybouraných hmot na dopravní prostředek</t>
  </si>
  <si>
    <t>340</t>
  </si>
  <si>
    <t>979990107R00</t>
  </si>
  <si>
    <t>Poplatek za uložení suti - směs betonu, cihel, dřeva, skupina odpadu 170904</t>
  </si>
  <si>
    <t>341</t>
  </si>
  <si>
    <t>55345553</t>
  </si>
  <si>
    <t>Dveře požární 1kř.-45 min EI 45 DP1 90x197 cm - nové dveře do místnosti baterek</t>
  </si>
  <si>
    <t>07_Z_</t>
  </si>
  <si>
    <t>342</t>
  </si>
  <si>
    <t>54917265</t>
  </si>
  <si>
    <t>Zavírač dveří hydraulický - požární dveře</t>
  </si>
  <si>
    <t>08</t>
  </si>
  <si>
    <t>Související práce a činnosti</t>
  </si>
  <si>
    <t>911VD</t>
  </si>
  <si>
    <t>Ostatní související práce a činnosti</t>
  </si>
  <si>
    <t>343</t>
  </si>
  <si>
    <t>911600VD</t>
  </si>
  <si>
    <t>Revize, zkoušky, uvedení do provozu</t>
  </si>
  <si>
    <t>911VD_</t>
  </si>
  <si>
    <t>08_9_</t>
  </si>
  <si>
    <t>08_</t>
  </si>
  <si>
    <t>344</t>
  </si>
  <si>
    <t>911650VD</t>
  </si>
  <si>
    <t>Projektová dokumentace skutečného stavu</t>
  </si>
  <si>
    <t>345</t>
  </si>
  <si>
    <t>911660VD</t>
  </si>
  <si>
    <t>Zpracování revizní knihy kotlů, provozní řád kotelny</t>
  </si>
  <si>
    <t>346</t>
  </si>
  <si>
    <t>911670VD</t>
  </si>
  <si>
    <t>Ostatní souv.práce-koordinace,IČ, provozní vlivy, KD, dokumentace pro předání (2% ze ZRN)</t>
  </si>
  <si>
    <t>347</t>
  </si>
  <si>
    <t>911680VD</t>
  </si>
  <si>
    <t>Inženýrská činnost spojená s připojení KGJ do sítě</t>
  </si>
  <si>
    <t>Celkem:</t>
  </si>
  <si>
    <t>Poznámka:</t>
  </si>
  <si>
    <t>Krycí list rozpočtu</t>
  </si>
  <si>
    <t>IČO/DIČ:</t>
  </si>
  <si>
    <t>60774410/CZ60774410</t>
  </si>
  <si>
    <t>Položek:</t>
  </si>
  <si>
    <t>Datum:</t>
  </si>
  <si>
    <t>Rozpočtové náklady v Kč</t>
  </si>
  <si>
    <t>A</t>
  </si>
  <si>
    <t>Základní rozpočtové náklady</t>
  </si>
  <si>
    <t>B</t>
  </si>
  <si>
    <t>Doplňkové náklady</t>
  </si>
  <si>
    <t>C</t>
  </si>
  <si>
    <t>Náklady na umístění stavby (NUS)</t>
  </si>
  <si>
    <t>HSV</t>
  </si>
  <si>
    <t>Dodávky</t>
  </si>
  <si>
    <t>Práce přesčas</t>
  </si>
  <si>
    <t>Zařízení staveniště</t>
  </si>
  <si>
    <t>Bez pevné podl.</t>
  </si>
  <si>
    <t>Mimostav. doprava</t>
  </si>
  <si>
    <t>PSV</t>
  </si>
  <si>
    <t>Kulturní památka</t>
  </si>
  <si>
    <t>Územní vlivy</t>
  </si>
  <si>
    <t>Provozní vlivy</t>
  </si>
  <si>
    <t>"M"</t>
  </si>
  <si>
    <t>Ostatní</t>
  </si>
  <si>
    <t>NUS z rozpočtu</t>
  </si>
  <si>
    <t>Přesun hmot a sutí</t>
  </si>
  <si>
    <t>ZRN celkem</t>
  </si>
  <si>
    <t>DN celkem</t>
  </si>
  <si>
    <t>NUS celkem</t>
  </si>
  <si>
    <t>DN celkem z obj.</t>
  </si>
  <si>
    <t>NUS celkem z obj.</t>
  </si>
  <si>
    <t>VORN celkem</t>
  </si>
  <si>
    <t>VORN celkem z obj.</t>
  </si>
  <si>
    <t>Základ 0%</t>
  </si>
  <si>
    <t>Základ 15%</t>
  </si>
  <si>
    <t>DPH 15%</t>
  </si>
  <si>
    <t>Celkem bez DPH</t>
  </si>
  <si>
    <t>Základ 21%</t>
  </si>
  <si>
    <t>DPH 21%</t>
  </si>
  <si>
    <t>Celkem včetně DPH</t>
  </si>
  <si>
    <t>Projektant</t>
  </si>
  <si>
    <t>Objednatel</t>
  </si>
  <si>
    <t>Zhotovitel</t>
  </si>
  <si>
    <t>Datum, razítko a podpis</t>
  </si>
  <si>
    <t>Vedlejší a ostatní rozpočtové náklady</t>
  </si>
  <si>
    <t>Vedlejší rozpočtové náklady VRN</t>
  </si>
  <si>
    <t>Doplňkové náklady DN</t>
  </si>
  <si>
    <t>Kč</t>
  </si>
  <si>
    <t>Základna</t>
  </si>
  <si>
    <t>Celkem DN</t>
  </si>
  <si>
    <t>Celkem NUS</t>
  </si>
  <si>
    <t>Celkem VRN</t>
  </si>
  <si>
    <t>Ostatní rozpočtové náklady ORN</t>
  </si>
  <si>
    <t>Ostatní rozpočtové náklady (ORN)</t>
  </si>
  <si>
    <t>Celkem 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</si>
</sst>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  <charset val="1"/>
    </font>
    <font>
      <sz val="18"/>
      <color rgb="FF000000"/>
      <name val="Arial"/>
      <charset val="238"/>
    </font>
    <font>
      <b/>
      <sz val="10"/>
      <color rgb="FF000000"/>
      <name val="Arial"/>
      <charset val="238"/>
    </font>
    <font>
      <sz val="10"/>
      <color rgb="FF000000"/>
      <name val="Arial"/>
      <charset val="238"/>
    </font>
    <font>
      <i/>
      <sz val="8"/>
      <color rgb="FF000000"/>
      <name val="Arial"/>
      <charset val="238"/>
    </font>
    <font>
      <b/>
      <sz val="18"/>
      <color rgb="FF000000"/>
      <name val="Arial"/>
      <charset val="238"/>
    </font>
    <font>
      <b/>
      <sz val="20"/>
      <color rgb="FF000000"/>
      <name val="Arial"/>
      <charset val="238"/>
    </font>
    <font>
      <b/>
      <sz val="11"/>
      <color rgb="FF000000"/>
      <name val="Arial"/>
      <charset val="238"/>
    </font>
    <font>
      <b/>
      <sz val="12"/>
      <color rgb="FF000000"/>
      <name val="Arial"/>
      <charset val="238"/>
    </font>
    <font>
      <sz val="12"/>
      <color rgb="FF000000"/>
      <name val="Arial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3">
    <xf numFmtId="0" fontId="0" fillId="0" borderId="0" xfId="0"/>
    <xf numFmtId="4" fontId="2" fillId="2" borderId="0" xfId="0" applyNumberFormat="1" applyFont="1" applyFill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3" fillId="2" borderId="36" xfId="0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left" vertical="center"/>
    </xf>
    <xf numFmtId="0" fontId="3" fillId="2" borderId="37" xfId="0" applyFont="1" applyFill="1" applyBorder="1" applyAlignment="1">
      <alignment horizontal="left" vertical="center"/>
    </xf>
    <xf numFmtId="4" fontId="2" fillId="2" borderId="37" xfId="0" applyNumberFormat="1" applyFont="1" applyFill="1" applyBorder="1" applyAlignment="1">
      <alignment horizontal="right" vertical="center"/>
    </xf>
    <xf numFmtId="0" fontId="2" fillId="2" borderId="37" xfId="0" applyFont="1" applyFill="1" applyBorder="1" applyAlignment="1">
      <alignment horizontal="right" vertical="center"/>
    </xf>
    <xf numFmtId="0" fontId="2" fillId="2" borderId="38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6" xfId="0" applyFont="1" applyFill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39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4" fontId="3" fillId="0" borderId="40" xfId="0" applyNumberFormat="1" applyFont="1" applyBorder="1" applyAlignment="1">
      <alignment horizontal="right" vertical="center"/>
    </xf>
    <xf numFmtId="1" fontId="3" fillId="0" borderId="40" xfId="0" applyNumberFormat="1" applyFont="1" applyBorder="1" applyAlignment="1">
      <alignment horizontal="right" vertical="center"/>
    </xf>
    <xf numFmtId="0" fontId="3" fillId="0" borderId="41" xfId="0" applyFont="1" applyBorder="1" applyAlignment="1">
      <alignment horizontal="right" vertical="center"/>
    </xf>
    <xf numFmtId="4" fontId="2" fillId="0" borderId="42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9" fillId="0" borderId="49" xfId="0" applyFont="1" applyBorder="1" applyAlignment="1">
      <alignment horizontal="left" vertical="center"/>
    </xf>
    <xf numFmtId="4" fontId="9" fillId="0" borderId="49" xfId="0" applyNumberFormat="1" applyFont="1" applyBorder="1" applyAlignment="1">
      <alignment horizontal="right" vertical="center"/>
    </xf>
    <xf numFmtId="0" fontId="8" fillId="0" borderId="52" xfId="0" applyFont="1" applyBorder="1" applyAlignment="1">
      <alignment horizontal="left" vertical="center"/>
    </xf>
    <xf numFmtId="0" fontId="9" fillId="0" borderId="49" xfId="0" applyFont="1" applyBorder="1" applyAlignment="1">
      <alignment horizontal="right" vertical="center"/>
    </xf>
    <xf numFmtId="4" fontId="9" fillId="0" borderId="56" xfId="0" applyNumberFormat="1" applyFont="1" applyBorder="1" applyAlignment="1">
      <alignment horizontal="right" vertical="center"/>
    </xf>
    <xf numFmtId="0" fontId="9" fillId="0" borderId="56" xfId="0" applyFont="1" applyBorder="1" applyAlignment="1">
      <alignment horizontal="right" vertical="center"/>
    </xf>
    <xf numFmtId="4" fontId="9" fillId="0" borderId="47" xfId="0" applyNumberFormat="1" applyFont="1" applyBorder="1" applyAlignment="1">
      <alignment horizontal="right" vertical="center"/>
    </xf>
    <xf numFmtId="4" fontId="9" fillId="0" borderId="30" xfId="0" applyNumberFormat="1" applyFont="1" applyBorder="1" applyAlignment="1">
      <alignment horizontal="right" vertical="center"/>
    </xf>
    <xf numFmtId="4" fontId="8" fillId="2" borderId="46" xfId="0" applyNumberFormat="1" applyFont="1" applyFill="1" applyBorder="1" applyAlignment="1">
      <alignment horizontal="right" vertical="center"/>
    </xf>
    <xf numFmtId="4" fontId="8" fillId="2" borderId="51" xfId="0" applyNumberFormat="1" applyFont="1" applyFill="1" applyBorder="1" applyAlignment="1">
      <alignment horizontal="right" vertical="center"/>
    </xf>
    <xf numFmtId="0" fontId="4" fillId="0" borderId="37" xfId="0" applyFont="1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4" fontId="3" fillId="0" borderId="49" xfId="0" applyNumberFormat="1" applyFont="1" applyBorder="1" applyAlignment="1">
      <alignment horizontal="right" vertical="center"/>
    </xf>
    <xf numFmtId="0" fontId="3" fillId="0" borderId="49" xfId="0" applyFont="1" applyBorder="1" applyAlignment="1">
      <alignment horizontal="left" vertical="center"/>
    </xf>
    <xf numFmtId="4" fontId="3" fillId="0" borderId="75" xfId="0" applyNumberFormat="1" applyFont="1" applyBorder="1" applyAlignment="1">
      <alignment horizontal="right" vertical="center"/>
    </xf>
    <xf numFmtId="0" fontId="3" fillId="0" borderId="75" xfId="0" applyFont="1" applyBorder="1" applyAlignment="1">
      <alignment horizontal="left" vertical="center"/>
    </xf>
    <xf numFmtId="0" fontId="2" fillId="0" borderId="79" xfId="0" applyFont="1" applyBorder="1" applyAlignment="1">
      <alignment horizontal="left" vertical="center"/>
    </xf>
    <xf numFmtId="0" fontId="2" fillId="0" borderId="79" xfId="0" applyFont="1" applyBorder="1" applyAlignment="1">
      <alignment horizontal="right" vertical="center"/>
    </xf>
    <xf numFmtId="4" fontId="2" fillId="0" borderId="79" xfId="0" applyNumberFormat="1" applyFont="1" applyBorder="1" applyAlignment="1">
      <alignment horizontal="right" vertical="center"/>
    </xf>
    <xf numFmtId="4" fontId="3" fillId="3" borderId="0" xfId="0" applyNumberFormat="1" applyFont="1" applyFill="1" applyAlignment="1" applyProtection="1">
      <alignment horizontal="right" vertical="center"/>
      <protection locked="0"/>
    </xf>
    <xf numFmtId="4" fontId="3" fillId="3" borderId="40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9" fillId="0" borderId="64" xfId="0" applyFont="1" applyBorder="1" applyAlignment="1">
      <alignment horizontal="left" vertical="center"/>
    </xf>
    <xf numFmtId="0" fontId="9" fillId="0" borderId="62" xfId="0" applyFont="1" applyBorder="1" applyAlignment="1">
      <alignment horizontal="left" vertical="center"/>
    </xf>
    <xf numFmtId="0" fontId="9" fillId="0" borderId="63" xfId="0" applyFont="1" applyBorder="1" applyAlignment="1">
      <alignment horizontal="left" vertical="center"/>
    </xf>
    <xf numFmtId="0" fontId="9" fillId="0" borderId="6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66" xfId="0" applyFont="1" applyBorder="1" applyAlignment="1">
      <alignment horizontal="left" vertical="center"/>
    </xf>
    <xf numFmtId="0" fontId="9" fillId="0" borderId="71" xfId="0" applyFont="1" applyBorder="1" applyAlignment="1">
      <alignment horizontal="left" vertical="center"/>
    </xf>
    <xf numFmtId="0" fontId="9" fillId="0" borderId="69" xfId="0" applyFont="1" applyBorder="1" applyAlignment="1">
      <alignment horizontal="left" vertical="center"/>
    </xf>
    <xf numFmtId="0" fontId="9" fillId="0" borderId="70" xfId="0" applyFont="1" applyBorder="1" applyAlignment="1">
      <alignment horizontal="left" vertical="center"/>
    </xf>
    <xf numFmtId="0" fontId="9" fillId="0" borderId="61" xfId="0" applyFont="1" applyBorder="1" applyAlignment="1">
      <alignment horizontal="left" vertical="center"/>
    </xf>
    <xf numFmtId="0" fontId="9" fillId="0" borderId="65" xfId="0" applyFont="1" applyBorder="1" applyAlignment="1">
      <alignment horizontal="left" vertical="center"/>
    </xf>
    <xf numFmtId="0" fontId="9" fillId="0" borderId="68" xfId="0" applyFont="1" applyBorder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8" fillId="2" borderId="58" xfId="0" applyFont="1" applyFill="1" applyBorder="1" applyAlignment="1">
      <alignment horizontal="left" vertical="center"/>
    </xf>
    <xf numFmtId="0" fontId="8" fillId="2" borderId="59" xfId="0" applyFont="1" applyFill="1" applyBorder="1" applyAlignment="1">
      <alignment horizontal="left" vertical="center"/>
    </xf>
    <xf numFmtId="0" fontId="8" fillId="2" borderId="53" xfId="0" applyFont="1" applyFill="1" applyBorder="1" applyAlignment="1">
      <alignment horizontal="left" vertical="center"/>
    </xf>
    <xf numFmtId="0" fontId="8" fillId="2" borderId="60" xfId="0" applyFont="1" applyFill="1" applyBorder="1" applyAlignment="1">
      <alignment horizontal="left" vertical="center"/>
    </xf>
    <xf numFmtId="0" fontId="8" fillId="2" borderId="45" xfId="0" applyFont="1" applyFill="1" applyBorder="1" applyAlignment="1">
      <alignment horizontal="left" vertical="center"/>
    </xf>
    <xf numFmtId="0" fontId="8" fillId="2" borderId="50" xfId="0" applyFont="1" applyFill="1" applyBorder="1" applyAlignment="1">
      <alignment horizontal="left" vertical="center"/>
    </xf>
    <xf numFmtId="0" fontId="9" fillId="0" borderId="50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0" fontId="9" fillId="0" borderId="57" xfId="0" applyFont="1" applyBorder="1" applyAlignment="1">
      <alignment horizontal="left" vertical="center"/>
    </xf>
    <xf numFmtId="0" fontId="9" fillId="0" borderId="55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8" fillId="0" borderId="5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/>
    </xf>
    <xf numFmtId="0" fontId="5" fillId="0" borderId="43" xfId="0" applyFont="1" applyBorder="1" applyAlignment="1">
      <alignment horizontal="center" vertical="center"/>
    </xf>
    <xf numFmtId="0" fontId="7" fillId="0" borderId="45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0" fillId="3" borderId="6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1" fontId="3" fillId="0" borderId="6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40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37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76" xfId="0" applyFont="1" applyBorder="1" applyAlignment="1">
      <alignment horizontal="left" vertical="center"/>
    </xf>
    <xf numFmtId="0" fontId="2" fillId="0" borderId="77" xfId="0" applyFont="1" applyBorder="1" applyAlignment="1">
      <alignment horizontal="left" vertical="center"/>
    </xf>
    <xf numFmtId="0" fontId="2" fillId="0" borderId="78" xfId="0" applyFont="1" applyBorder="1" applyAlignment="1">
      <alignment horizontal="left" vertical="center"/>
    </xf>
    <xf numFmtId="0" fontId="8" fillId="0" borderId="76" xfId="0" applyFont="1" applyBorder="1" applyAlignment="1">
      <alignment horizontal="left" vertical="center"/>
    </xf>
    <xf numFmtId="0" fontId="8" fillId="0" borderId="77" xfId="0" applyFont="1" applyBorder="1" applyAlignment="1">
      <alignment horizontal="left" vertical="center"/>
    </xf>
    <xf numFmtId="0" fontId="8" fillId="0" borderId="78" xfId="0" applyFont="1" applyBorder="1" applyAlignment="1">
      <alignment horizontal="left" vertical="center"/>
    </xf>
    <xf numFmtId="4" fontId="8" fillId="0" borderId="80" xfId="0" applyNumberFormat="1" applyFont="1" applyBorder="1" applyAlignment="1">
      <alignment horizontal="right" vertical="center"/>
    </xf>
    <xf numFmtId="0" fontId="8" fillId="0" borderId="77" xfId="0" applyFont="1" applyBorder="1" applyAlignment="1">
      <alignment horizontal="right" vertical="center"/>
    </xf>
    <xf numFmtId="0" fontId="8" fillId="0" borderId="78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3" fillId="0" borderId="72" xfId="0" applyFont="1" applyBorder="1" applyAlignment="1">
      <alignment horizontal="left" vertical="center"/>
    </xf>
    <xf numFmtId="0" fontId="3" fillId="0" borderId="73" xfId="0" applyFont="1" applyBorder="1" applyAlignment="1">
      <alignment horizontal="left" vertical="center"/>
    </xf>
    <xf numFmtId="0" fontId="3" fillId="0" borderId="74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60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7"/>
  <sheetViews>
    <sheetView workbookViewId="0">
      <selection activeCell="E6" sqref="E6:E7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7.140625" customWidth="1"/>
    <col min="4" max="4" width="10" customWidth="1"/>
    <col min="5" max="5" width="14" customWidth="1"/>
    <col min="6" max="6" width="27.140625" customWidth="1"/>
    <col min="7" max="7" width="9.140625" customWidth="1"/>
    <col min="8" max="8" width="12.85546875" customWidth="1"/>
    <col min="9" max="9" width="27.140625" customWidth="1"/>
  </cols>
  <sheetData>
    <row r="1" spans="1:9" ht="54.75" customHeight="1" x14ac:dyDescent="0.25">
      <c r="A1" s="111" t="s">
        <v>1226</v>
      </c>
      <c r="B1" s="112"/>
      <c r="C1" s="112"/>
      <c r="D1" s="112"/>
      <c r="E1" s="112"/>
      <c r="F1" s="112"/>
      <c r="G1" s="112"/>
      <c r="H1" s="112"/>
      <c r="I1" s="112"/>
    </row>
    <row r="2" spans="1:9" x14ac:dyDescent="0.25">
      <c r="A2" s="113" t="s">
        <v>1</v>
      </c>
      <c r="B2" s="114"/>
      <c r="C2" s="123" t="str">
        <f>'Stavební rozpočet'!D2</f>
        <v>Energetické úspory a využití OZE na budově ZŠ a Gymnázia Konice</v>
      </c>
      <c r="D2" s="124"/>
      <c r="E2" s="110" t="s">
        <v>5</v>
      </c>
      <c r="F2" s="110" t="str">
        <f>'Stavební rozpočet'!K2</f>
        <v> </v>
      </c>
      <c r="G2" s="114"/>
      <c r="H2" s="110" t="s">
        <v>1227</v>
      </c>
      <c r="I2" s="118" t="s">
        <v>55</v>
      </c>
    </row>
    <row r="3" spans="1:9" ht="25.5" customHeight="1" x14ac:dyDescent="0.25">
      <c r="A3" s="115"/>
      <c r="B3" s="71"/>
      <c r="C3" s="125"/>
      <c r="D3" s="125"/>
      <c r="E3" s="71"/>
      <c r="F3" s="71"/>
      <c r="G3" s="71"/>
      <c r="H3" s="71"/>
      <c r="I3" s="119"/>
    </row>
    <row r="4" spans="1:9" x14ac:dyDescent="0.25">
      <c r="A4" s="108" t="s">
        <v>7</v>
      </c>
      <c r="B4" s="71"/>
      <c r="C4" s="70" t="str">
        <f>'Stavební rozpočet'!D4</f>
        <v>D1 - Rekonstrukce zdroje tepla</v>
      </c>
      <c r="D4" s="71"/>
      <c r="E4" s="70" t="s">
        <v>10</v>
      </c>
      <c r="F4" s="70" t="str">
        <f>'Stavební rozpočet'!K4</f>
        <v>HEGAs, s.r.o., Kaštanová 182, 739 61 Třinec</v>
      </c>
      <c r="G4" s="71"/>
      <c r="H4" s="70" t="s">
        <v>1227</v>
      </c>
      <c r="I4" s="119" t="s">
        <v>1228</v>
      </c>
    </row>
    <row r="5" spans="1:9" ht="15" customHeight="1" x14ac:dyDescent="0.25">
      <c r="A5" s="115"/>
      <c r="B5" s="71"/>
      <c r="C5" s="71"/>
      <c r="D5" s="71"/>
      <c r="E5" s="71"/>
      <c r="F5" s="71"/>
      <c r="G5" s="71"/>
      <c r="H5" s="71"/>
      <c r="I5" s="119"/>
    </row>
    <row r="6" spans="1:9" x14ac:dyDescent="0.25">
      <c r="A6" s="108" t="s">
        <v>12</v>
      </c>
      <c r="B6" s="71"/>
      <c r="C6" s="70" t="str">
        <f>'Stavební rozpočet'!D6</f>
        <v>ZŠ a Gymnázium města Konice</v>
      </c>
      <c r="D6" s="71"/>
      <c r="E6" s="70" t="s">
        <v>15</v>
      </c>
      <c r="F6" s="116" t="str">
        <f>'Stavební rozpočet'!K6</f>
        <v> </v>
      </c>
      <c r="G6" s="117"/>
      <c r="H6" s="70" t="s">
        <v>1227</v>
      </c>
      <c r="I6" s="120"/>
    </row>
    <row r="7" spans="1:9" ht="15" customHeight="1" x14ac:dyDescent="0.25">
      <c r="A7" s="115"/>
      <c r="B7" s="71"/>
      <c r="C7" s="71"/>
      <c r="D7" s="71"/>
      <c r="E7" s="71"/>
      <c r="F7" s="117"/>
      <c r="G7" s="117"/>
      <c r="H7" s="71"/>
      <c r="I7" s="121"/>
    </row>
    <row r="8" spans="1:9" x14ac:dyDescent="0.25">
      <c r="A8" s="108" t="s">
        <v>9</v>
      </c>
      <c r="B8" s="71"/>
      <c r="C8" s="70" t="str">
        <f>'Stavební rozpočet'!H4</f>
        <v xml:space="preserve"> </v>
      </c>
      <c r="D8" s="71"/>
      <c r="E8" s="70" t="s">
        <v>14</v>
      </c>
      <c r="F8" s="70" t="str">
        <f>'Stavební rozpočet'!H6</f>
        <v xml:space="preserve"> </v>
      </c>
      <c r="G8" s="71"/>
      <c r="H8" s="71" t="s">
        <v>1229</v>
      </c>
      <c r="I8" s="122">
        <v>347</v>
      </c>
    </row>
    <row r="9" spans="1:9" x14ac:dyDescent="0.25">
      <c r="A9" s="115"/>
      <c r="B9" s="71"/>
      <c r="C9" s="71"/>
      <c r="D9" s="71"/>
      <c r="E9" s="71"/>
      <c r="F9" s="71"/>
      <c r="G9" s="71"/>
      <c r="H9" s="71"/>
      <c r="I9" s="119"/>
    </row>
    <row r="10" spans="1:9" x14ac:dyDescent="0.25">
      <c r="A10" s="108" t="s">
        <v>16</v>
      </c>
      <c r="B10" s="71"/>
      <c r="C10" s="70" t="str">
        <f>'Stavební rozpočet'!D8</f>
        <v xml:space="preserve"> </v>
      </c>
      <c r="D10" s="71"/>
      <c r="E10" s="70" t="s">
        <v>19</v>
      </c>
      <c r="F10" s="70" t="str">
        <f>'Stavební rozpočet'!K8</f>
        <v>Ing. Kawulok</v>
      </c>
      <c r="G10" s="71"/>
      <c r="H10" s="71" t="s">
        <v>1230</v>
      </c>
      <c r="I10" s="102" t="str">
        <f>'Stavební rozpočet'!H8</f>
        <v>23.04.2025</v>
      </c>
    </row>
    <row r="11" spans="1:9" x14ac:dyDescent="0.25">
      <c r="A11" s="109"/>
      <c r="B11" s="107"/>
      <c r="C11" s="107"/>
      <c r="D11" s="107"/>
      <c r="E11" s="107"/>
      <c r="F11" s="107"/>
      <c r="G11" s="107"/>
      <c r="H11" s="107"/>
      <c r="I11" s="103"/>
    </row>
    <row r="12" spans="1:9" ht="23.25" x14ac:dyDescent="0.25">
      <c r="A12" s="104" t="s">
        <v>1231</v>
      </c>
      <c r="B12" s="104"/>
      <c r="C12" s="104"/>
      <c r="D12" s="104"/>
      <c r="E12" s="104"/>
      <c r="F12" s="104"/>
      <c r="G12" s="104"/>
      <c r="H12" s="104"/>
      <c r="I12" s="104"/>
    </row>
    <row r="13" spans="1:9" ht="26.25" customHeight="1" x14ac:dyDescent="0.25">
      <c r="A13" s="46" t="s">
        <v>1232</v>
      </c>
      <c r="B13" s="105" t="s">
        <v>1233</v>
      </c>
      <c r="C13" s="106"/>
      <c r="D13" s="47" t="s">
        <v>1234</v>
      </c>
      <c r="E13" s="105" t="s">
        <v>1235</v>
      </c>
      <c r="F13" s="106"/>
      <c r="G13" s="47" t="s">
        <v>1236</v>
      </c>
      <c r="H13" s="105" t="s">
        <v>1237</v>
      </c>
      <c r="I13" s="106"/>
    </row>
    <row r="14" spans="1:9" ht="15.75" x14ac:dyDescent="0.25">
      <c r="A14" s="48" t="s">
        <v>1238</v>
      </c>
      <c r="B14" s="49" t="s">
        <v>1239</v>
      </c>
      <c r="C14" s="50">
        <f>SUM('Stavební rozpočet'!AB12:AB828)</f>
        <v>0</v>
      </c>
      <c r="D14" s="92" t="s">
        <v>1240</v>
      </c>
      <c r="E14" s="93"/>
      <c r="F14" s="50">
        <f>VORN!I15</f>
        <v>0</v>
      </c>
      <c r="G14" s="92" t="s">
        <v>1241</v>
      </c>
      <c r="H14" s="93"/>
      <c r="I14" s="50">
        <f>VORN!I21</f>
        <v>0</v>
      </c>
    </row>
    <row r="15" spans="1:9" ht="15.75" x14ac:dyDescent="0.25">
      <c r="A15" s="51" t="s">
        <v>55</v>
      </c>
      <c r="B15" s="49" t="s">
        <v>38</v>
      </c>
      <c r="C15" s="50">
        <f>SUM('Stavební rozpočet'!AC12:AC828)</f>
        <v>0</v>
      </c>
      <c r="D15" s="92" t="s">
        <v>1242</v>
      </c>
      <c r="E15" s="93"/>
      <c r="F15" s="50">
        <f>VORN!I16</f>
        <v>0</v>
      </c>
      <c r="G15" s="92" t="s">
        <v>1243</v>
      </c>
      <c r="H15" s="93"/>
      <c r="I15" s="50">
        <f>VORN!I22</f>
        <v>0</v>
      </c>
    </row>
    <row r="16" spans="1:9" ht="15.75" x14ac:dyDescent="0.25">
      <c r="A16" s="48" t="s">
        <v>1244</v>
      </c>
      <c r="B16" s="49" t="s">
        <v>1239</v>
      </c>
      <c r="C16" s="50">
        <f>SUM('Stavební rozpočet'!AD12:AD828)</f>
        <v>0</v>
      </c>
      <c r="D16" s="92" t="s">
        <v>1245</v>
      </c>
      <c r="E16" s="93"/>
      <c r="F16" s="50">
        <f>VORN!I17</f>
        <v>0</v>
      </c>
      <c r="G16" s="92" t="s">
        <v>1246</v>
      </c>
      <c r="H16" s="93"/>
      <c r="I16" s="50">
        <f>VORN!I23</f>
        <v>0</v>
      </c>
    </row>
    <row r="17" spans="1:9" ht="15.75" x14ac:dyDescent="0.25">
      <c r="A17" s="51" t="s">
        <v>55</v>
      </c>
      <c r="B17" s="49" t="s">
        <v>38</v>
      </c>
      <c r="C17" s="50">
        <f>SUM('Stavební rozpočet'!AE12:AE828)</f>
        <v>0</v>
      </c>
      <c r="D17" s="92" t="s">
        <v>55</v>
      </c>
      <c r="E17" s="93"/>
      <c r="F17" s="52" t="s">
        <v>55</v>
      </c>
      <c r="G17" s="92" t="s">
        <v>1247</v>
      </c>
      <c r="H17" s="93"/>
      <c r="I17" s="50">
        <f>VORN!I24</f>
        <v>0</v>
      </c>
    </row>
    <row r="18" spans="1:9" ht="15.75" x14ac:dyDescent="0.25">
      <c r="A18" s="48" t="s">
        <v>1248</v>
      </c>
      <c r="B18" s="49" t="s">
        <v>1239</v>
      </c>
      <c r="C18" s="50">
        <f>SUM('Stavební rozpočet'!AF12:AF828)</f>
        <v>0</v>
      </c>
      <c r="D18" s="92" t="s">
        <v>55</v>
      </c>
      <c r="E18" s="93"/>
      <c r="F18" s="52" t="s">
        <v>55</v>
      </c>
      <c r="G18" s="92" t="s">
        <v>1249</v>
      </c>
      <c r="H18" s="93"/>
      <c r="I18" s="50">
        <f>VORN!I25</f>
        <v>0</v>
      </c>
    </row>
    <row r="19" spans="1:9" ht="15.75" x14ac:dyDescent="0.25">
      <c r="A19" s="51" t="s">
        <v>55</v>
      </c>
      <c r="B19" s="49" t="s">
        <v>38</v>
      </c>
      <c r="C19" s="50">
        <f>SUM('Stavební rozpočet'!AG12:AG828)</f>
        <v>0</v>
      </c>
      <c r="D19" s="92" t="s">
        <v>55</v>
      </c>
      <c r="E19" s="93"/>
      <c r="F19" s="52" t="s">
        <v>55</v>
      </c>
      <c r="G19" s="92" t="s">
        <v>1250</v>
      </c>
      <c r="H19" s="93"/>
      <c r="I19" s="50">
        <f>VORN!I26</f>
        <v>0</v>
      </c>
    </row>
    <row r="20" spans="1:9" ht="15.75" x14ac:dyDescent="0.25">
      <c r="A20" s="84" t="s">
        <v>192</v>
      </c>
      <c r="B20" s="85"/>
      <c r="C20" s="50">
        <f>SUM('Stavební rozpočet'!AH12:AH828)</f>
        <v>0</v>
      </c>
      <c r="D20" s="92" t="s">
        <v>55</v>
      </c>
      <c r="E20" s="93"/>
      <c r="F20" s="52" t="s">
        <v>55</v>
      </c>
      <c r="G20" s="92" t="s">
        <v>55</v>
      </c>
      <c r="H20" s="93"/>
      <c r="I20" s="52" t="s">
        <v>55</v>
      </c>
    </row>
    <row r="21" spans="1:9" ht="15.75" x14ac:dyDescent="0.25">
      <c r="A21" s="99" t="s">
        <v>1251</v>
      </c>
      <c r="B21" s="100"/>
      <c r="C21" s="53">
        <f>SUM('Stavební rozpočet'!Z12:Z828)</f>
        <v>0</v>
      </c>
      <c r="D21" s="94" t="s">
        <v>55</v>
      </c>
      <c r="E21" s="95"/>
      <c r="F21" s="54" t="s">
        <v>55</v>
      </c>
      <c r="G21" s="94" t="s">
        <v>55</v>
      </c>
      <c r="H21" s="95"/>
      <c r="I21" s="54" t="s">
        <v>55</v>
      </c>
    </row>
    <row r="22" spans="1:9" ht="16.5" customHeight="1" x14ac:dyDescent="0.25">
      <c r="A22" s="101" t="s">
        <v>1252</v>
      </c>
      <c r="B22" s="97"/>
      <c r="C22" s="55">
        <f>ROUND(SUM(C14:C21),2)</f>
        <v>0</v>
      </c>
      <c r="D22" s="96" t="s">
        <v>1253</v>
      </c>
      <c r="E22" s="97"/>
      <c r="F22" s="55">
        <f>SUM(F14:F21)</f>
        <v>0</v>
      </c>
      <c r="G22" s="96" t="s">
        <v>1254</v>
      </c>
      <c r="H22" s="97"/>
      <c r="I22" s="55">
        <f>SUM(I14:I21)</f>
        <v>0</v>
      </c>
    </row>
    <row r="23" spans="1:9" ht="15.75" x14ac:dyDescent="0.25">
      <c r="D23" s="84" t="s">
        <v>1255</v>
      </c>
      <c r="E23" s="85"/>
      <c r="F23" s="56">
        <v>0</v>
      </c>
      <c r="G23" s="98" t="s">
        <v>1256</v>
      </c>
      <c r="H23" s="85"/>
      <c r="I23" s="50">
        <v>0</v>
      </c>
    </row>
    <row r="24" spans="1:9" ht="15.75" x14ac:dyDescent="0.25">
      <c r="G24" s="84" t="s">
        <v>1257</v>
      </c>
      <c r="H24" s="85"/>
      <c r="I24" s="50">
        <f>vorn_sum</f>
        <v>0</v>
      </c>
    </row>
    <row r="25" spans="1:9" ht="15.75" x14ac:dyDescent="0.25">
      <c r="G25" s="84" t="s">
        <v>1258</v>
      </c>
      <c r="H25" s="85"/>
      <c r="I25" s="50">
        <v>0</v>
      </c>
    </row>
    <row r="27" spans="1:9" ht="15.75" x14ac:dyDescent="0.25">
      <c r="A27" s="86" t="s">
        <v>1259</v>
      </c>
      <c r="B27" s="87"/>
      <c r="C27" s="57">
        <f>ROUND(SUM('Stavební rozpočet'!AJ12:AJ828),2)</f>
        <v>0</v>
      </c>
    </row>
    <row r="28" spans="1:9" ht="15.75" x14ac:dyDescent="0.25">
      <c r="A28" s="88" t="s">
        <v>1260</v>
      </c>
      <c r="B28" s="89"/>
      <c r="C28" s="58">
        <f>ROUND(SUM('Stavební rozpočet'!AK12:AK828),2)</f>
        <v>0</v>
      </c>
      <c r="D28" s="90" t="s">
        <v>1261</v>
      </c>
      <c r="E28" s="87"/>
      <c r="F28" s="57">
        <f>ROUND(C28*(15/100),2)</f>
        <v>0</v>
      </c>
      <c r="G28" s="90" t="s">
        <v>1262</v>
      </c>
      <c r="H28" s="87"/>
      <c r="I28" s="57">
        <f>ROUND(SUM(C27:C29),2)</f>
        <v>0</v>
      </c>
    </row>
    <row r="29" spans="1:9" ht="15.75" x14ac:dyDescent="0.25">
      <c r="A29" s="88" t="s">
        <v>1263</v>
      </c>
      <c r="B29" s="89"/>
      <c r="C29" s="58">
        <f>ROUND(SUM('Stavební rozpočet'!AL12:AL828)+(F22+I22+F23+I23+I24+I25),2)</f>
        <v>0</v>
      </c>
      <c r="D29" s="91" t="s">
        <v>1264</v>
      </c>
      <c r="E29" s="89"/>
      <c r="F29" s="58">
        <f>ROUND(C29*(21/100),2)</f>
        <v>0</v>
      </c>
      <c r="G29" s="91" t="s">
        <v>1265</v>
      </c>
      <c r="H29" s="89"/>
      <c r="I29" s="58">
        <f>ROUND(SUM(F28:F29)+I28,2)</f>
        <v>0</v>
      </c>
    </row>
    <row r="31" spans="1:9" x14ac:dyDescent="0.25">
      <c r="A31" s="81" t="s">
        <v>1266</v>
      </c>
      <c r="B31" s="73"/>
      <c r="C31" s="74"/>
      <c r="D31" s="72" t="s">
        <v>1267</v>
      </c>
      <c r="E31" s="73"/>
      <c r="F31" s="74"/>
      <c r="G31" s="72" t="s">
        <v>1268</v>
      </c>
      <c r="H31" s="73"/>
      <c r="I31" s="74"/>
    </row>
    <row r="32" spans="1:9" x14ac:dyDescent="0.25">
      <c r="A32" s="82" t="s">
        <v>55</v>
      </c>
      <c r="B32" s="76"/>
      <c r="C32" s="77"/>
      <c r="D32" s="75" t="s">
        <v>55</v>
      </c>
      <c r="E32" s="76"/>
      <c r="F32" s="77"/>
      <c r="G32" s="75" t="s">
        <v>55</v>
      </c>
      <c r="H32" s="76"/>
      <c r="I32" s="77"/>
    </row>
    <row r="33" spans="1:9" x14ac:dyDescent="0.25">
      <c r="A33" s="82" t="s">
        <v>55</v>
      </c>
      <c r="B33" s="76"/>
      <c r="C33" s="77"/>
      <c r="D33" s="75" t="s">
        <v>55</v>
      </c>
      <c r="E33" s="76"/>
      <c r="F33" s="77"/>
      <c r="G33" s="75" t="s">
        <v>55</v>
      </c>
      <c r="H33" s="76"/>
      <c r="I33" s="77"/>
    </row>
    <row r="34" spans="1:9" x14ac:dyDescent="0.25">
      <c r="A34" s="82" t="s">
        <v>55</v>
      </c>
      <c r="B34" s="76"/>
      <c r="C34" s="77"/>
      <c r="D34" s="75" t="s">
        <v>55</v>
      </c>
      <c r="E34" s="76"/>
      <c r="F34" s="77"/>
      <c r="G34" s="75" t="s">
        <v>55</v>
      </c>
      <c r="H34" s="76"/>
      <c r="I34" s="77"/>
    </row>
    <row r="35" spans="1:9" x14ac:dyDescent="0.25">
      <c r="A35" s="83" t="s">
        <v>1269</v>
      </c>
      <c r="B35" s="79"/>
      <c r="C35" s="80"/>
      <c r="D35" s="78" t="s">
        <v>1269</v>
      </c>
      <c r="E35" s="79"/>
      <c r="F35" s="80"/>
      <c r="G35" s="78" t="s">
        <v>1269</v>
      </c>
      <c r="H35" s="79"/>
      <c r="I35" s="80"/>
    </row>
    <row r="36" spans="1:9" x14ac:dyDescent="0.25">
      <c r="A36" s="59" t="s">
        <v>1225</v>
      </c>
    </row>
    <row r="37" spans="1:9" ht="12.75" customHeight="1" x14ac:dyDescent="0.25">
      <c r="A37" s="70" t="s">
        <v>55</v>
      </c>
      <c r="B37" s="71"/>
      <c r="C37" s="71"/>
      <c r="D37" s="71"/>
      <c r="E37" s="71"/>
      <c r="F37" s="71"/>
      <c r="G37" s="71"/>
      <c r="H37" s="71"/>
      <c r="I37" s="71"/>
    </row>
  </sheetData>
  <sheetProtection algorithmName="SHA-512" hashValue="kCbcRV169tpiu4V4ca5kIVjHl0CHy5VXuyDUO1xC5zrJkKB4C0tW4+9WPO+e0aOGlcUJTba9MsXR4XWLGZPhGQ==" saltValue="Jf6tVhIhlo9NpXwboSrwoQ==" spinCount="100000" sheet="1" objects="1" scenarios="1"/>
  <mergeCells count="83">
    <mergeCell ref="A1:I1"/>
    <mergeCell ref="A2:B3"/>
    <mergeCell ref="A4:B5"/>
    <mergeCell ref="A6:B7"/>
    <mergeCell ref="A8:B9"/>
    <mergeCell ref="F2:G3"/>
    <mergeCell ref="F4:G5"/>
    <mergeCell ref="F6:G7"/>
    <mergeCell ref="F8:G9"/>
    <mergeCell ref="I2:I3"/>
    <mergeCell ref="I4:I5"/>
    <mergeCell ref="I6:I7"/>
    <mergeCell ref="I8:I9"/>
    <mergeCell ref="C2:D3"/>
    <mergeCell ref="C4:D5"/>
    <mergeCell ref="C6:D7"/>
    <mergeCell ref="C8:D9"/>
    <mergeCell ref="C10:D11"/>
    <mergeCell ref="E2:E3"/>
    <mergeCell ref="E4:E5"/>
    <mergeCell ref="E6:E7"/>
    <mergeCell ref="E8:E9"/>
    <mergeCell ref="E10:E11"/>
    <mergeCell ref="H2:H3"/>
    <mergeCell ref="H4:H5"/>
    <mergeCell ref="H6:H7"/>
    <mergeCell ref="H8:H9"/>
    <mergeCell ref="H10:H11"/>
    <mergeCell ref="I10:I11"/>
    <mergeCell ref="A12:I12"/>
    <mergeCell ref="B13:C13"/>
    <mergeCell ref="E13:F13"/>
    <mergeCell ref="H13:I13"/>
    <mergeCell ref="F10:G11"/>
    <mergeCell ref="A10:B11"/>
    <mergeCell ref="A20:B20"/>
    <mergeCell ref="A21:B21"/>
    <mergeCell ref="A22:B22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A27:B27"/>
    <mergeCell ref="A28:B28"/>
    <mergeCell ref="A29:B29"/>
    <mergeCell ref="D28:E28"/>
    <mergeCell ref="D29:E29"/>
    <mergeCell ref="G28:H28"/>
    <mergeCell ref="G29:H29"/>
    <mergeCell ref="A37:I37"/>
    <mergeCell ref="G31:I31"/>
    <mergeCell ref="G32:I32"/>
    <mergeCell ref="G33:I33"/>
    <mergeCell ref="G34:I34"/>
    <mergeCell ref="G35:I35"/>
    <mergeCell ref="D31:F31"/>
    <mergeCell ref="D32:F32"/>
    <mergeCell ref="D33:F33"/>
    <mergeCell ref="D34:F34"/>
    <mergeCell ref="D35:F35"/>
    <mergeCell ref="A31:C31"/>
    <mergeCell ref="A32:C32"/>
    <mergeCell ref="A33:C33"/>
    <mergeCell ref="A34:C34"/>
    <mergeCell ref="A35:C35"/>
  </mergeCells>
  <printOptions horizontalCentered="1"/>
  <pageMargins left="0.39370078740157483" right="0.39370078740157483" top="0.59055118110236227" bottom="0.59055118110236227" header="0" footer="0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417"/>
  <sheetViews>
    <sheetView tabSelected="1" workbookViewId="0">
      <pane ySplit="11" topLeftCell="A12" activePane="bottomLeft" state="frozen"/>
      <selection pane="bottomLeft" sqref="A1:P1"/>
    </sheetView>
  </sheetViews>
  <sheetFormatPr defaultColWidth="12.140625" defaultRowHeight="15" customHeight="1" x14ac:dyDescent="0.25"/>
  <cols>
    <col min="1" max="1" width="4" customWidth="1"/>
    <col min="2" max="2" width="7.5703125" customWidth="1"/>
    <col min="3" max="3" width="17.85546875" customWidth="1"/>
    <col min="4" max="4" width="42.85546875" customWidth="1"/>
    <col min="5" max="5" width="35.7109375" customWidth="1"/>
    <col min="6" max="6" width="8" customWidth="1"/>
    <col min="7" max="7" width="12.85546875" customWidth="1"/>
    <col min="8" max="8" width="12" customWidth="1"/>
    <col min="9" max="9" width="11.140625" customWidth="1"/>
    <col min="10" max="13" width="15.7109375" customWidth="1"/>
    <col min="14" max="15" width="11.7109375" customWidth="1"/>
    <col min="16" max="16" width="14.7109375" customWidth="1"/>
    <col min="25" max="75" width="12.140625" hidden="1"/>
    <col min="76" max="76" width="78.5703125" hidden="1" customWidth="1"/>
    <col min="77" max="78" width="12.140625" hidden="1"/>
  </cols>
  <sheetData>
    <row r="1" spans="1:76" ht="54.75" customHeight="1" x14ac:dyDescent="0.25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AS1" s="1">
        <f>SUM(AJ1:AJ2)</f>
        <v>0</v>
      </c>
      <c r="AT1" s="1">
        <f>SUM(AK1:AK2)</f>
        <v>0</v>
      </c>
      <c r="AU1" s="1">
        <f>SUM(AL1:AL2)</f>
        <v>0</v>
      </c>
    </row>
    <row r="2" spans="1:76" x14ac:dyDescent="0.25">
      <c r="A2" s="113" t="s">
        <v>1</v>
      </c>
      <c r="B2" s="114"/>
      <c r="C2" s="114"/>
      <c r="D2" s="123" t="s">
        <v>2</v>
      </c>
      <c r="E2" s="124"/>
      <c r="F2" s="114" t="s">
        <v>3</v>
      </c>
      <c r="G2" s="114"/>
      <c r="H2" s="114" t="s">
        <v>4</v>
      </c>
      <c r="I2" s="110" t="s">
        <v>5</v>
      </c>
      <c r="J2" s="114"/>
      <c r="K2" s="114" t="s">
        <v>6</v>
      </c>
      <c r="L2" s="114"/>
      <c r="M2" s="114"/>
      <c r="N2" s="114"/>
      <c r="O2" s="114"/>
      <c r="P2" s="118"/>
    </row>
    <row r="3" spans="1:76" x14ac:dyDescent="0.25">
      <c r="A3" s="115"/>
      <c r="B3" s="71"/>
      <c r="C3" s="71"/>
      <c r="D3" s="125"/>
      <c r="E3" s="125"/>
      <c r="F3" s="71"/>
      <c r="G3" s="71"/>
      <c r="H3" s="71"/>
      <c r="I3" s="71"/>
      <c r="J3" s="71"/>
      <c r="K3" s="71"/>
      <c r="L3" s="71"/>
      <c r="M3" s="71"/>
      <c r="N3" s="71"/>
      <c r="O3" s="71"/>
      <c r="P3" s="119"/>
    </row>
    <row r="4" spans="1:76" x14ac:dyDescent="0.25">
      <c r="A4" s="108" t="s">
        <v>7</v>
      </c>
      <c r="B4" s="71"/>
      <c r="C4" s="71"/>
      <c r="D4" s="70" t="s">
        <v>8</v>
      </c>
      <c r="E4" s="71"/>
      <c r="F4" s="71" t="s">
        <v>9</v>
      </c>
      <c r="G4" s="71"/>
      <c r="H4" s="71" t="s">
        <v>4</v>
      </c>
      <c r="I4" s="70" t="s">
        <v>10</v>
      </c>
      <c r="J4" s="71"/>
      <c r="K4" s="70" t="s">
        <v>11</v>
      </c>
      <c r="L4" s="71"/>
      <c r="M4" s="71"/>
      <c r="N4" s="71"/>
      <c r="O4" s="71"/>
      <c r="P4" s="119"/>
    </row>
    <row r="5" spans="1:76" x14ac:dyDescent="0.25">
      <c r="A5" s="11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119"/>
    </row>
    <row r="6" spans="1:76" x14ac:dyDescent="0.25">
      <c r="A6" s="108" t="s">
        <v>12</v>
      </c>
      <c r="B6" s="71"/>
      <c r="C6" s="71"/>
      <c r="D6" s="70" t="s">
        <v>13</v>
      </c>
      <c r="E6" s="71"/>
      <c r="F6" s="71" t="s">
        <v>14</v>
      </c>
      <c r="G6" s="71"/>
      <c r="H6" s="71" t="s">
        <v>4</v>
      </c>
      <c r="I6" s="70" t="s">
        <v>15</v>
      </c>
      <c r="J6" s="71"/>
      <c r="K6" s="117" t="s">
        <v>6</v>
      </c>
      <c r="L6" s="117"/>
      <c r="M6" s="117"/>
      <c r="N6" s="117"/>
      <c r="O6" s="117"/>
      <c r="P6" s="121"/>
    </row>
    <row r="7" spans="1:76" x14ac:dyDescent="0.25">
      <c r="A7" s="115"/>
      <c r="B7" s="71"/>
      <c r="C7" s="71"/>
      <c r="D7" s="71"/>
      <c r="E7" s="71"/>
      <c r="F7" s="71"/>
      <c r="G7" s="71"/>
      <c r="H7" s="71"/>
      <c r="I7" s="71"/>
      <c r="J7" s="71"/>
      <c r="K7" s="117"/>
      <c r="L7" s="117"/>
      <c r="M7" s="117"/>
      <c r="N7" s="117"/>
      <c r="O7" s="117"/>
      <c r="P7" s="121"/>
    </row>
    <row r="8" spans="1:76" x14ac:dyDescent="0.25">
      <c r="A8" s="108" t="s">
        <v>16</v>
      </c>
      <c r="B8" s="71"/>
      <c r="C8" s="71"/>
      <c r="D8" s="70" t="s">
        <v>4</v>
      </c>
      <c r="E8" s="71"/>
      <c r="F8" s="71" t="s">
        <v>17</v>
      </c>
      <c r="G8" s="71"/>
      <c r="H8" s="71" t="s">
        <v>18</v>
      </c>
      <c r="I8" s="70" t="s">
        <v>19</v>
      </c>
      <c r="J8" s="71"/>
      <c r="K8" s="70" t="s">
        <v>20</v>
      </c>
      <c r="L8" s="71"/>
      <c r="M8" s="71"/>
      <c r="N8" s="71"/>
      <c r="O8" s="71"/>
      <c r="P8" s="119"/>
    </row>
    <row r="9" spans="1:76" x14ac:dyDescent="0.25">
      <c r="A9" s="143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40"/>
    </row>
    <row r="10" spans="1:76" x14ac:dyDescent="0.25">
      <c r="A10" s="5" t="s">
        <v>21</v>
      </c>
      <c r="B10" s="6" t="s">
        <v>22</v>
      </c>
      <c r="C10" s="6" t="s">
        <v>23</v>
      </c>
      <c r="D10" s="141" t="s">
        <v>24</v>
      </c>
      <c r="E10" s="142"/>
      <c r="F10" s="6" t="s">
        <v>25</v>
      </c>
      <c r="G10" s="7" t="s">
        <v>26</v>
      </c>
      <c r="H10" s="8" t="s">
        <v>27</v>
      </c>
      <c r="I10" s="9" t="s">
        <v>28</v>
      </c>
      <c r="J10" s="132" t="s">
        <v>29</v>
      </c>
      <c r="K10" s="133"/>
      <c r="L10" s="134"/>
      <c r="M10" s="10" t="s">
        <v>29</v>
      </c>
      <c r="N10" s="135" t="s">
        <v>30</v>
      </c>
      <c r="O10" s="136"/>
      <c r="P10" s="11" t="s">
        <v>31</v>
      </c>
      <c r="BK10" s="12" t="s">
        <v>32</v>
      </c>
      <c r="BL10" s="13" t="s">
        <v>33</v>
      </c>
      <c r="BW10" s="13" t="s">
        <v>34</v>
      </c>
    </row>
    <row r="11" spans="1:76" x14ac:dyDescent="0.25">
      <c r="A11" s="14" t="s">
        <v>4</v>
      </c>
      <c r="B11" s="15" t="s">
        <v>4</v>
      </c>
      <c r="C11" s="15" t="s">
        <v>4</v>
      </c>
      <c r="D11" s="130" t="s">
        <v>35</v>
      </c>
      <c r="E11" s="131"/>
      <c r="F11" s="15" t="s">
        <v>4</v>
      </c>
      <c r="G11" s="15" t="s">
        <v>4</v>
      </c>
      <c r="H11" s="16" t="s">
        <v>36</v>
      </c>
      <c r="I11" s="17" t="s">
        <v>4</v>
      </c>
      <c r="J11" s="18" t="s">
        <v>37</v>
      </c>
      <c r="K11" s="19" t="s">
        <v>38</v>
      </c>
      <c r="L11" s="20" t="s">
        <v>39</v>
      </c>
      <c r="M11" s="21" t="s">
        <v>40</v>
      </c>
      <c r="N11" s="22" t="s">
        <v>41</v>
      </c>
      <c r="O11" s="23" t="s">
        <v>39</v>
      </c>
      <c r="P11" s="24" t="s">
        <v>42</v>
      </c>
      <c r="Z11" s="12" t="s">
        <v>43</v>
      </c>
      <c r="AA11" s="12" t="s">
        <v>44</v>
      </c>
      <c r="AB11" s="12" t="s">
        <v>45</v>
      </c>
      <c r="AC11" s="12" t="s">
        <v>46</v>
      </c>
      <c r="AD11" s="12" t="s">
        <v>47</v>
      </c>
      <c r="AE11" s="12" t="s">
        <v>48</v>
      </c>
      <c r="AF11" s="12" t="s">
        <v>49</v>
      </c>
      <c r="AG11" s="12" t="s">
        <v>50</v>
      </c>
      <c r="AH11" s="12" t="s">
        <v>51</v>
      </c>
      <c r="BH11" s="12" t="s">
        <v>52</v>
      </c>
      <c r="BI11" s="12" t="s">
        <v>53</v>
      </c>
      <c r="BJ11" s="12" t="s">
        <v>54</v>
      </c>
    </row>
    <row r="12" spans="1:76" x14ac:dyDescent="0.25">
      <c r="A12" s="25" t="s">
        <v>55</v>
      </c>
      <c r="B12" s="26" t="s">
        <v>56</v>
      </c>
      <c r="C12" s="26" t="s">
        <v>55</v>
      </c>
      <c r="D12" s="137" t="s">
        <v>57</v>
      </c>
      <c r="E12" s="138"/>
      <c r="F12" s="27" t="s">
        <v>4</v>
      </c>
      <c r="G12" s="27" t="s">
        <v>4</v>
      </c>
      <c r="H12" s="27" t="s">
        <v>4</v>
      </c>
      <c r="I12" s="27" t="s">
        <v>4</v>
      </c>
      <c r="J12" s="28">
        <f>J13+J43+J45+J48+J51+J53</f>
        <v>0</v>
      </c>
      <c r="K12" s="28">
        <f>K13+K43+K45+K48+K51+K53</f>
        <v>0</v>
      </c>
      <c r="L12" s="28">
        <f>L13+L43+L45+L48+L51+L53</f>
        <v>0</v>
      </c>
      <c r="M12" s="28">
        <f>M13+M43+M45+M48+M51+M53</f>
        <v>0</v>
      </c>
      <c r="N12" s="29" t="s">
        <v>55</v>
      </c>
      <c r="O12" s="28">
        <f>O13+O43+O45+O48+O51+O53</f>
        <v>0.51547999999999983</v>
      </c>
      <c r="P12" s="30" t="s">
        <v>55</v>
      </c>
    </row>
    <row r="13" spans="1:76" x14ac:dyDescent="0.25">
      <c r="A13" s="31" t="s">
        <v>55</v>
      </c>
      <c r="B13" s="32" t="s">
        <v>56</v>
      </c>
      <c r="C13" s="32" t="s">
        <v>58</v>
      </c>
      <c r="D13" s="128" t="s">
        <v>59</v>
      </c>
      <c r="E13" s="129"/>
      <c r="F13" s="33" t="s">
        <v>4</v>
      </c>
      <c r="G13" s="33" t="s">
        <v>4</v>
      </c>
      <c r="H13" s="33" t="s">
        <v>4</v>
      </c>
      <c r="I13" s="33" t="s">
        <v>4</v>
      </c>
      <c r="J13" s="1">
        <f>SUM(J14:J42)</f>
        <v>0</v>
      </c>
      <c r="K13" s="1">
        <f>SUM(K14:K42)</f>
        <v>0</v>
      </c>
      <c r="L13" s="1">
        <f>SUM(L14:L42)</f>
        <v>0</v>
      </c>
      <c r="M13" s="1">
        <f>SUM(M14:M42)</f>
        <v>0</v>
      </c>
      <c r="N13" s="12" t="s">
        <v>55</v>
      </c>
      <c r="O13" s="1">
        <f>SUM(O14:O42)</f>
        <v>0.48647999999999986</v>
      </c>
      <c r="P13" s="34" t="s">
        <v>55</v>
      </c>
      <c r="AI13" s="12" t="s">
        <v>56</v>
      </c>
      <c r="AS13" s="1">
        <f>SUM(AJ14:AJ42)</f>
        <v>0</v>
      </c>
      <c r="AT13" s="1">
        <f>SUM(AK14:AK42)</f>
        <v>0</v>
      </c>
      <c r="AU13" s="1">
        <f>SUM(AL14:AL42)</f>
        <v>0</v>
      </c>
    </row>
    <row r="14" spans="1:76" x14ac:dyDescent="0.25">
      <c r="A14" s="2" t="s">
        <v>60</v>
      </c>
      <c r="B14" s="3" t="s">
        <v>56</v>
      </c>
      <c r="C14" s="3" t="s">
        <v>61</v>
      </c>
      <c r="D14" s="70" t="s">
        <v>62</v>
      </c>
      <c r="E14" s="71"/>
      <c r="F14" s="3" t="s">
        <v>63</v>
      </c>
      <c r="G14" s="35">
        <v>16</v>
      </c>
      <c r="H14" s="68">
        <v>0</v>
      </c>
      <c r="I14" s="36">
        <v>21</v>
      </c>
      <c r="J14" s="35">
        <f t="shared" ref="J14:J42" si="0">ROUND(G14*AO14,2)</f>
        <v>0</v>
      </c>
      <c r="K14" s="35">
        <f t="shared" ref="K14:K42" si="1">ROUND(G14*AP14,2)</f>
        <v>0</v>
      </c>
      <c r="L14" s="35">
        <f t="shared" ref="L14:L42" si="2">ROUND(G14*H14,2)</f>
        <v>0</v>
      </c>
      <c r="M14" s="35">
        <f t="shared" ref="M14:M42" si="3">L14*(1+BW14/100)</f>
        <v>0</v>
      </c>
      <c r="N14" s="35">
        <v>5.0899999999999999E-3</v>
      </c>
      <c r="O14" s="35">
        <f t="shared" ref="O14:O42" si="4">G14*N14</f>
        <v>8.1439999999999999E-2</v>
      </c>
      <c r="P14" s="37" t="s">
        <v>64</v>
      </c>
      <c r="Z14" s="35">
        <f t="shared" ref="Z14:Z42" si="5">ROUND(IF(AQ14="5",BJ14,0),2)</f>
        <v>0</v>
      </c>
      <c r="AB14" s="35">
        <f t="shared" ref="AB14:AB42" si="6">ROUND(IF(AQ14="1",BH14,0),2)</f>
        <v>0</v>
      </c>
      <c r="AC14" s="35">
        <f t="shared" ref="AC14:AC42" si="7">ROUND(IF(AQ14="1",BI14,0),2)</f>
        <v>0</v>
      </c>
      <c r="AD14" s="35">
        <f t="shared" ref="AD14:AD42" si="8">ROUND(IF(AQ14="7",BH14,0),2)</f>
        <v>0</v>
      </c>
      <c r="AE14" s="35">
        <f t="shared" ref="AE14:AE42" si="9">ROUND(IF(AQ14="7",BI14,0),2)</f>
        <v>0</v>
      </c>
      <c r="AF14" s="35">
        <f t="shared" ref="AF14:AF42" si="10">ROUND(IF(AQ14="2",BH14,0),2)</f>
        <v>0</v>
      </c>
      <c r="AG14" s="35">
        <f t="shared" ref="AG14:AG42" si="11">ROUND(IF(AQ14="2",BI14,0),2)</f>
        <v>0</v>
      </c>
      <c r="AH14" s="35">
        <f t="shared" ref="AH14:AH42" si="12">ROUND(IF(AQ14="0",BJ14,0),2)</f>
        <v>0</v>
      </c>
      <c r="AI14" s="12" t="s">
        <v>56</v>
      </c>
      <c r="AJ14" s="35">
        <f t="shared" ref="AJ14:AJ42" si="13">IF(AN14=0,L14,0)</f>
        <v>0</v>
      </c>
      <c r="AK14" s="35">
        <f t="shared" ref="AK14:AK42" si="14">IF(AN14=15,L14,0)</f>
        <v>0</v>
      </c>
      <c r="AL14" s="35">
        <f t="shared" ref="AL14:AL42" si="15">IF(AN14=21,L14,0)</f>
        <v>0</v>
      </c>
      <c r="AN14" s="35">
        <v>21</v>
      </c>
      <c r="AO14" s="35">
        <f>H14*0.336382576</f>
        <v>0</v>
      </c>
      <c r="AP14" s="35">
        <f>H14*(1-0.336382576)</f>
        <v>0</v>
      </c>
      <c r="AQ14" s="38" t="s">
        <v>65</v>
      </c>
      <c r="AV14" s="35">
        <f t="shared" ref="AV14:AV42" si="16">ROUND(AW14+AX14,2)</f>
        <v>0</v>
      </c>
      <c r="AW14" s="35">
        <f t="shared" ref="AW14:AW42" si="17">ROUND(G14*AO14,2)</f>
        <v>0</v>
      </c>
      <c r="AX14" s="35">
        <f t="shared" ref="AX14:AX42" si="18">ROUND(G14*AP14,2)</f>
        <v>0</v>
      </c>
      <c r="AY14" s="38" t="s">
        <v>66</v>
      </c>
      <c r="AZ14" s="38" t="s">
        <v>67</v>
      </c>
      <c r="BA14" s="12" t="s">
        <v>68</v>
      </c>
      <c r="BC14" s="35">
        <f t="shared" ref="BC14:BC42" si="19">AW14+AX14</f>
        <v>0</v>
      </c>
      <c r="BD14" s="35">
        <f t="shared" ref="BD14:BD42" si="20">H14/(100-BE14)*100</f>
        <v>0</v>
      </c>
      <c r="BE14" s="35">
        <v>0</v>
      </c>
      <c r="BF14" s="35">
        <f t="shared" ref="BF14:BF42" si="21">O14</f>
        <v>8.1439999999999999E-2</v>
      </c>
      <c r="BH14" s="35">
        <f t="shared" ref="BH14:BH42" si="22">G14*AO14</f>
        <v>0</v>
      </c>
      <c r="BI14" s="35">
        <f t="shared" ref="BI14:BI42" si="23">G14*AP14</f>
        <v>0</v>
      </c>
      <c r="BJ14" s="35">
        <f t="shared" ref="BJ14:BJ42" si="24">G14*H14</f>
        <v>0</v>
      </c>
      <c r="BK14" s="38" t="s">
        <v>69</v>
      </c>
      <c r="BL14" s="35">
        <v>723</v>
      </c>
      <c r="BW14" s="35">
        <f t="shared" ref="BW14:BW42" si="25">I14</f>
        <v>21</v>
      </c>
      <c r="BX14" s="4" t="s">
        <v>62</v>
      </c>
    </row>
    <row r="15" spans="1:76" x14ac:dyDescent="0.25">
      <c r="A15" s="2" t="s">
        <v>70</v>
      </c>
      <c r="B15" s="3" t="s">
        <v>56</v>
      </c>
      <c r="C15" s="3" t="s">
        <v>71</v>
      </c>
      <c r="D15" s="70" t="s">
        <v>72</v>
      </c>
      <c r="E15" s="71"/>
      <c r="F15" s="3" t="s">
        <v>63</v>
      </c>
      <c r="G15" s="35">
        <v>8</v>
      </c>
      <c r="H15" s="68">
        <v>0</v>
      </c>
      <c r="I15" s="36">
        <v>21</v>
      </c>
      <c r="J15" s="35">
        <f t="shared" si="0"/>
        <v>0</v>
      </c>
      <c r="K15" s="35">
        <f t="shared" si="1"/>
        <v>0</v>
      </c>
      <c r="L15" s="35">
        <f t="shared" si="2"/>
        <v>0</v>
      </c>
      <c r="M15" s="35">
        <f t="shared" si="3"/>
        <v>0</v>
      </c>
      <c r="N15" s="35">
        <v>1.2489999999999999E-2</v>
      </c>
      <c r="O15" s="35">
        <f t="shared" si="4"/>
        <v>9.9919999999999995E-2</v>
      </c>
      <c r="P15" s="37" t="s">
        <v>64</v>
      </c>
      <c r="Z15" s="35">
        <f t="shared" si="5"/>
        <v>0</v>
      </c>
      <c r="AB15" s="35">
        <f t="shared" si="6"/>
        <v>0</v>
      </c>
      <c r="AC15" s="35">
        <f t="shared" si="7"/>
        <v>0</v>
      </c>
      <c r="AD15" s="35">
        <f t="shared" si="8"/>
        <v>0</v>
      </c>
      <c r="AE15" s="35">
        <f t="shared" si="9"/>
        <v>0</v>
      </c>
      <c r="AF15" s="35">
        <f t="shared" si="10"/>
        <v>0</v>
      </c>
      <c r="AG15" s="35">
        <f t="shared" si="11"/>
        <v>0</v>
      </c>
      <c r="AH15" s="35">
        <f t="shared" si="12"/>
        <v>0</v>
      </c>
      <c r="AI15" s="12" t="s">
        <v>56</v>
      </c>
      <c r="AJ15" s="35">
        <f t="shared" si="13"/>
        <v>0</v>
      </c>
      <c r="AK15" s="35">
        <f t="shared" si="14"/>
        <v>0</v>
      </c>
      <c r="AL15" s="35">
        <f t="shared" si="15"/>
        <v>0</v>
      </c>
      <c r="AN15" s="35">
        <v>21</v>
      </c>
      <c r="AO15" s="35">
        <f>H15*0.340727273</f>
        <v>0</v>
      </c>
      <c r="AP15" s="35">
        <f>H15*(1-0.340727273)</f>
        <v>0</v>
      </c>
      <c r="AQ15" s="38" t="s">
        <v>65</v>
      </c>
      <c r="AV15" s="35">
        <f t="shared" si="16"/>
        <v>0</v>
      </c>
      <c r="AW15" s="35">
        <f t="shared" si="17"/>
        <v>0</v>
      </c>
      <c r="AX15" s="35">
        <f t="shared" si="18"/>
        <v>0</v>
      </c>
      <c r="AY15" s="38" t="s">
        <v>66</v>
      </c>
      <c r="AZ15" s="38" t="s">
        <v>67</v>
      </c>
      <c r="BA15" s="12" t="s">
        <v>68</v>
      </c>
      <c r="BC15" s="35">
        <f t="shared" si="19"/>
        <v>0</v>
      </c>
      <c r="BD15" s="35">
        <f t="shared" si="20"/>
        <v>0</v>
      </c>
      <c r="BE15" s="35">
        <v>0</v>
      </c>
      <c r="BF15" s="35">
        <f t="shared" si="21"/>
        <v>9.9919999999999995E-2</v>
      </c>
      <c r="BH15" s="35">
        <f t="shared" si="22"/>
        <v>0</v>
      </c>
      <c r="BI15" s="35">
        <f t="shared" si="23"/>
        <v>0</v>
      </c>
      <c r="BJ15" s="35">
        <f t="shared" si="24"/>
        <v>0</v>
      </c>
      <c r="BK15" s="38" t="s">
        <v>69</v>
      </c>
      <c r="BL15" s="35">
        <v>723</v>
      </c>
      <c r="BW15" s="35">
        <f t="shared" si="25"/>
        <v>21</v>
      </c>
      <c r="BX15" s="4" t="s">
        <v>72</v>
      </c>
    </row>
    <row r="16" spans="1:76" x14ac:dyDescent="0.25">
      <c r="A16" s="2" t="s">
        <v>73</v>
      </c>
      <c r="B16" s="3" t="s">
        <v>56</v>
      </c>
      <c r="C16" s="3" t="s">
        <v>74</v>
      </c>
      <c r="D16" s="70" t="s">
        <v>75</v>
      </c>
      <c r="E16" s="71"/>
      <c r="F16" s="3" t="s">
        <v>63</v>
      </c>
      <c r="G16" s="35">
        <v>5</v>
      </c>
      <c r="H16" s="68">
        <v>0</v>
      </c>
      <c r="I16" s="36">
        <v>21</v>
      </c>
      <c r="J16" s="35">
        <f t="shared" si="0"/>
        <v>0</v>
      </c>
      <c r="K16" s="35">
        <f t="shared" si="1"/>
        <v>0</v>
      </c>
      <c r="L16" s="35">
        <f t="shared" si="2"/>
        <v>0</v>
      </c>
      <c r="M16" s="35">
        <f t="shared" si="3"/>
        <v>0</v>
      </c>
      <c r="N16" s="35">
        <v>1.4749999999999999E-2</v>
      </c>
      <c r="O16" s="35">
        <f t="shared" si="4"/>
        <v>7.3749999999999996E-2</v>
      </c>
      <c r="P16" s="37" t="s">
        <v>64</v>
      </c>
      <c r="Z16" s="35">
        <f t="shared" si="5"/>
        <v>0</v>
      </c>
      <c r="AB16" s="35">
        <f t="shared" si="6"/>
        <v>0</v>
      </c>
      <c r="AC16" s="35">
        <f t="shared" si="7"/>
        <v>0</v>
      </c>
      <c r="AD16" s="35">
        <f t="shared" si="8"/>
        <v>0</v>
      </c>
      <c r="AE16" s="35">
        <f t="shared" si="9"/>
        <v>0</v>
      </c>
      <c r="AF16" s="35">
        <f t="shared" si="10"/>
        <v>0</v>
      </c>
      <c r="AG16" s="35">
        <f t="shared" si="11"/>
        <v>0</v>
      </c>
      <c r="AH16" s="35">
        <f t="shared" si="12"/>
        <v>0</v>
      </c>
      <c r="AI16" s="12" t="s">
        <v>56</v>
      </c>
      <c r="AJ16" s="35">
        <f t="shared" si="13"/>
        <v>0</v>
      </c>
      <c r="AK16" s="35">
        <f t="shared" si="14"/>
        <v>0</v>
      </c>
      <c r="AL16" s="35">
        <f t="shared" si="15"/>
        <v>0</v>
      </c>
      <c r="AN16" s="35">
        <v>21</v>
      </c>
      <c r="AO16" s="35">
        <f>H16*0.384926829</f>
        <v>0</v>
      </c>
      <c r="AP16" s="35">
        <f>H16*(1-0.384926829)</f>
        <v>0</v>
      </c>
      <c r="AQ16" s="38" t="s">
        <v>65</v>
      </c>
      <c r="AV16" s="35">
        <f t="shared" si="16"/>
        <v>0</v>
      </c>
      <c r="AW16" s="35">
        <f t="shared" si="17"/>
        <v>0</v>
      </c>
      <c r="AX16" s="35">
        <f t="shared" si="18"/>
        <v>0</v>
      </c>
      <c r="AY16" s="38" t="s">
        <v>66</v>
      </c>
      <c r="AZ16" s="38" t="s">
        <v>67</v>
      </c>
      <c r="BA16" s="12" t="s">
        <v>68</v>
      </c>
      <c r="BC16" s="35">
        <f t="shared" si="19"/>
        <v>0</v>
      </c>
      <c r="BD16" s="35">
        <f t="shared" si="20"/>
        <v>0</v>
      </c>
      <c r="BE16" s="35">
        <v>0</v>
      </c>
      <c r="BF16" s="35">
        <f t="shared" si="21"/>
        <v>7.3749999999999996E-2</v>
      </c>
      <c r="BH16" s="35">
        <f t="shared" si="22"/>
        <v>0</v>
      </c>
      <c r="BI16" s="35">
        <f t="shared" si="23"/>
        <v>0</v>
      </c>
      <c r="BJ16" s="35">
        <f t="shared" si="24"/>
        <v>0</v>
      </c>
      <c r="BK16" s="38" t="s">
        <v>69</v>
      </c>
      <c r="BL16" s="35">
        <v>723</v>
      </c>
      <c r="BW16" s="35">
        <f t="shared" si="25"/>
        <v>21</v>
      </c>
      <c r="BX16" s="4" t="s">
        <v>75</v>
      </c>
    </row>
    <row r="17" spans="1:76" x14ac:dyDescent="0.25">
      <c r="A17" s="2" t="s">
        <v>76</v>
      </c>
      <c r="B17" s="3" t="s">
        <v>56</v>
      </c>
      <c r="C17" s="3" t="s">
        <v>77</v>
      </c>
      <c r="D17" s="70" t="s">
        <v>78</v>
      </c>
      <c r="E17" s="71"/>
      <c r="F17" s="3" t="s">
        <v>63</v>
      </c>
      <c r="G17" s="35">
        <v>10</v>
      </c>
      <c r="H17" s="68">
        <v>0</v>
      </c>
      <c r="I17" s="36">
        <v>21</v>
      </c>
      <c r="J17" s="35">
        <f t="shared" si="0"/>
        <v>0</v>
      </c>
      <c r="K17" s="35">
        <f t="shared" si="1"/>
        <v>0</v>
      </c>
      <c r="L17" s="35">
        <f t="shared" si="2"/>
        <v>0</v>
      </c>
      <c r="M17" s="35">
        <f t="shared" si="3"/>
        <v>0</v>
      </c>
      <c r="N17" s="35">
        <v>1.2070000000000001E-2</v>
      </c>
      <c r="O17" s="35">
        <f t="shared" si="4"/>
        <v>0.1207</v>
      </c>
      <c r="P17" s="37" t="s">
        <v>64</v>
      </c>
      <c r="Z17" s="35">
        <f t="shared" si="5"/>
        <v>0</v>
      </c>
      <c r="AB17" s="35">
        <f t="shared" si="6"/>
        <v>0</v>
      </c>
      <c r="AC17" s="35">
        <f t="shared" si="7"/>
        <v>0</v>
      </c>
      <c r="AD17" s="35">
        <f t="shared" si="8"/>
        <v>0</v>
      </c>
      <c r="AE17" s="35">
        <f t="shared" si="9"/>
        <v>0</v>
      </c>
      <c r="AF17" s="35">
        <f t="shared" si="10"/>
        <v>0</v>
      </c>
      <c r="AG17" s="35">
        <f t="shared" si="11"/>
        <v>0</v>
      </c>
      <c r="AH17" s="35">
        <f t="shared" si="12"/>
        <v>0</v>
      </c>
      <c r="AI17" s="12" t="s">
        <v>56</v>
      </c>
      <c r="AJ17" s="35">
        <f t="shared" si="13"/>
        <v>0</v>
      </c>
      <c r="AK17" s="35">
        <f t="shared" si="14"/>
        <v>0</v>
      </c>
      <c r="AL17" s="35">
        <f t="shared" si="15"/>
        <v>0</v>
      </c>
      <c r="AN17" s="35">
        <v>21</v>
      </c>
      <c r="AO17" s="35">
        <f>H17*0.606588461</f>
        <v>0</v>
      </c>
      <c r="AP17" s="35">
        <f>H17*(1-0.606588461)</f>
        <v>0</v>
      </c>
      <c r="AQ17" s="38" t="s">
        <v>65</v>
      </c>
      <c r="AV17" s="35">
        <f t="shared" si="16"/>
        <v>0</v>
      </c>
      <c r="AW17" s="35">
        <f t="shared" si="17"/>
        <v>0</v>
      </c>
      <c r="AX17" s="35">
        <f t="shared" si="18"/>
        <v>0</v>
      </c>
      <c r="AY17" s="38" t="s">
        <v>66</v>
      </c>
      <c r="AZ17" s="38" t="s">
        <v>67</v>
      </c>
      <c r="BA17" s="12" t="s">
        <v>68</v>
      </c>
      <c r="BC17" s="35">
        <f t="shared" si="19"/>
        <v>0</v>
      </c>
      <c r="BD17" s="35">
        <f t="shared" si="20"/>
        <v>0</v>
      </c>
      <c r="BE17" s="35">
        <v>0</v>
      </c>
      <c r="BF17" s="35">
        <f t="shared" si="21"/>
        <v>0.1207</v>
      </c>
      <c r="BH17" s="35">
        <f t="shared" si="22"/>
        <v>0</v>
      </c>
      <c r="BI17" s="35">
        <f t="shared" si="23"/>
        <v>0</v>
      </c>
      <c r="BJ17" s="35">
        <f t="shared" si="24"/>
        <v>0</v>
      </c>
      <c r="BK17" s="38" t="s">
        <v>69</v>
      </c>
      <c r="BL17" s="35">
        <v>723</v>
      </c>
      <c r="BW17" s="35">
        <f t="shared" si="25"/>
        <v>21</v>
      </c>
      <c r="BX17" s="4" t="s">
        <v>78</v>
      </c>
    </row>
    <row r="18" spans="1:76" x14ac:dyDescent="0.25">
      <c r="A18" s="2" t="s">
        <v>79</v>
      </c>
      <c r="B18" s="3" t="s">
        <v>56</v>
      </c>
      <c r="C18" s="3" t="s">
        <v>80</v>
      </c>
      <c r="D18" s="70" t="s">
        <v>81</v>
      </c>
      <c r="E18" s="71"/>
      <c r="F18" s="3" t="s">
        <v>63</v>
      </c>
      <c r="G18" s="35">
        <v>1</v>
      </c>
      <c r="H18" s="68">
        <v>0</v>
      </c>
      <c r="I18" s="36">
        <v>21</v>
      </c>
      <c r="J18" s="35">
        <f t="shared" si="0"/>
        <v>0</v>
      </c>
      <c r="K18" s="35">
        <f t="shared" si="1"/>
        <v>0</v>
      </c>
      <c r="L18" s="35">
        <f t="shared" si="2"/>
        <v>0</v>
      </c>
      <c r="M18" s="35">
        <f t="shared" si="3"/>
        <v>0</v>
      </c>
      <c r="N18" s="35">
        <v>2.4920000000000001E-2</v>
      </c>
      <c r="O18" s="35">
        <f t="shared" si="4"/>
        <v>2.4920000000000001E-2</v>
      </c>
      <c r="P18" s="37" t="s">
        <v>64</v>
      </c>
      <c r="Z18" s="35">
        <f t="shared" si="5"/>
        <v>0</v>
      </c>
      <c r="AB18" s="35">
        <f t="shared" si="6"/>
        <v>0</v>
      </c>
      <c r="AC18" s="35">
        <f t="shared" si="7"/>
        <v>0</v>
      </c>
      <c r="AD18" s="35">
        <f t="shared" si="8"/>
        <v>0</v>
      </c>
      <c r="AE18" s="35">
        <f t="shared" si="9"/>
        <v>0</v>
      </c>
      <c r="AF18" s="35">
        <f t="shared" si="10"/>
        <v>0</v>
      </c>
      <c r="AG18" s="35">
        <f t="shared" si="11"/>
        <v>0</v>
      </c>
      <c r="AH18" s="35">
        <f t="shared" si="12"/>
        <v>0</v>
      </c>
      <c r="AI18" s="12" t="s">
        <v>56</v>
      </c>
      <c r="AJ18" s="35">
        <f t="shared" si="13"/>
        <v>0</v>
      </c>
      <c r="AK18" s="35">
        <f t="shared" si="14"/>
        <v>0</v>
      </c>
      <c r="AL18" s="35">
        <f t="shared" si="15"/>
        <v>0</v>
      </c>
      <c r="AN18" s="35">
        <v>21</v>
      </c>
      <c r="AO18" s="35">
        <f>H18*0.650774775</f>
        <v>0</v>
      </c>
      <c r="AP18" s="35">
        <f>H18*(1-0.650774775)</f>
        <v>0</v>
      </c>
      <c r="AQ18" s="38" t="s">
        <v>65</v>
      </c>
      <c r="AV18" s="35">
        <f t="shared" si="16"/>
        <v>0</v>
      </c>
      <c r="AW18" s="35">
        <f t="shared" si="17"/>
        <v>0</v>
      </c>
      <c r="AX18" s="35">
        <f t="shared" si="18"/>
        <v>0</v>
      </c>
      <c r="AY18" s="38" t="s">
        <v>66</v>
      </c>
      <c r="AZ18" s="38" t="s">
        <v>67</v>
      </c>
      <c r="BA18" s="12" t="s">
        <v>68</v>
      </c>
      <c r="BC18" s="35">
        <f t="shared" si="19"/>
        <v>0</v>
      </c>
      <c r="BD18" s="35">
        <f t="shared" si="20"/>
        <v>0</v>
      </c>
      <c r="BE18" s="35">
        <v>0</v>
      </c>
      <c r="BF18" s="35">
        <f t="shared" si="21"/>
        <v>2.4920000000000001E-2</v>
      </c>
      <c r="BH18" s="35">
        <f t="shared" si="22"/>
        <v>0</v>
      </c>
      <c r="BI18" s="35">
        <f t="shared" si="23"/>
        <v>0</v>
      </c>
      <c r="BJ18" s="35">
        <f t="shared" si="24"/>
        <v>0</v>
      </c>
      <c r="BK18" s="38" t="s">
        <v>69</v>
      </c>
      <c r="BL18" s="35">
        <v>723</v>
      </c>
      <c r="BW18" s="35">
        <f t="shared" si="25"/>
        <v>21</v>
      </c>
      <c r="BX18" s="4" t="s">
        <v>81</v>
      </c>
    </row>
    <row r="19" spans="1:76" x14ac:dyDescent="0.25">
      <c r="A19" s="2" t="s">
        <v>82</v>
      </c>
      <c r="B19" s="3" t="s">
        <v>56</v>
      </c>
      <c r="C19" s="3" t="s">
        <v>83</v>
      </c>
      <c r="D19" s="70" t="s">
        <v>84</v>
      </c>
      <c r="E19" s="71"/>
      <c r="F19" s="3" t="s">
        <v>85</v>
      </c>
      <c r="G19" s="35">
        <v>3</v>
      </c>
      <c r="H19" s="68">
        <v>0</v>
      </c>
      <c r="I19" s="36">
        <v>21</v>
      </c>
      <c r="J19" s="35">
        <f t="shared" si="0"/>
        <v>0</v>
      </c>
      <c r="K19" s="35">
        <f t="shared" si="1"/>
        <v>0</v>
      </c>
      <c r="L19" s="35">
        <f t="shared" si="2"/>
        <v>0</v>
      </c>
      <c r="M19" s="35">
        <f t="shared" si="3"/>
        <v>0</v>
      </c>
      <c r="N19" s="35">
        <v>1.8000000000000001E-4</v>
      </c>
      <c r="O19" s="35">
        <f t="shared" si="4"/>
        <v>5.4000000000000001E-4</v>
      </c>
      <c r="P19" s="37" t="s">
        <v>64</v>
      </c>
      <c r="Z19" s="35">
        <f t="shared" si="5"/>
        <v>0</v>
      </c>
      <c r="AB19" s="35">
        <f t="shared" si="6"/>
        <v>0</v>
      </c>
      <c r="AC19" s="35">
        <f t="shared" si="7"/>
        <v>0</v>
      </c>
      <c r="AD19" s="35">
        <f t="shared" si="8"/>
        <v>0</v>
      </c>
      <c r="AE19" s="35">
        <f t="shared" si="9"/>
        <v>0</v>
      </c>
      <c r="AF19" s="35">
        <f t="shared" si="10"/>
        <v>0</v>
      </c>
      <c r="AG19" s="35">
        <f t="shared" si="11"/>
        <v>0</v>
      </c>
      <c r="AH19" s="35">
        <f t="shared" si="12"/>
        <v>0</v>
      </c>
      <c r="AI19" s="12" t="s">
        <v>56</v>
      </c>
      <c r="AJ19" s="35">
        <f t="shared" si="13"/>
        <v>0</v>
      </c>
      <c r="AK19" s="35">
        <f t="shared" si="14"/>
        <v>0</v>
      </c>
      <c r="AL19" s="35">
        <f t="shared" si="15"/>
        <v>0</v>
      </c>
      <c r="AN19" s="35">
        <v>21</v>
      </c>
      <c r="AO19" s="35">
        <f>H19*0.239972661</f>
        <v>0</v>
      </c>
      <c r="AP19" s="35">
        <f>H19*(1-0.239972661)</f>
        <v>0</v>
      </c>
      <c r="AQ19" s="38" t="s">
        <v>65</v>
      </c>
      <c r="AV19" s="35">
        <f t="shared" si="16"/>
        <v>0</v>
      </c>
      <c r="AW19" s="35">
        <f t="shared" si="17"/>
        <v>0</v>
      </c>
      <c r="AX19" s="35">
        <f t="shared" si="18"/>
        <v>0</v>
      </c>
      <c r="AY19" s="38" t="s">
        <v>66</v>
      </c>
      <c r="AZ19" s="38" t="s">
        <v>67</v>
      </c>
      <c r="BA19" s="12" t="s">
        <v>68</v>
      </c>
      <c r="BC19" s="35">
        <f t="shared" si="19"/>
        <v>0</v>
      </c>
      <c r="BD19" s="35">
        <f t="shared" si="20"/>
        <v>0</v>
      </c>
      <c r="BE19" s="35">
        <v>0</v>
      </c>
      <c r="BF19" s="35">
        <f t="shared" si="21"/>
        <v>5.4000000000000001E-4</v>
      </c>
      <c r="BH19" s="35">
        <f t="shared" si="22"/>
        <v>0</v>
      </c>
      <c r="BI19" s="35">
        <f t="shared" si="23"/>
        <v>0</v>
      </c>
      <c r="BJ19" s="35">
        <f t="shared" si="24"/>
        <v>0</v>
      </c>
      <c r="BK19" s="38" t="s">
        <v>69</v>
      </c>
      <c r="BL19" s="35">
        <v>723</v>
      </c>
      <c r="BW19" s="35">
        <f t="shared" si="25"/>
        <v>21</v>
      </c>
      <c r="BX19" s="4" t="s">
        <v>84</v>
      </c>
    </row>
    <row r="20" spans="1:76" x14ac:dyDescent="0.25">
      <c r="A20" s="2" t="s">
        <v>65</v>
      </c>
      <c r="B20" s="3" t="s">
        <v>56</v>
      </c>
      <c r="C20" s="3" t="s">
        <v>86</v>
      </c>
      <c r="D20" s="70" t="s">
        <v>87</v>
      </c>
      <c r="E20" s="71"/>
      <c r="F20" s="3" t="s">
        <v>85</v>
      </c>
      <c r="G20" s="35">
        <v>1</v>
      </c>
      <c r="H20" s="68">
        <v>0</v>
      </c>
      <c r="I20" s="36">
        <v>21</v>
      </c>
      <c r="J20" s="35">
        <f t="shared" si="0"/>
        <v>0</v>
      </c>
      <c r="K20" s="35">
        <f t="shared" si="1"/>
        <v>0</v>
      </c>
      <c r="L20" s="35">
        <f t="shared" si="2"/>
        <v>0</v>
      </c>
      <c r="M20" s="35">
        <f t="shared" si="3"/>
        <v>0</v>
      </c>
      <c r="N20" s="35">
        <v>2.5000000000000001E-4</v>
      </c>
      <c r="O20" s="35">
        <f t="shared" si="4"/>
        <v>2.5000000000000001E-4</v>
      </c>
      <c r="P20" s="37" t="s">
        <v>64</v>
      </c>
      <c r="Z20" s="35">
        <f t="shared" si="5"/>
        <v>0</v>
      </c>
      <c r="AB20" s="35">
        <f t="shared" si="6"/>
        <v>0</v>
      </c>
      <c r="AC20" s="35">
        <f t="shared" si="7"/>
        <v>0</v>
      </c>
      <c r="AD20" s="35">
        <f t="shared" si="8"/>
        <v>0</v>
      </c>
      <c r="AE20" s="35">
        <f t="shared" si="9"/>
        <v>0</v>
      </c>
      <c r="AF20" s="35">
        <f t="shared" si="10"/>
        <v>0</v>
      </c>
      <c r="AG20" s="35">
        <f t="shared" si="11"/>
        <v>0</v>
      </c>
      <c r="AH20" s="35">
        <f t="shared" si="12"/>
        <v>0</v>
      </c>
      <c r="AI20" s="12" t="s">
        <v>56</v>
      </c>
      <c r="AJ20" s="35">
        <f t="shared" si="13"/>
        <v>0</v>
      </c>
      <c r="AK20" s="35">
        <f t="shared" si="14"/>
        <v>0</v>
      </c>
      <c r="AL20" s="35">
        <f t="shared" si="15"/>
        <v>0</v>
      </c>
      <c r="AN20" s="35">
        <v>21</v>
      </c>
      <c r="AO20" s="35">
        <f>H20*0.253258896</f>
        <v>0</v>
      </c>
      <c r="AP20" s="35">
        <f>H20*(1-0.253258896)</f>
        <v>0</v>
      </c>
      <c r="AQ20" s="38" t="s">
        <v>65</v>
      </c>
      <c r="AV20" s="35">
        <f t="shared" si="16"/>
        <v>0</v>
      </c>
      <c r="AW20" s="35">
        <f t="shared" si="17"/>
        <v>0</v>
      </c>
      <c r="AX20" s="35">
        <f t="shared" si="18"/>
        <v>0</v>
      </c>
      <c r="AY20" s="38" t="s">
        <v>66</v>
      </c>
      <c r="AZ20" s="38" t="s">
        <v>67</v>
      </c>
      <c r="BA20" s="12" t="s">
        <v>68</v>
      </c>
      <c r="BC20" s="35">
        <f t="shared" si="19"/>
        <v>0</v>
      </c>
      <c r="BD20" s="35">
        <f t="shared" si="20"/>
        <v>0</v>
      </c>
      <c r="BE20" s="35">
        <v>0</v>
      </c>
      <c r="BF20" s="35">
        <f t="shared" si="21"/>
        <v>2.5000000000000001E-4</v>
      </c>
      <c r="BH20" s="35">
        <f t="shared" si="22"/>
        <v>0</v>
      </c>
      <c r="BI20" s="35">
        <f t="shared" si="23"/>
        <v>0</v>
      </c>
      <c r="BJ20" s="35">
        <f t="shared" si="24"/>
        <v>0</v>
      </c>
      <c r="BK20" s="38" t="s">
        <v>69</v>
      </c>
      <c r="BL20" s="35">
        <v>723</v>
      </c>
      <c r="BW20" s="35">
        <f t="shared" si="25"/>
        <v>21</v>
      </c>
      <c r="BX20" s="4" t="s">
        <v>87</v>
      </c>
    </row>
    <row r="21" spans="1:76" x14ac:dyDescent="0.25">
      <c r="A21" s="2" t="s">
        <v>88</v>
      </c>
      <c r="B21" s="3" t="s">
        <v>56</v>
      </c>
      <c r="C21" s="3" t="s">
        <v>89</v>
      </c>
      <c r="D21" s="70" t="s">
        <v>90</v>
      </c>
      <c r="E21" s="71"/>
      <c r="F21" s="3" t="s">
        <v>85</v>
      </c>
      <c r="G21" s="35">
        <v>5</v>
      </c>
      <c r="H21" s="68">
        <v>0</v>
      </c>
      <c r="I21" s="36">
        <v>21</v>
      </c>
      <c r="J21" s="35">
        <f t="shared" si="0"/>
        <v>0</v>
      </c>
      <c r="K21" s="35">
        <f t="shared" si="1"/>
        <v>0</v>
      </c>
      <c r="L21" s="35">
        <f t="shared" si="2"/>
        <v>0</v>
      </c>
      <c r="M21" s="35">
        <f t="shared" si="3"/>
        <v>0</v>
      </c>
      <c r="N21" s="35">
        <v>2.5000000000000001E-4</v>
      </c>
      <c r="O21" s="35">
        <f t="shared" si="4"/>
        <v>1.25E-3</v>
      </c>
      <c r="P21" s="37" t="s">
        <v>64</v>
      </c>
      <c r="Z21" s="35">
        <f t="shared" si="5"/>
        <v>0</v>
      </c>
      <c r="AB21" s="35">
        <f t="shared" si="6"/>
        <v>0</v>
      </c>
      <c r="AC21" s="35">
        <f t="shared" si="7"/>
        <v>0</v>
      </c>
      <c r="AD21" s="35">
        <f t="shared" si="8"/>
        <v>0</v>
      </c>
      <c r="AE21" s="35">
        <f t="shared" si="9"/>
        <v>0</v>
      </c>
      <c r="AF21" s="35">
        <f t="shared" si="10"/>
        <v>0</v>
      </c>
      <c r="AG21" s="35">
        <f t="shared" si="11"/>
        <v>0</v>
      </c>
      <c r="AH21" s="35">
        <f t="shared" si="12"/>
        <v>0</v>
      </c>
      <c r="AI21" s="12" t="s">
        <v>56</v>
      </c>
      <c r="AJ21" s="35">
        <f t="shared" si="13"/>
        <v>0</v>
      </c>
      <c r="AK21" s="35">
        <f t="shared" si="14"/>
        <v>0</v>
      </c>
      <c r="AL21" s="35">
        <f t="shared" si="15"/>
        <v>0</v>
      </c>
      <c r="AN21" s="35">
        <v>21</v>
      </c>
      <c r="AO21" s="35">
        <f>H21*0.229325153</f>
        <v>0</v>
      </c>
      <c r="AP21" s="35">
        <f>H21*(1-0.229325153)</f>
        <v>0</v>
      </c>
      <c r="AQ21" s="38" t="s">
        <v>65</v>
      </c>
      <c r="AV21" s="35">
        <f t="shared" si="16"/>
        <v>0</v>
      </c>
      <c r="AW21" s="35">
        <f t="shared" si="17"/>
        <v>0</v>
      </c>
      <c r="AX21" s="35">
        <f t="shared" si="18"/>
        <v>0</v>
      </c>
      <c r="AY21" s="38" t="s">
        <v>66</v>
      </c>
      <c r="AZ21" s="38" t="s">
        <v>67</v>
      </c>
      <c r="BA21" s="12" t="s">
        <v>68</v>
      </c>
      <c r="BC21" s="35">
        <f t="shared" si="19"/>
        <v>0</v>
      </c>
      <c r="BD21" s="35">
        <f t="shared" si="20"/>
        <v>0</v>
      </c>
      <c r="BE21" s="35">
        <v>0</v>
      </c>
      <c r="BF21" s="35">
        <f t="shared" si="21"/>
        <v>1.25E-3</v>
      </c>
      <c r="BH21" s="35">
        <f t="shared" si="22"/>
        <v>0</v>
      </c>
      <c r="BI21" s="35">
        <f t="shared" si="23"/>
        <v>0</v>
      </c>
      <c r="BJ21" s="35">
        <f t="shared" si="24"/>
        <v>0</v>
      </c>
      <c r="BK21" s="38" t="s">
        <v>69</v>
      </c>
      <c r="BL21" s="35">
        <v>723</v>
      </c>
      <c r="BW21" s="35">
        <f t="shared" si="25"/>
        <v>21</v>
      </c>
      <c r="BX21" s="4" t="s">
        <v>90</v>
      </c>
    </row>
    <row r="22" spans="1:76" x14ac:dyDescent="0.25">
      <c r="A22" s="2" t="s">
        <v>91</v>
      </c>
      <c r="B22" s="3" t="s">
        <v>56</v>
      </c>
      <c r="C22" s="3" t="s">
        <v>92</v>
      </c>
      <c r="D22" s="70" t="s">
        <v>93</v>
      </c>
      <c r="E22" s="71"/>
      <c r="F22" s="3" t="s">
        <v>85</v>
      </c>
      <c r="G22" s="35">
        <v>1</v>
      </c>
      <c r="H22" s="68">
        <v>0</v>
      </c>
      <c r="I22" s="36">
        <v>21</v>
      </c>
      <c r="J22" s="35">
        <f t="shared" si="0"/>
        <v>0</v>
      </c>
      <c r="K22" s="35">
        <f t="shared" si="1"/>
        <v>0</v>
      </c>
      <c r="L22" s="35">
        <f t="shared" si="2"/>
        <v>0</v>
      </c>
      <c r="M22" s="35">
        <f t="shared" si="3"/>
        <v>0</v>
      </c>
      <c r="N22" s="35">
        <v>4.4999999999999999E-4</v>
      </c>
      <c r="O22" s="35">
        <f t="shared" si="4"/>
        <v>4.4999999999999999E-4</v>
      </c>
      <c r="P22" s="37" t="s">
        <v>64</v>
      </c>
      <c r="Z22" s="35">
        <f t="shared" si="5"/>
        <v>0</v>
      </c>
      <c r="AB22" s="35">
        <f t="shared" si="6"/>
        <v>0</v>
      </c>
      <c r="AC22" s="35">
        <f t="shared" si="7"/>
        <v>0</v>
      </c>
      <c r="AD22" s="35">
        <f t="shared" si="8"/>
        <v>0</v>
      </c>
      <c r="AE22" s="35">
        <f t="shared" si="9"/>
        <v>0</v>
      </c>
      <c r="AF22" s="35">
        <f t="shared" si="10"/>
        <v>0</v>
      </c>
      <c r="AG22" s="35">
        <f t="shared" si="11"/>
        <v>0</v>
      </c>
      <c r="AH22" s="35">
        <f t="shared" si="12"/>
        <v>0</v>
      </c>
      <c r="AI22" s="12" t="s">
        <v>56</v>
      </c>
      <c r="AJ22" s="35">
        <f t="shared" si="13"/>
        <v>0</v>
      </c>
      <c r="AK22" s="35">
        <f t="shared" si="14"/>
        <v>0</v>
      </c>
      <c r="AL22" s="35">
        <f t="shared" si="15"/>
        <v>0</v>
      </c>
      <c r="AN22" s="35">
        <v>21</v>
      </c>
      <c r="AO22" s="35">
        <f>H22*0.257976821</f>
        <v>0</v>
      </c>
      <c r="AP22" s="35">
        <f>H22*(1-0.257976821)</f>
        <v>0</v>
      </c>
      <c r="AQ22" s="38" t="s">
        <v>65</v>
      </c>
      <c r="AV22" s="35">
        <f t="shared" si="16"/>
        <v>0</v>
      </c>
      <c r="AW22" s="35">
        <f t="shared" si="17"/>
        <v>0</v>
      </c>
      <c r="AX22" s="35">
        <f t="shared" si="18"/>
        <v>0</v>
      </c>
      <c r="AY22" s="38" t="s">
        <v>66</v>
      </c>
      <c r="AZ22" s="38" t="s">
        <v>67</v>
      </c>
      <c r="BA22" s="12" t="s">
        <v>68</v>
      </c>
      <c r="BC22" s="35">
        <f t="shared" si="19"/>
        <v>0</v>
      </c>
      <c r="BD22" s="35">
        <f t="shared" si="20"/>
        <v>0</v>
      </c>
      <c r="BE22" s="35">
        <v>0</v>
      </c>
      <c r="BF22" s="35">
        <f t="shared" si="21"/>
        <v>4.4999999999999999E-4</v>
      </c>
      <c r="BH22" s="35">
        <f t="shared" si="22"/>
        <v>0</v>
      </c>
      <c r="BI22" s="35">
        <f t="shared" si="23"/>
        <v>0</v>
      </c>
      <c r="BJ22" s="35">
        <f t="shared" si="24"/>
        <v>0</v>
      </c>
      <c r="BK22" s="38" t="s">
        <v>69</v>
      </c>
      <c r="BL22" s="35">
        <v>723</v>
      </c>
      <c r="BW22" s="35">
        <f t="shared" si="25"/>
        <v>21</v>
      </c>
      <c r="BX22" s="4" t="s">
        <v>93</v>
      </c>
    </row>
    <row r="23" spans="1:76" x14ac:dyDescent="0.25">
      <c r="A23" s="2" t="s">
        <v>94</v>
      </c>
      <c r="B23" s="3" t="s">
        <v>56</v>
      </c>
      <c r="C23" s="3" t="s">
        <v>95</v>
      </c>
      <c r="D23" s="70" t="s">
        <v>96</v>
      </c>
      <c r="E23" s="71"/>
      <c r="F23" s="3" t="s">
        <v>85</v>
      </c>
      <c r="G23" s="35">
        <v>2</v>
      </c>
      <c r="H23" s="68">
        <v>0</v>
      </c>
      <c r="I23" s="36">
        <v>21</v>
      </c>
      <c r="J23" s="35">
        <f t="shared" si="0"/>
        <v>0</v>
      </c>
      <c r="K23" s="35">
        <f t="shared" si="1"/>
        <v>0</v>
      </c>
      <c r="L23" s="35">
        <f t="shared" si="2"/>
        <v>0</v>
      </c>
      <c r="M23" s="35">
        <f t="shared" si="3"/>
        <v>0</v>
      </c>
      <c r="N23" s="35">
        <v>2.0000000000000001E-4</v>
      </c>
      <c r="O23" s="35">
        <f t="shared" si="4"/>
        <v>4.0000000000000002E-4</v>
      </c>
      <c r="P23" s="37" t="s">
        <v>64</v>
      </c>
      <c r="Z23" s="35">
        <f t="shared" si="5"/>
        <v>0</v>
      </c>
      <c r="AB23" s="35">
        <f t="shared" si="6"/>
        <v>0</v>
      </c>
      <c r="AC23" s="35">
        <f t="shared" si="7"/>
        <v>0</v>
      </c>
      <c r="AD23" s="35">
        <f t="shared" si="8"/>
        <v>0</v>
      </c>
      <c r="AE23" s="35">
        <f t="shared" si="9"/>
        <v>0</v>
      </c>
      <c r="AF23" s="35">
        <f t="shared" si="10"/>
        <v>0</v>
      </c>
      <c r="AG23" s="35">
        <f t="shared" si="11"/>
        <v>0</v>
      </c>
      <c r="AH23" s="35">
        <f t="shared" si="12"/>
        <v>0</v>
      </c>
      <c r="AI23" s="12" t="s">
        <v>56</v>
      </c>
      <c r="AJ23" s="35">
        <f t="shared" si="13"/>
        <v>0</v>
      </c>
      <c r="AK23" s="35">
        <f t="shared" si="14"/>
        <v>0</v>
      </c>
      <c r="AL23" s="35">
        <f t="shared" si="15"/>
        <v>0</v>
      </c>
      <c r="AN23" s="35">
        <v>21</v>
      </c>
      <c r="AO23" s="35">
        <f>H23*0.736420048</f>
        <v>0</v>
      </c>
      <c r="AP23" s="35">
        <f>H23*(1-0.736420048)</f>
        <v>0</v>
      </c>
      <c r="AQ23" s="38" t="s">
        <v>65</v>
      </c>
      <c r="AV23" s="35">
        <f t="shared" si="16"/>
        <v>0</v>
      </c>
      <c r="AW23" s="35">
        <f t="shared" si="17"/>
        <v>0</v>
      </c>
      <c r="AX23" s="35">
        <f t="shared" si="18"/>
        <v>0</v>
      </c>
      <c r="AY23" s="38" t="s">
        <v>66</v>
      </c>
      <c r="AZ23" s="38" t="s">
        <v>67</v>
      </c>
      <c r="BA23" s="12" t="s">
        <v>68</v>
      </c>
      <c r="BC23" s="35">
        <f t="shared" si="19"/>
        <v>0</v>
      </c>
      <c r="BD23" s="35">
        <f t="shared" si="20"/>
        <v>0</v>
      </c>
      <c r="BE23" s="35">
        <v>0</v>
      </c>
      <c r="BF23" s="35">
        <f t="shared" si="21"/>
        <v>4.0000000000000002E-4</v>
      </c>
      <c r="BH23" s="35">
        <f t="shared" si="22"/>
        <v>0</v>
      </c>
      <c r="BI23" s="35">
        <f t="shared" si="23"/>
        <v>0</v>
      </c>
      <c r="BJ23" s="35">
        <f t="shared" si="24"/>
        <v>0</v>
      </c>
      <c r="BK23" s="38" t="s">
        <v>69</v>
      </c>
      <c r="BL23" s="35">
        <v>723</v>
      </c>
      <c r="BW23" s="35">
        <f t="shared" si="25"/>
        <v>21</v>
      </c>
      <c r="BX23" s="4" t="s">
        <v>96</v>
      </c>
    </row>
    <row r="24" spans="1:76" x14ac:dyDescent="0.25">
      <c r="A24" s="2" t="s">
        <v>97</v>
      </c>
      <c r="B24" s="3" t="s">
        <v>56</v>
      </c>
      <c r="C24" s="3" t="s">
        <v>98</v>
      </c>
      <c r="D24" s="70" t="s">
        <v>99</v>
      </c>
      <c r="E24" s="71"/>
      <c r="F24" s="3" t="s">
        <v>85</v>
      </c>
      <c r="G24" s="35">
        <v>4</v>
      </c>
      <c r="H24" s="68">
        <v>0</v>
      </c>
      <c r="I24" s="36">
        <v>21</v>
      </c>
      <c r="J24" s="35">
        <f t="shared" si="0"/>
        <v>0</v>
      </c>
      <c r="K24" s="35">
        <f t="shared" si="1"/>
        <v>0</v>
      </c>
      <c r="L24" s="35">
        <f t="shared" si="2"/>
        <v>0</v>
      </c>
      <c r="M24" s="35">
        <f t="shared" si="3"/>
        <v>0</v>
      </c>
      <c r="N24" s="35">
        <v>2.3000000000000001E-4</v>
      </c>
      <c r="O24" s="35">
        <f t="shared" si="4"/>
        <v>9.2000000000000003E-4</v>
      </c>
      <c r="P24" s="37" t="s">
        <v>64</v>
      </c>
      <c r="Z24" s="35">
        <f t="shared" si="5"/>
        <v>0</v>
      </c>
      <c r="AB24" s="35">
        <f t="shared" si="6"/>
        <v>0</v>
      </c>
      <c r="AC24" s="35">
        <f t="shared" si="7"/>
        <v>0</v>
      </c>
      <c r="AD24" s="35">
        <f t="shared" si="8"/>
        <v>0</v>
      </c>
      <c r="AE24" s="35">
        <f t="shared" si="9"/>
        <v>0</v>
      </c>
      <c r="AF24" s="35">
        <f t="shared" si="10"/>
        <v>0</v>
      </c>
      <c r="AG24" s="35">
        <f t="shared" si="11"/>
        <v>0</v>
      </c>
      <c r="AH24" s="35">
        <f t="shared" si="12"/>
        <v>0</v>
      </c>
      <c r="AI24" s="12" t="s">
        <v>56</v>
      </c>
      <c r="AJ24" s="35">
        <f t="shared" si="13"/>
        <v>0</v>
      </c>
      <c r="AK24" s="35">
        <f t="shared" si="14"/>
        <v>0</v>
      </c>
      <c r="AL24" s="35">
        <f t="shared" si="15"/>
        <v>0</v>
      </c>
      <c r="AN24" s="35">
        <v>21</v>
      </c>
      <c r="AO24" s="35">
        <f>H24*0.741039755</f>
        <v>0</v>
      </c>
      <c r="AP24" s="35">
        <f>H24*(1-0.741039755)</f>
        <v>0</v>
      </c>
      <c r="AQ24" s="38" t="s">
        <v>65</v>
      </c>
      <c r="AV24" s="35">
        <f t="shared" si="16"/>
        <v>0</v>
      </c>
      <c r="AW24" s="35">
        <f t="shared" si="17"/>
        <v>0</v>
      </c>
      <c r="AX24" s="35">
        <f t="shared" si="18"/>
        <v>0</v>
      </c>
      <c r="AY24" s="38" t="s">
        <v>66</v>
      </c>
      <c r="AZ24" s="38" t="s">
        <v>67</v>
      </c>
      <c r="BA24" s="12" t="s">
        <v>68</v>
      </c>
      <c r="BC24" s="35">
        <f t="shared" si="19"/>
        <v>0</v>
      </c>
      <c r="BD24" s="35">
        <f t="shared" si="20"/>
        <v>0</v>
      </c>
      <c r="BE24" s="35">
        <v>0</v>
      </c>
      <c r="BF24" s="35">
        <f t="shared" si="21"/>
        <v>9.2000000000000003E-4</v>
      </c>
      <c r="BH24" s="35">
        <f t="shared" si="22"/>
        <v>0</v>
      </c>
      <c r="BI24" s="35">
        <f t="shared" si="23"/>
        <v>0</v>
      </c>
      <c r="BJ24" s="35">
        <f t="shared" si="24"/>
        <v>0</v>
      </c>
      <c r="BK24" s="38" t="s">
        <v>69</v>
      </c>
      <c r="BL24" s="35">
        <v>723</v>
      </c>
      <c r="BW24" s="35">
        <f t="shared" si="25"/>
        <v>21</v>
      </c>
      <c r="BX24" s="4" t="s">
        <v>99</v>
      </c>
    </row>
    <row r="25" spans="1:76" x14ac:dyDescent="0.25">
      <c r="A25" s="2" t="s">
        <v>100</v>
      </c>
      <c r="B25" s="3" t="s">
        <v>56</v>
      </c>
      <c r="C25" s="3" t="s">
        <v>101</v>
      </c>
      <c r="D25" s="70" t="s">
        <v>102</v>
      </c>
      <c r="E25" s="71"/>
      <c r="F25" s="3" t="s">
        <v>85</v>
      </c>
      <c r="G25" s="35">
        <v>3</v>
      </c>
      <c r="H25" s="68">
        <v>0</v>
      </c>
      <c r="I25" s="36">
        <v>21</v>
      </c>
      <c r="J25" s="35">
        <f t="shared" si="0"/>
        <v>0</v>
      </c>
      <c r="K25" s="35">
        <f t="shared" si="1"/>
        <v>0</v>
      </c>
      <c r="L25" s="35">
        <f t="shared" si="2"/>
        <v>0</v>
      </c>
      <c r="M25" s="35">
        <f t="shared" si="3"/>
        <v>0</v>
      </c>
      <c r="N25" s="35">
        <v>6.6E-4</v>
      </c>
      <c r="O25" s="35">
        <f t="shared" si="4"/>
        <v>1.98E-3</v>
      </c>
      <c r="P25" s="37" t="s">
        <v>64</v>
      </c>
      <c r="Z25" s="35">
        <f t="shared" si="5"/>
        <v>0</v>
      </c>
      <c r="AB25" s="35">
        <f t="shared" si="6"/>
        <v>0</v>
      </c>
      <c r="AC25" s="35">
        <f t="shared" si="7"/>
        <v>0</v>
      </c>
      <c r="AD25" s="35">
        <f t="shared" si="8"/>
        <v>0</v>
      </c>
      <c r="AE25" s="35">
        <f t="shared" si="9"/>
        <v>0</v>
      </c>
      <c r="AF25" s="35">
        <f t="shared" si="10"/>
        <v>0</v>
      </c>
      <c r="AG25" s="35">
        <f t="shared" si="11"/>
        <v>0</v>
      </c>
      <c r="AH25" s="35">
        <f t="shared" si="12"/>
        <v>0</v>
      </c>
      <c r="AI25" s="12" t="s">
        <v>56</v>
      </c>
      <c r="AJ25" s="35">
        <f t="shared" si="13"/>
        <v>0</v>
      </c>
      <c r="AK25" s="35">
        <f t="shared" si="14"/>
        <v>0</v>
      </c>
      <c r="AL25" s="35">
        <f t="shared" si="15"/>
        <v>0</v>
      </c>
      <c r="AN25" s="35">
        <v>21</v>
      </c>
      <c r="AO25" s="35">
        <f>H25*0.829723821</f>
        <v>0</v>
      </c>
      <c r="AP25" s="35">
        <f>H25*(1-0.829723821)</f>
        <v>0</v>
      </c>
      <c r="AQ25" s="38" t="s">
        <v>65</v>
      </c>
      <c r="AV25" s="35">
        <f t="shared" si="16"/>
        <v>0</v>
      </c>
      <c r="AW25" s="35">
        <f t="shared" si="17"/>
        <v>0</v>
      </c>
      <c r="AX25" s="35">
        <f t="shared" si="18"/>
        <v>0</v>
      </c>
      <c r="AY25" s="38" t="s">
        <v>66</v>
      </c>
      <c r="AZ25" s="38" t="s">
        <v>67</v>
      </c>
      <c r="BA25" s="12" t="s">
        <v>68</v>
      </c>
      <c r="BC25" s="35">
        <f t="shared" si="19"/>
        <v>0</v>
      </c>
      <c r="BD25" s="35">
        <f t="shared" si="20"/>
        <v>0</v>
      </c>
      <c r="BE25" s="35">
        <v>0</v>
      </c>
      <c r="BF25" s="35">
        <f t="shared" si="21"/>
        <v>1.98E-3</v>
      </c>
      <c r="BH25" s="35">
        <f t="shared" si="22"/>
        <v>0</v>
      </c>
      <c r="BI25" s="35">
        <f t="shared" si="23"/>
        <v>0</v>
      </c>
      <c r="BJ25" s="35">
        <f t="shared" si="24"/>
        <v>0</v>
      </c>
      <c r="BK25" s="38" t="s">
        <v>69</v>
      </c>
      <c r="BL25" s="35">
        <v>723</v>
      </c>
      <c r="BW25" s="35">
        <f t="shared" si="25"/>
        <v>21</v>
      </c>
      <c r="BX25" s="4" t="s">
        <v>102</v>
      </c>
    </row>
    <row r="26" spans="1:76" x14ac:dyDescent="0.25">
      <c r="A26" s="2" t="s">
        <v>103</v>
      </c>
      <c r="B26" s="3" t="s">
        <v>56</v>
      </c>
      <c r="C26" s="3" t="s">
        <v>104</v>
      </c>
      <c r="D26" s="70" t="s">
        <v>105</v>
      </c>
      <c r="E26" s="71"/>
      <c r="F26" s="3" t="s">
        <v>85</v>
      </c>
      <c r="G26" s="35">
        <v>5</v>
      </c>
      <c r="H26" s="68">
        <v>0</v>
      </c>
      <c r="I26" s="36">
        <v>21</v>
      </c>
      <c r="J26" s="35">
        <f t="shared" si="0"/>
        <v>0</v>
      </c>
      <c r="K26" s="35">
        <f t="shared" si="1"/>
        <v>0</v>
      </c>
      <c r="L26" s="35">
        <f t="shared" si="2"/>
        <v>0</v>
      </c>
      <c r="M26" s="35">
        <f t="shared" si="3"/>
        <v>0</v>
      </c>
      <c r="N26" s="35">
        <v>9.7000000000000005E-4</v>
      </c>
      <c r="O26" s="35">
        <f t="shared" si="4"/>
        <v>4.8500000000000001E-3</v>
      </c>
      <c r="P26" s="37" t="s">
        <v>64</v>
      </c>
      <c r="Z26" s="35">
        <f t="shared" si="5"/>
        <v>0</v>
      </c>
      <c r="AB26" s="35">
        <f t="shared" si="6"/>
        <v>0</v>
      </c>
      <c r="AC26" s="35">
        <f t="shared" si="7"/>
        <v>0</v>
      </c>
      <c r="AD26" s="35">
        <f t="shared" si="8"/>
        <v>0</v>
      </c>
      <c r="AE26" s="35">
        <f t="shared" si="9"/>
        <v>0</v>
      </c>
      <c r="AF26" s="35">
        <f t="shared" si="10"/>
        <v>0</v>
      </c>
      <c r="AG26" s="35">
        <f t="shared" si="11"/>
        <v>0</v>
      </c>
      <c r="AH26" s="35">
        <f t="shared" si="12"/>
        <v>0</v>
      </c>
      <c r="AI26" s="12" t="s">
        <v>56</v>
      </c>
      <c r="AJ26" s="35">
        <f t="shared" si="13"/>
        <v>0</v>
      </c>
      <c r="AK26" s="35">
        <f t="shared" si="14"/>
        <v>0</v>
      </c>
      <c r="AL26" s="35">
        <f t="shared" si="15"/>
        <v>0</v>
      </c>
      <c r="AN26" s="35">
        <v>21</v>
      </c>
      <c r="AO26" s="35">
        <f>H26*0.864707429</f>
        <v>0</v>
      </c>
      <c r="AP26" s="35">
        <f>H26*(1-0.864707429)</f>
        <v>0</v>
      </c>
      <c r="AQ26" s="38" t="s">
        <v>65</v>
      </c>
      <c r="AV26" s="35">
        <f t="shared" si="16"/>
        <v>0</v>
      </c>
      <c r="AW26" s="35">
        <f t="shared" si="17"/>
        <v>0</v>
      </c>
      <c r="AX26" s="35">
        <f t="shared" si="18"/>
        <v>0</v>
      </c>
      <c r="AY26" s="38" t="s">
        <v>66</v>
      </c>
      <c r="AZ26" s="38" t="s">
        <v>67</v>
      </c>
      <c r="BA26" s="12" t="s">
        <v>68</v>
      </c>
      <c r="BC26" s="35">
        <f t="shared" si="19"/>
        <v>0</v>
      </c>
      <c r="BD26" s="35">
        <f t="shared" si="20"/>
        <v>0</v>
      </c>
      <c r="BE26" s="35">
        <v>0</v>
      </c>
      <c r="BF26" s="35">
        <f t="shared" si="21"/>
        <v>4.8500000000000001E-3</v>
      </c>
      <c r="BH26" s="35">
        <f t="shared" si="22"/>
        <v>0</v>
      </c>
      <c r="BI26" s="35">
        <f t="shared" si="23"/>
        <v>0</v>
      </c>
      <c r="BJ26" s="35">
        <f t="shared" si="24"/>
        <v>0</v>
      </c>
      <c r="BK26" s="38" t="s">
        <v>69</v>
      </c>
      <c r="BL26" s="35">
        <v>723</v>
      </c>
      <c r="BW26" s="35">
        <f t="shared" si="25"/>
        <v>21</v>
      </c>
      <c r="BX26" s="4" t="s">
        <v>105</v>
      </c>
    </row>
    <row r="27" spans="1:76" x14ac:dyDescent="0.25">
      <c r="A27" s="2" t="s">
        <v>106</v>
      </c>
      <c r="B27" s="3" t="s">
        <v>56</v>
      </c>
      <c r="C27" s="3" t="s">
        <v>107</v>
      </c>
      <c r="D27" s="70" t="s">
        <v>108</v>
      </c>
      <c r="E27" s="71"/>
      <c r="F27" s="3" t="s">
        <v>85</v>
      </c>
      <c r="G27" s="35">
        <v>1</v>
      </c>
      <c r="H27" s="68">
        <v>0</v>
      </c>
      <c r="I27" s="36">
        <v>21</v>
      </c>
      <c r="J27" s="35">
        <f t="shared" si="0"/>
        <v>0</v>
      </c>
      <c r="K27" s="35">
        <f t="shared" si="1"/>
        <v>0</v>
      </c>
      <c r="L27" s="35">
        <f t="shared" si="2"/>
        <v>0</v>
      </c>
      <c r="M27" s="35">
        <f t="shared" si="3"/>
        <v>0</v>
      </c>
      <c r="N27" s="35">
        <v>3.0000000000000001E-5</v>
      </c>
      <c r="O27" s="35">
        <f t="shared" si="4"/>
        <v>3.0000000000000001E-5</v>
      </c>
      <c r="P27" s="37" t="s">
        <v>64</v>
      </c>
      <c r="Z27" s="35">
        <f t="shared" si="5"/>
        <v>0</v>
      </c>
      <c r="AB27" s="35">
        <f t="shared" si="6"/>
        <v>0</v>
      </c>
      <c r="AC27" s="35">
        <f t="shared" si="7"/>
        <v>0</v>
      </c>
      <c r="AD27" s="35">
        <f t="shared" si="8"/>
        <v>0</v>
      </c>
      <c r="AE27" s="35">
        <f t="shared" si="9"/>
        <v>0</v>
      </c>
      <c r="AF27" s="35">
        <f t="shared" si="10"/>
        <v>0</v>
      </c>
      <c r="AG27" s="35">
        <f t="shared" si="11"/>
        <v>0</v>
      </c>
      <c r="AH27" s="35">
        <f t="shared" si="12"/>
        <v>0</v>
      </c>
      <c r="AI27" s="12" t="s">
        <v>56</v>
      </c>
      <c r="AJ27" s="35">
        <f t="shared" si="13"/>
        <v>0</v>
      </c>
      <c r="AK27" s="35">
        <f t="shared" si="14"/>
        <v>0</v>
      </c>
      <c r="AL27" s="35">
        <f t="shared" si="15"/>
        <v>0</v>
      </c>
      <c r="AN27" s="35">
        <v>21</v>
      </c>
      <c r="AO27" s="35">
        <f>H27*0.036622528</f>
        <v>0</v>
      </c>
      <c r="AP27" s="35">
        <f>H27*(1-0.036622528)</f>
        <v>0</v>
      </c>
      <c r="AQ27" s="38" t="s">
        <v>65</v>
      </c>
      <c r="AV27" s="35">
        <f t="shared" si="16"/>
        <v>0</v>
      </c>
      <c r="AW27" s="35">
        <f t="shared" si="17"/>
        <v>0</v>
      </c>
      <c r="AX27" s="35">
        <f t="shared" si="18"/>
        <v>0</v>
      </c>
      <c r="AY27" s="38" t="s">
        <v>66</v>
      </c>
      <c r="AZ27" s="38" t="s">
        <v>67</v>
      </c>
      <c r="BA27" s="12" t="s">
        <v>68</v>
      </c>
      <c r="BC27" s="35">
        <f t="shared" si="19"/>
        <v>0</v>
      </c>
      <c r="BD27" s="35">
        <f t="shared" si="20"/>
        <v>0</v>
      </c>
      <c r="BE27" s="35">
        <v>0</v>
      </c>
      <c r="BF27" s="35">
        <f t="shared" si="21"/>
        <v>3.0000000000000001E-5</v>
      </c>
      <c r="BH27" s="35">
        <f t="shared" si="22"/>
        <v>0</v>
      </c>
      <c r="BI27" s="35">
        <f t="shared" si="23"/>
        <v>0</v>
      </c>
      <c r="BJ27" s="35">
        <f t="shared" si="24"/>
        <v>0</v>
      </c>
      <c r="BK27" s="38" t="s">
        <v>69</v>
      </c>
      <c r="BL27" s="35">
        <v>723</v>
      </c>
      <c r="BW27" s="35">
        <f t="shared" si="25"/>
        <v>21</v>
      </c>
      <c r="BX27" s="4" t="s">
        <v>108</v>
      </c>
    </row>
    <row r="28" spans="1:76" x14ac:dyDescent="0.25">
      <c r="A28" s="2" t="s">
        <v>109</v>
      </c>
      <c r="B28" s="3" t="s">
        <v>56</v>
      </c>
      <c r="C28" s="3" t="s">
        <v>110</v>
      </c>
      <c r="D28" s="70" t="s">
        <v>111</v>
      </c>
      <c r="E28" s="71"/>
      <c r="F28" s="3" t="s">
        <v>85</v>
      </c>
      <c r="G28" s="35">
        <v>5</v>
      </c>
      <c r="H28" s="68">
        <v>0</v>
      </c>
      <c r="I28" s="36">
        <v>21</v>
      </c>
      <c r="J28" s="35">
        <f t="shared" si="0"/>
        <v>0</v>
      </c>
      <c r="K28" s="35">
        <f t="shared" si="1"/>
        <v>0</v>
      </c>
      <c r="L28" s="35">
        <f t="shared" si="2"/>
        <v>0</v>
      </c>
      <c r="M28" s="35">
        <f t="shared" si="3"/>
        <v>0</v>
      </c>
      <c r="N28" s="35">
        <v>3.0000000000000001E-5</v>
      </c>
      <c r="O28" s="35">
        <f t="shared" si="4"/>
        <v>1.5000000000000001E-4</v>
      </c>
      <c r="P28" s="37" t="s">
        <v>64</v>
      </c>
      <c r="Z28" s="35">
        <f t="shared" si="5"/>
        <v>0</v>
      </c>
      <c r="AB28" s="35">
        <f t="shared" si="6"/>
        <v>0</v>
      </c>
      <c r="AC28" s="35">
        <f t="shared" si="7"/>
        <v>0</v>
      </c>
      <c r="AD28" s="35">
        <f t="shared" si="8"/>
        <v>0</v>
      </c>
      <c r="AE28" s="35">
        <f t="shared" si="9"/>
        <v>0</v>
      </c>
      <c r="AF28" s="35">
        <f t="shared" si="10"/>
        <v>0</v>
      </c>
      <c r="AG28" s="35">
        <f t="shared" si="11"/>
        <v>0</v>
      </c>
      <c r="AH28" s="35">
        <f t="shared" si="12"/>
        <v>0</v>
      </c>
      <c r="AI28" s="12" t="s">
        <v>56</v>
      </c>
      <c r="AJ28" s="35">
        <f t="shared" si="13"/>
        <v>0</v>
      </c>
      <c r="AK28" s="35">
        <f t="shared" si="14"/>
        <v>0</v>
      </c>
      <c r="AL28" s="35">
        <f t="shared" si="15"/>
        <v>0</v>
      </c>
      <c r="AN28" s="35">
        <v>21</v>
      </c>
      <c r="AO28" s="35">
        <f>H28*0.031105882</f>
        <v>0</v>
      </c>
      <c r="AP28" s="35">
        <f>H28*(1-0.031105882)</f>
        <v>0</v>
      </c>
      <c r="AQ28" s="38" t="s">
        <v>65</v>
      </c>
      <c r="AV28" s="35">
        <f t="shared" si="16"/>
        <v>0</v>
      </c>
      <c r="AW28" s="35">
        <f t="shared" si="17"/>
        <v>0</v>
      </c>
      <c r="AX28" s="35">
        <f t="shared" si="18"/>
        <v>0</v>
      </c>
      <c r="AY28" s="38" t="s">
        <v>66</v>
      </c>
      <c r="AZ28" s="38" t="s">
        <v>67</v>
      </c>
      <c r="BA28" s="12" t="s">
        <v>68</v>
      </c>
      <c r="BC28" s="35">
        <f t="shared" si="19"/>
        <v>0</v>
      </c>
      <c r="BD28" s="35">
        <f t="shared" si="20"/>
        <v>0</v>
      </c>
      <c r="BE28" s="35">
        <v>0</v>
      </c>
      <c r="BF28" s="35">
        <f t="shared" si="21"/>
        <v>1.5000000000000001E-4</v>
      </c>
      <c r="BH28" s="35">
        <f t="shared" si="22"/>
        <v>0</v>
      </c>
      <c r="BI28" s="35">
        <f t="shared" si="23"/>
        <v>0</v>
      </c>
      <c r="BJ28" s="35">
        <f t="shared" si="24"/>
        <v>0</v>
      </c>
      <c r="BK28" s="38" t="s">
        <v>69</v>
      </c>
      <c r="BL28" s="35">
        <v>723</v>
      </c>
      <c r="BW28" s="35">
        <f t="shared" si="25"/>
        <v>21</v>
      </c>
      <c r="BX28" s="4" t="s">
        <v>111</v>
      </c>
    </row>
    <row r="29" spans="1:76" x14ac:dyDescent="0.25">
      <c r="A29" s="2" t="s">
        <v>112</v>
      </c>
      <c r="B29" s="3" t="s">
        <v>56</v>
      </c>
      <c r="C29" s="3" t="s">
        <v>113</v>
      </c>
      <c r="D29" s="70" t="s">
        <v>114</v>
      </c>
      <c r="E29" s="71"/>
      <c r="F29" s="3" t="s">
        <v>85</v>
      </c>
      <c r="G29" s="35">
        <v>5</v>
      </c>
      <c r="H29" s="68">
        <v>0</v>
      </c>
      <c r="I29" s="36">
        <v>21</v>
      </c>
      <c r="J29" s="35">
        <f t="shared" si="0"/>
        <v>0</v>
      </c>
      <c r="K29" s="35">
        <f t="shared" si="1"/>
        <v>0</v>
      </c>
      <c r="L29" s="35">
        <f t="shared" si="2"/>
        <v>0</v>
      </c>
      <c r="M29" s="35">
        <f t="shared" si="3"/>
        <v>0</v>
      </c>
      <c r="N29" s="35">
        <v>0</v>
      </c>
      <c r="O29" s="35">
        <f t="shared" si="4"/>
        <v>0</v>
      </c>
      <c r="P29" s="37" t="s">
        <v>64</v>
      </c>
      <c r="Z29" s="35">
        <f t="shared" si="5"/>
        <v>0</v>
      </c>
      <c r="AB29" s="35">
        <f t="shared" si="6"/>
        <v>0</v>
      </c>
      <c r="AC29" s="35">
        <f t="shared" si="7"/>
        <v>0</v>
      </c>
      <c r="AD29" s="35">
        <f t="shared" si="8"/>
        <v>0</v>
      </c>
      <c r="AE29" s="35">
        <f t="shared" si="9"/>
        <v>0</v>
      </c>
      <c r="AF29" s="35">
        <f t="shared" si="10"/>
        <v>0</v>
      </c>
      <c r="AG29" s="35">
        <f t="shared" si="11"/>
        <v>0</v>
      </c>
      <c r="AH29" s="35">
        <f t="shared" si="12"/>
        <v>0</v>
      </c>
      <c r="AI29" s="12" t="s">
        <v>56</v>
      </c>
      <c r="AJ29" s="35">
        <f t="shared" si="13"/>
        <v>0</v>
      </c>
      <c r="AK29" s="35">
        <f t="shared" si="14"/>
        <v>0</v>
      </c>
      <c r="AL29" s="35">
        <f t="shared" si="15"/>
        <v>0</v>
      </c>
      <c r="AN29" s="35">
        <v>21</v>
      </c>
      <c r="AO29" s="35">
        <f>H29*0</f>
        <v>0</v>
      </c>
      <c r="AP29" s="35">
        <f>H29*(1-0)</f>
        <v>0</v>
      </c>
      <c r="AQ29" s="38" t="s">
        <v>65</v>
      </c>
      <c r="AV29" s="35">
        <f t="shared" si="16"/>
        <v>0</v>
      </c>
      <c r="AW29" s="35">
        <f t="shared" si="17"/>
        <v>0</v>
      </c>
      <c r="AX29" s="35">
        <f t="shared" si="18"/>
        <v>0</v>
      </c>
      <c r="AY29" s="38" t="s">
        <v>66</v>
      </c>
      <c r="AZ29" s="38" t="s">
        <v>67</v>
      </c>
      <c r="BA29" s="12" t="s">
        <v>68</v>
      </c>
      <c r="BC29" s="35">
        <f t="shared" si="19"/>
        <v>0</v>
      </c>
      <c r="BD29" s="35">
        <f t="shared" si="20"/>
        <v>0</v>
      </c>
      <c r="BE29" s="35">
        <v>0</v>
      </c>
      <c r="BF29" s="35">
        <f t="shared" si="21"/>
        <v>0</v>
      </c>
      <c r="BH29" s="35">
        <f t="shared" si="22"/>
        <v>0</v>
      </c>
      <c r="BI29" s="35">
        <f t="shared" si="23"/>
        <v>0</v>
      </c>
      <c r="BJ29" s="35">
        <f t="shared" si="24"/>
        <v>0</v>
      </c>
      <c r="BK29" s="38" t="s">
        <v>69</v>
      </c>
      <c r="BL29" s="35">
        <v>723</v>
      </c>
      <c r="BW29" s="35">
        <f t="shared" si="25"/>
        <v>21</v>
      </c>
      <c r="BX29" s="4" t="s">
        <v>114</v>
      </c>
    </row>
    <row r="30" spans="1:76" x14ac:dyDescent="0.25">
      <c r="A30" s="2" t="s">
        <v>115</v>
      </c>
      <c r="B30" s="3" t="s">
        <v>56</v>
      </c>
      <c r="C30" s="3" t="s">
        <v>116</v>
      </c>
      <c r="D30" s="70" t="s">
        <v>117</v>
      </c>
      <c r="E30" s="71"/>
      <c r="F30" s="3" t="s">
        <v>63</v>
      </c>
      <c r="G30" s="35">
        <v>66</v>
      </c>
      <c r="H30" s="68">
        <v>0</v>
      </c>
      <c r="I30" s="36">
        <v>21</v>
      </c>
      <c r="J30" s="35">
        <f t="shared" si="0"/>
        <v>0</v>
      </c>
      <c r="K30" s="35">
        <f t="shared" si="1"/>
        <v>0</v>
      </c>
      <c r="L30" s="35">
        <f t="shared" si="2"/>
        <v>0</v>
      </c>
      <c r="M30" s="35">
        <f t="shared" si="3"/>
        <v>0</v>
      </c>
      <c r="N30" s="35">
        <v>0</v>
      </c>
      <c r="O30" s="35">
        <f t="shared" si="4"/>
        <v>0</v>
      </c>
      <c r="P30" s="37" t="s">
        <v>64</v>
      </c>
      <c r="Z30" s="35">
        <f t="shared" si="5"/>
        <v>0</v>
      </c>
      <c r="AB30" s="35">
        <f t="shared" si="6"/>
        <v>0</v>
      </c>
      <c r="AC30" s="35">
        <f t="shared" si="7"/>
        <v>0</v>
      </c>
      <c r="AD30" s="35">
        <f t="shared" si="8"/>
        <v>0</v>
      </c>
      <c r="AE30" s="35">
        <f t="shared" si="9"/>
        <v>0</v>
      </c>
      <c r="AF30" s="35">
        <f t="shared" si="10"/>
        <v>0</v>
      </c>
      <c r="AG30" s="35">
        <f t="shared" si="11"/>
        <v>0</v>
      </c>
      <c r="AH30" s="35">
        <f t="shared" si="12"/>
        <v>0</v>
      </c>
      <c r="AI30" s="12" t="s">
        <v>56</v>
      </c>
      <c r="AJ30" s="35">
        <f t="shared" si="13"/>
        <v>0</v>
      </c>
      <c r="AK30" s="35">
        <f t="shared" si="14"/>
        <v>0</v>
      </c>
      <c r="AL30" s="35">
        <f t="shared" si="15"/>
        <v>0</v>
      </c>
      <c r="AN30" s="35">
        <v>21</v>
      </c>
      <c r="AO30" s="35">
        <f>H30*0</f>
        <v>0</v>
      </c>
      <c r="AP30" s="35">
        <f>H30*(1-0)</f>
        <v>0</v>
      </c>
      <c r="AQ30" s="38" t="s">
        <v>65</v>
      </c>
      <c r="AV30" s="35">
        <f t="shared" si="16"/>
        <v>0</v>
      </c>
      <c r="AW30" s="35">
        <f t="shared" si="17"/>
        <v>0</v>
      </c>
      <c r="AX30" s="35">
        <f t="shared" si="18"/>
        <v>0</v>
      </c>
      <c r="AY30" s="38" t="s">
        <v>66</v>
      </c>
      <c r="AZ30" s="38" t="s">
        <v>67</v>
      </c>
      <c r="BA30" s="12" t="s">
        <v>68</v>
      </c>
      <c r="BC30" s="35">
        <f t="shared" si="19"/>
        <v>0</v>
      </c>
      <c r="BD30" s="35">
        <f t="shared" si="20"/>
        <v>0</v>
      </c>
      <c r="BE30" s="35">
        <v>0</v>
      </c>
      <c r="BF30" s="35">
        <f t="shared" si="21"/>
        <v>0</v>
      </c>
      <c r="BH30" s="35">
        <f t="shared" si="22"/>
        <v>0</v>
      </c>
      <c r="BI30" s="35">
        <f t="shared" si="23"/>
        <v>0</v>
      </c>
      <c r="BJ30" s="35">
        <f t="shared" si="24"/>
        <v>0</v>
      </c>
      <c r="BK30" s="38" t="s">
        <v>69</v>
      </c>
      <c r="BL30" s="35">
        <v>723</v>
      </c>
      <c r="BW30" s="35">
        <f t="shared" si="25"/>
        <v>21</v>
      </c>
      <c r="BX30" s="4" t="s">
        <v>117</v>
      </c>
    </row>
    <row r="31" spans="1:76" x14ac:dyDescent="0.25">
      <c r="A31" s="2" t="s">
        <v>118</v>
      </c>
      <c r="B31" s="3" t="s">
        <v>56</v>
      </c>
      <c r="C31" s="3" t="s">
        <v>119</v>
      </c>
      <c r="D31" s="70" t="s">
        <v>120</v>
      </c>
      <c r="E31" s="71"/>
      <c r="F31" s="3" t="s">
        <v>63</v>
      </c>
      <c r="G31" s="35">
        <v>66</v>
      </c>
      <c r="H31" s="68">
        <v>0</v>
      </c>
      <c r="I31" s="36">
        <v>21</v>
      </c>
      <c r="J31" s="35">
        <f t="shared" si="0"/>
        <v>0</v>
      </c>
      <c r="K31" s="35">
        <f t="shared" si="1"/>
        <v>0</v>
      </c>
      <c r="L31" s="35">
        <f t="shared" si="2"/>
        <v>0</v>
      </c>
      <c r="M31" s="35">
        <f t="shared" si="3"/>
        <v>0</v>
      </c>
      <c r="N31" s="35">
        <v>0</v>
      </c>
      <c r="O31" s="35">
        <f t="shared" si="4"/>
        <v>0</v>
      </c>
      <c r="P31" s="37" t="s">
        <v>64</v>
      </c>
      <c r="Z31" s="35">
        <f t="shared" si="5"/>
        <v>0</v>
      </c>
      <c r="AB31" s="35">
        <f t="shared" si="6"/>
        <v>0</v>
      </c>
      <c r="AC31" s="35">
        <f t="shared" si="7"/>
        <v>0</v>
      </c>
      <c r="AD31" s="35">
        <f t="shared" si="8"/>
        <v>0</v>
      </c>
      <c r="AE31" s="35">
        <f t="shared" si="9"/>
        <v>0</v>
      </c>
      <c r="AF31" s="35">
        <f t="shared" si="10"/>
        <v>0</v>
      </c>
      <c r="AG31" s="35">
        <f t="shared" si="11"/>
        <v>0</v>
      </c>
      <c r="AH31" s="35">
        <f t="shared" si="12"/>
        <v>0</v>
      </c>
      <c r="AI31" s="12" t="s">
        <v>56</v>
      </c>
      <c r="AJ31" s="35">
        <f t="shared" si="13"/>
        <v>0</v>
      </c>
      <c r="AK31" s="35">
        <f t="shared" si="14"/>
        <v>0</v>
      </c>
      <c r="AL31" s="35">
        <f t="shared" si="15"/>
        <v>0</v>
      </c>
      <c r="AN31" s="35">
        <v>21</v>
      </c>
      <c r="AO31" s="35">
        <f>H31*0</f>
        <v>0</v>
      </c>
      <c r="AP31" s="35">
        <f>H31*(1-0)</f>
        <v>0</v>
      </c>
      <c r="AQ31" s="38" t="s">
        <v>65</v>
      </c>
      <c r="AV31" s="35">
        <f t="shared" si="16"/>
        <v>0</v>
      </c>
      <c r="AW31" s="35">
        <f t="shared" si="17"/>
        <v>0</v>
      </c>
      <c r="AX31" s="35">
        <f t="shared" si="18"/>
        <v>0</v>
      </c>
      <c r="AY31" s="38" t="s">
        <v>66</v>
      </c>
      <c r="AZ31" s="38" t="s">
        <v>67</v>
      </c>
      <c r="BA31" s="12" t="s">
        <v>68</v>
      </c>
      <c r="BC31" s="35">
        <f t="shared" si="19"/>
        <v>0</v>
      </c>
      <c r="BD31" s="35">
        <f t="shared" si="20"/>
        <v>0</v>
      </c>
      <c r="BE31" s="35">
        <v>0</v>
      </c>
      <c r="BF31" s="35">
        <f t="shared" si="21"/>
        <v>0</v>
      </c>
      <c r="BH31" s="35">
        <f t="shared" si="22"/>
        <v>0</v>
      </c>
      <c r="BI31" s="35">
        <f t="shared" si="23"/>
        <v>0</v>
      </c>
      <c r="BJ31" s="35">
        <f t="shared" si="24"/>
        <v>0</v>
      </c>
      <c r="BK31" s="38" t="s">
        <v>69</v>
      </c>
      <c r="BL31" s="35">
        <v>723</v>
      </c>
      <c r="BW31" s="35">
        <f t="shared" si="25"/>
        <v>21</v>
      </c>
      <c r="BX31" s="4" t="s">
        <v>120</v>
      </c>
    </row>
    <row r="32" spans="1:76" x14ac:dyDescent="0.25">
      <c r="A32" s="2" t="s">
        <v>121</v>
      </c>
      <c r="B32" s="3" t="s">
        <v>56</v>
      </c>
      <c r="C32" s="3" t="s">
        <v>122</v>
      </c>
      <c r="D32" s="70" t="s">
        <v>123</v>
      </c>
      <c r="E32" s="71"/>
      <c r="F32" s="3" t="s">
        <v>85</v>
      </c>
      <c r="G32" s="35">
        <v>1</v>
      </c>
      <c r="H32" s="68">
        <v>0</v>
      </c>
      <c r="I32" s="36">
        <v>21</v>
      </c>
      <c r="J32" s="35">
        <f t="shared" si="0"/>
        <v>0</v>
      </c>
      <c r="K32" s="35">
        <f t="shared" si="1"/>
        <v>0</v>
      </c>
      <c r="L32" s="35">
        <f t="shared" si="2"/>
        <v>0</v>
      </c>
      <c r="M32" s="35">
        <f t="shared" si="3"/>
        <v>0</v>
      </c>
      <c r="N32" s="35">
        <v>0</v>
      </c>
      <c r="O32" s="35">
        <f t="shared" si="4"/>
        <v>0</v>
      </c>
      <c r="P32" s="37" t="s">
        <v>64</v>
      </c>
      <c r="Z32" s="35">
        <f t="shared" si="5"/>
        <v>0</v>
      </c>
      <c r="AB32" s="35">
        <f t="shared" si="6"/>
        <v>0</v>
      </c>
      <c r="AC32" s="35">
        <f t="shared" si="7"/>
        <v>0</v>
      </c>
      <c r="AD32" s="35">
        <f t="shared" si="8"/>
        <v>0</v>
      </c>
      <c r="AE32" s="35">
        <f t="shared" si="9"/>
        <v>0</v>
      </c>
      <c r="AF32" s="35">
        <f t="shared" si="10"/>
        <v>0</v>
      </c>
      <c r="AG32" s="35">
        <f t="shared" si="11"/>
        <v>0</v>
      </c>
      <c r="AH32" s="35">
        <f t="shared" si="12"/>
        <v>0</v>
      </c>
      <c r="AI32" s="12" t="s">
        <v>56</v>
      </c>
      <c r="AJ32" s="35">
        <f t="shared" si="13"/>
        <v>0</v>
      </c>
      <c r="AK32" s="35">
        <f t="shared" si="14"/>
        <v>0</v>
      </c>
      <c r="AL32" s="35">
        <f t="shared" si="15"/>
        <v>0</v>
      </c>
      <c r="AN32" s="35">
        <v>21</v>
      </c>
      <c r="AO32" s="35">
        <f>H32*0</f>
        <v>0</v>
      </c>
      <c r="AP32" s="35">
        <f>H32*(1-0)</f>
        <v>0</v>
      </c>
      <c r="AQ32" s="38" t="s">
        <v>65</v>
      </c>
      <c r="AV32" s="35">
        <f t="shared" si="16"/>
        <v>0</v>
      </c>
      <c r="AW32" s="35">
        <f t="shared" si="17"/>
        <v>0</v>
      </c>
      <c r="AX32" s="35">
        <f t="shared" si="18"/>
        <v>0</v>
      </c>
      <c r="AY32" s="38" t="s">
        <v>66</v>
      </c>
      <c r="AZ32" s="38" t="s">
        <v>67</v>
      </c>
      <c r="BA32" s="12" t="s">
        <v>68</v>
      </c>
      <c r="BC32" s="35">
        <f t="shared" si="19"/>
        <v>0</v>
      </c>
      <c r="BD32" s="35">
        <f t="shared" si="20"/>
        <v>0</v>
      </c>
      <c r="BE32" s="35">
        <v>0</v>
      </c>
      <c r="BF32" s="35">
        <f t="shared" si="21"/>
        <v>0</v>
      </c>
      <c r="BH32" s="35">
        <f t="shared" si="22"/>
        <v>0</v>
      </c>
      <c r="BI32" s="35">
        <f t="shared" si="23"/>
        <v>0</v>
      </c>
      <c r="BJ32" s="35">
        <f t="shared" si="24"/>
        <v>0</v>
      </c>
      <c r="BK32" s="38" t="s">
        <v>69</v>
      </c>
      <c r="BL32" s="35">
        <v>723</v>
      </c>
      <c r="BW32" s="35">
        <f t="shared" si="25"/>
        <v>21</v>
      </c>
      <c r="BX32" s="4" t="s">
        <v>123</v>
      </c>
    </row>
    <row r="33" spans="1:76" x14ac:dyDescent="0.25">
      <c r="A33" s="2" t="s">
        <v>124</v>
      </c>
      <c r="B33" s="3" t="s">
        <v>56</v>
      </c>
      <c r="C33" s="3" t="s">
        <v>125</v>
      </c>
      <c r="D33" s="70" t="s">
        <v>126</v>
      </c>
      <c r="E33" s="71"/>
      <c r="F33" s="3" t="s">
        <v>85</v>
      </c>
      <c r="G33" s="35">
        <v>1</v>
      </c>
      <c r="H33" s="68">
        <v>0</v>
      </c>
      <c r="I33" s="36">
        <v>21</v>
      </c>
      <c r="J33" s="35">
        <f t="shared" si="0"/>
        <v>0</v>
      </c>
      <c r="K33" s="35">
        <f t="shared" si="1"/>
        <v>0</v>
      </c>
      <c r="L33" s="35">
        <f t="shared" si="2"/>
        <v>0</v>
      </c>
      <c r="M33" s="35">
        <f t="shared" si="3"/>
        <v>0</v>
      </c>
      <c r="N33" s="35">
        <v>2.7E-4</v>
      </c>
      <c r="O33" s="35">
        <f t="shared" si="4"/>
        <v>2.7E-4</v>
      </c>
      <c r="P33" s="37" t="s">
        <v>64</v>
      </c>
      <c r="Z33" s="35">
        <f t="shared" si="5"/>
        <v>0</v>
      </c>
      <c r="AB33" s="35">
        <f t="shared" si="6"/>
        <v>0</v>
      </c>
      <c r="AC33" s="35">
        <f t="shared" si="7"/>
        <v>0</v>
      </c>
      <c r="AD33" s="35">
        <f t="shared" si="8"/>
        <v>0</v>
      </c>
      <c r="AE33" s="35">
        <f t="shared" si="9"/>
        <v>0</v>
      </c>
      <c r="AF33" s="35">
        <f t="shared" si="10"/>
        <v>0</v>
      </c>
      <c r="AG33" s="35">
        <f t="shared" si="11"/>
        <v>0</v>
      </c>
      <c r="AH33" s="35">
        <f t="shared" si="12"/>
        <v>0</v>
      </c>
      <c r="AI33" s="12" t="s">
        <v>56</v>
      </c>
      <c r="AJ33" s="35">
        <f t="shared" si="13"/>
        <v>0</v>
      </c>
      <c r="AK33" s="35">
        <f t="shared" si="14"/>
        <v>0</v>
      </c>
      <c r="AL33" s="35">
        <f t="shared" si="15"/>
        <v>0</v>
      </c>
      <c r="AN33" s="35">
        <v>21</v>
      </c>
      <c r="AO33" s="35">
        <f>H33*0.206700508</f>
        <v>0</v>
      </c>
      <c r="AP33" s="35">
        <f>H33*(1-0.206700508)</f>
        <v>0</v>
      </c>
      <c r="AQ33" s="38" t="s">
        <v>65</v>
      </c>
      <c r="AV33" s="35">
        <f t="shared" si="16"/>
        <v>0</v>
      </c>
      <c r="AW33" s="35">
        <f t="shared" si="17"/>
        <v>0</v>
      </c>
      <c r="AX33" s="35">
        <f t="shared" si="18"/>
        <v>0</v>
      </c>
      <c r="AY33" s="38" t="s">
        <v>66</v>
      </c>
      <c r="AZ33" s="38" t="s">
        <v>67</v>
      </c>
      <c r="BA33" s="12" t="s">
        <v>68</v>
      </c>
      <c r="BC33" s="35">
        <f t="shared" si="19"/>
        <v>0</v>
      </c>
      <c r="BD33" s="35">
        <f t="shared" si="20"/>
        <v>0</v>
      </c>
      <c r="BE33" s="35">
        <v>0</v>
      </c>
      <c r="BF33" s="35">
        <f t="shared" si="21"/>
        <v>2.7E-4</v>
      </c>
      <c r="BH33" s="35">
        <f t="shared" si="22"/>
        <v>0</v>
      </c>
      <c r="BI33" s="35">
        <f t="shared" si="23"/>
        <v>0</v>
      </c>
      <c r="BJ33" s="35">
        <f t="shared" si="24"/>
        <v>0</v>
      </c>
      <c r="BK33" s="38" t="s">
        <v>69</v>
      </c>
      <c r="BL33" s="35">
        <v>723</v>
      </c>
      <c r="BW33" s="35">
        <f t="shared" si="25"/>
        <v>21</v>
      </c>
      <c r="BX33" s="4" t="s">
        <v>126</v>
      </c>
    </row>
    <row r="34" spans="1:76" x14ac:dyDescent="0.25">
      <c r="A34" s="2" t="s">
        <v>127</v>
      </c>
      <c r="B34" s="3" t="s">
        <v>56</v>
      </c>
      <c r="C34" s="3" t="s">
        <v>128</v>
      </c>
      <c r="D34" s="70" t="s">
        <v>129</v>
      </c>
      <c r="E34" s="71"/>
      <c r="F34" s="3" t="s">
        <v>130</v>
      </c>
      <c r="G34" s="35">
        <v>1</v>
      </c>
      <c r="H34" s="68">
        <v>0</v>
      </c>
      <c r="I34" s="36">
        <v>21</v>
      </c>
      <c r="J34" s="35">
        <f t="shared" si="0"/>
        <v>0</v>
      </c>
      <c r="K34" s="35">
        <f t="shared" si="1"/>
        <v>0</v>
      </c>
      <c r="L34" s="35">
        <f t="shared" si="2"/>
        <v>0</v>
      </c>
      <c r="M34" s="35">
        <f t="shared" si="3"/>
        <v>0</v>
      </c>
      <c r="N34" s="35">
        <v>3.2499999999999999E-3</v>
      </c>
      <c r="O34" s="35">
        <f t="shared" si="4"/>
        <v>3.2499999999999999E-3</v>
      </c>
      <c r="P34" s="37" t="s">
        <v>64</v>
      </c>
      <c r="Z34" s="35">
        <f t="shared" si="5"/>
        <v>0</v>
      </c>
      <c r="AB34" s="35">
        <f t="shared" si="6"/>
        <v>0</v>
      </c>
      <c r="AC34" s="35">
        <f t="shared" si="7"/>
        <v>0</v>
      </c>
      <c r="AD34" s="35">
        <f t="shared" si="8"/>
        <v>0</v>
      </c>
      <c r="AE34" s="35">
        <f t="shared" si="9"/>
        <v>0</v>
      </c>
      <c r="AF34" s="35">
        <f t="shared" si="10"/>
        <v>0</v>
      </c>
      <c r="AG34" s="35">
        <f t="shared" si="11"/>
        <v>0</v>
      </c>
      <c r="AH34" s="35">
        <f t="shared" si="12"/>
        <v>0</v>
      </c>
      <c r="AI34" s="12" t="s">
        <v>56</v>
      </c>
      <c r="AJ34" s="35">
        <f t="shared" si="13"/>
        <v>0</v>
      </c>
      <c r="AK34" s="35">
        <f t="shared" si="14"/>
        <v>0</v>
      </c>
      <c r="AL34" s="35">
        <f t="shared" si="15"/>
        <v>0</v>
      </c>
      <c r="AN34" s="35">
        <v>21</v>
      </c>
      <c r="AO34" s="35">
        <f>H34*0.45027027</f>
        <v>0</v>
      </c>
      <c r="AP34" s="35">
        <f>H34*(1-0.45027027)</f>
        <v>0</v>
      </c>
      <c r="AQ34" s="38" t="s">
        <v>65</v>
      </c>
      <c r="AV34" s="35">
        <f t="shared" si="16"/>
        <v>0</v>
      </c>
      <c r="AW34" s="35">
        <f t="shared" si="17"/>
        <v>0</v>
      </c>
      <c r="AX34" s="35">
        <f t="shared" si="18"/>
        <v>0</v>
      </c>
      <c r="AY34" s="38" t="s">
        <v>66</v>
      </c>
      <c r="AZ34" s="38" t="s">
        <v>67</v>
      </c>
      <c r="BA34" s="12" t="s">
        <v>68</v>
      </c>
      <c r="BC34" s="35">
        <f t="shared" si="19"/>
        <v>0</v>
      </c>
      <c r="BD34" s="35">
        <f t="shared" si="20"/>
        <v>0</v>
      </c>
      <c r="BE34" s="35">
        <v>0</v>
      </c>
      <c r="BF34" s="35">
        <f t="shared" si="21"/>
        <v>3.2499999999999999E-3</v>
      </c>
      <c r="BH34" s="35">
        <f t="shared" si="22"/>
        <v>0</v>
      </c>
      <c r="BI34" s="35">
        <f t="shared" si="23"/>
        <v>0</v>
      </c>
      <c r="BJ34" s="35">
        <f t="shared" si="24"/>
        <v>0</v>
      </c>
      <c r="BK34" s="38" t="s">
        <v>69</v>
      </c>
      <c r="BL34" s="35">
        <v>723</v>
      </c>
      <c r="BW34" s="35">
        <f t="shared" si="25"/>
        <v>21</v>
      </c>
      <c r="BX34" s="4" t="s">
        <v>129</v>
      </c>
    </row>
    <row r="35" spans="1:76" x14ac:dyDescent="0.25">
      <c r="A35" s="2" t="s">
        <v>131</v>
      </c>
      <c r="B35" s="3" t="s">
        <v>56</v>
      </c>
      <c r="C35" s="3" t="s">
        <v>132</v>
      </c>
      <c r="D35" s="70" t="s">
        <v>133</v>
      </c>
      <c r="E35" s="71"/>
      <c r="F35" s="3" t="s">
        <v>130</v>
      </c>
      <c r="G35" s="35">
        <v>1</v>
      </c>
      <c r="H35" s="68">
        <v>0</v>
      </c>
      <c r="I35" s="36">
        <v>21</v>
      </c>
      <c r="J35" s="35">
        <f t="shared" si="0"/>
        <v>0</v>
      </c>
      <c r="K35" s="35">
        <f t="shared" si="1"/>
        <v>0</v>
      </c>
      <c r="L35" s="35">
        <f t="shared" si="2"/>
        <v>0</v>
      </c>
      <c r="M35" s="35">
        <f t="shared" si="3"/>
        <v>0</v>
      </c>
      <c r="N35" s="35">
        <v>1.8000000000000001E-4</v>
      </c>
      <c r="O35" s="35">
        <f t="shared" si="4"/>
        <v>1.8000000000000001E-4</v>
      </c>
      <c r="P35" s="37" t="s">
        <v>64</v>
      </c>
      <c r="Z35" s="35">
        <f t="shared" si="5"/>
        <v>0</v>
      </c>
      <c r="AB35" s="35">
        <f t="shared" si="6"/>
        <v>0</v>
      </c>
      <c r="AC35" s="35">
        <f t="shared" si="7"/>
        <v>0</v>
      </c>
      <c r="AD35" s="35">
        <f t="shared" si="8"/>
        <v>0</v>
      </c>
      <c r="AE35" s="35">
        <f t="shared" si="9"/>
        <v>0</v>
      </c>
      <c r="AF35" s="35">
        <f t="shared" si="10"/>
        <v>0</v>
      </c>
      <c r="AG35" s="35">
        <f t="shared" si="11"/>
        <v>0</v>
      </c>
      <c r="AH35" s="35">
        <f t="shared" si="12"/>
        <v>0</v>
      </c>
      <c r="AI35" s="12" t="s">
        <v>56</v>
      </c>
      <c r="AJ35" s="35">
        <f t="shared" si="13"/>
        <v>0</v>
      </c>
      <c r="AK35" s="35">
        <f t="shared" si="14"/>
        <v>0</v>
      </c>
      <c r="AL35" s="35">
        <f t="shared" si="15"/>
        <v>0</v>
      </c>
      <c r="AN35" s="35">
        <v>21</v>
      </c>
      <c r="AO35" s="35">
        <f>H35*0.056808176</f>
        <v>0</v>
      </c>
      <c r="AP35" s="35">
        <f>H35*(1-0.056808176)</f>
        <v>0</v>
      </c>
      <c r="AQ35" s="38" t="s">
        <v>65</v>
      </c>
      <c r="AV35" s="35">
        <f t="shared" si="16"/>
        <v>0</v>
      </c>
      <c r="AW35" s="35">
        <f t="shared" si="17"/>
        <v>0</v>
      </c>
      <c r="AX35" s="35">
        <f t="shared" si="18"/>
        <v>0</v>
      </c>
      <c r="AY35" s="38" t="s">
        <v>66</v>
      </c>
      <c r="AZ35" s="38" t="s">
        <v>67</v>
      </c>
      <c r="BA35" s="12" t="s">
        <v>68</v>
      </c>
      <c r="BC35" s="35">
        <f t="shared" si="19"/>
        <v>0</v>
      </c>
      <c r="BD35" s="35">
        <f t="shared" si="20"/>
        <v>0</v>
      </c>
      <c r="BE35" s="35">
        <v>0</v>
      </c>
      <c r="BF35" s="35">
        <f t="shared" si="21"/>
        <v>1.8000000000000001E-4</v>
      </c>
      <c r="BH35" s="35">
        <f t="shared" si="22"/>
        <v>0</v>
      </c>
      <c r="BI35" s="35">
        <f t="shared" si="23"/>
        <v>0</v>
      </c>
      <c r="BJ35" s="35">
        <f t="shared" si="24"/>
        <v>0</v>
      </c>
      <c r="BK35" s="38" t="s">
        <v>69</v>
      </c>
      <c r="BL35" s="35">
        <v>723</v>
      </c>
      <c r="BW35" s="35">
        <f t="shared" si="25"/>
        <v>21</v>
      </c>
      <c r="BX35" s="4" t="s">
        <v>133</v>
      </c>
    </row>
    <row r="36" spans="1:76" x14ac:dyDescent="0.25">
      <c r="A36" s="2" t="s">
        <v>134</v>
      </c>
      <c r="B36" s="3" t="s">
        <v>56</v>
      </c>
      <c r="C36" s="3" t="s">
        <v>135</v>
      </c>
      <c r="D36" s="70" t="s">
        <v>136</v>
      </c>
      <c r="E36" s="71"/>
      <c r="F36" s="3" t="s">
        <v>85</v>
      </c>
      <c r="G36" s="35">
        <v>1</v>
      </c>
      <c r="H36" s="68">
        <v>0</v>
      </c>
      <c r="I36" s="36">
        <v>21</v>
      </c>
      <c r="J36" s="35">
        <f t="shared" si="0"/>
        <v>0</v>
      </c>
      <c r="K36" s="35">
        <f t="shared" si="1"/>
        <v>0</v>
      </c>
      <c r="L36" s="35">
        <f t="shared" si="2"/>
        <v>0</v>
      </c>
      <c r="M36" s="35">
        <f t="shared" si="3"/>
        <v>0</v>
      </c>
      <c r="N36" s="35">
        <v>2.7900000000000001E-2</v>
      </c>
      <c r="O36" s="35">
        <f t="shared" si="4"/>
        <v>2.7900000000000001E-2</v>
      </c>
      <c r="P36" s="37" t="s">
        <v>64</v>
      </c>
      <c r="Z36" s="35">
        <f t="shared" si="5"/>
        <v>0</v>
      </c>
      <c r="AB36" s="35">
        <f t="shared" si="6"/>
        <v>0</v>
      </c>
      <c r="AC36" s="35">
        <f t="shared" si="7"/>
        <v>0</v>
      </c>
      <c r="AD36" s="35">
        <f t="shared" si="8"/>
        <v>0</v>
      </c>
      <c r="AE36" s="35">
        <f t="shared" si="9"/>
        <v>0</v>
      </c>
      <c r="AF36" s="35">
        <f t="shared" si="10"/>
        <v>0</v>
      </c>
      <c r="AG36" s="35">
        <f t="shared" si="11"/>
        <v>0</v>
      </c>
      <c r="AH36" s="35">
        <f t="shared" si="12"/>
        <v>0</v>
      </c>
      <c r="AI36" s="12" t="s">
        <v>56</v>
      </c>
      <c r="AJ36" s="35">
        <f t="shared" si="13"/>
        <v>0</v>
      </c>
      <c r="AK36" s="35">
        <f t="shared" si="14"/>
        <v>0</v>
      </c>
      <c r="AL36" s="35">
        <f t="shared" si="15"/>
        <v>0</v>
      </c>
      <c r="AN36" s="35">
        <v>21</v>
      </c>
      <c r="AO36" s="35">
        <f>H36*0.905875232</f>
        <v>0</v>
      </c>
      <c r="AP36" s="35">
        <f>H36*(1-0.905875232)</f>
        <v>0</v>
      </c>
      <c r="AQ36" s="38" t="s">
        <v>65</v>
      </c>
      <c r="AV36" s="35">
        <f t="shared" si="16"/>
        <v>0</v>
      </c>
      <c r="AW36" s="35">
        <f t="shared" si="17"/>
        <v>0</v>
      </c>
      <c r="AX36" s="35">
        <f t="shared" si="18"/>
        <v>0</v>
      </c>
      <c r="AY36" s="38" t="s">
        <v>66</v>
      </c>
      <c r="AZ36" s="38" t="s">
        <v>67</v>
      </c>
      <c r="BA36" s="12" t="s">
        <v>68</v>
      </c>
      <c r="BC36" s="35">
        <f t="shared" si="19"/>
        <v>0</v>
      </c>
      <c r="BD36" s="35">
        <f t="shared" si="20"/>
        <v>0</v>
      </c>
      <c r="BE36" s="35">
        <v>0</v>
      </c>
      <c r="BF36" s="35">
        <f t="shared" si="21"/>
        <v>2.7900000000000001E-2</v>
      </c>
      <c r="BH36" s="35">
        <f t="shared" si="22"/>
        <v>0</v>
      </c>
      <c r="BI36" s="35">
        <f t="shared" si="23"/>
        <v>0</v>
      </c>
      <c r="BJ36" s="35">
        <f t="shared" si="24"/>
        <v>0</v>
      </c>
      <c r="BK36" s="38" t="s">
        <v>69</v>
      </c>
      <c r="BL36" s="35">
        <v>723</v>
      </c>
      <c r="BW36" s="35">
        <f t="shared" si="25"/>
        <v>21</v>
      </c>
      <c r="BX36" s="4" t="s">
        <v>136</v>
      </c>
    </row>
    <row r="37" spans="1:76" x14ac:dyDescent="0.25">
      <c r="A37" s="2" t="s">
        <v>137</v>
      </c>
      <c r="B37" s="3" t="s">
        <v>56</v>
      </c>
      <c r="C37" s="3" t="s">
        <v>138</v>
      </c>
      <c r="D37" s="70" t="s">
        <v>139</v>
      </c>
      <c r="E37" s="71"/>
      <c r="F37" s="3" t="s">
        <v>85</v>
      </c>
      <c r="G37" s="35">
        <v>1</v>
      </c>
      <c r="H37" s="68">
        <v>0</v>
      </c>
      <c r="I37" s="36">
        <v>21</v>
      </c>
      <c r="J37" s="35">
        <f t="shared" si="0"/>
        <v>0</v>
      </c>
      <c r="K37" s="35">
        <f t="shared" si="1"/>
        <v>0</v>
      </c>
      <c r="L37" s="35">
        <f t="shared" si="2"/>
        <v>0</v>
      </c>
      <c r="M37" s="35">
        <f t="shared" si="3"/>
        <v>0</v>
      </c>
      <c r="N37" s="35">
        <v>1.2449999999999999E-2</v>
      </c>
      <c r="O37" s="35">
        <f t="shared" si="4"/>
        <v>1.2449999999999999E-2</v>
      </c>
      <c r="P37" s="37" t="s">
        <v>64</v>
      </c>
      <c r="Z37" s="35">
        <f t="shared" si="5"/>
        <v>0</v>
      </c>
      <c r="AB37" s="35">
        <f t="shared" si="6"/>
        <v>0</v>
      </c>
      <c r="AC37" s="35">
        <f t="shared" si="7"/>
        <v>0</v>
      </c>
      <c r="AD37" s="35">
        <f t="shared" si="8"/>
        <v>0</v>
      </c>
      <c r="AE37" s="35">
        <f t="shared" si="9"/>
        <v>0</v>
      </c>
      <c r="AF37" s="35">
        <f t="shared" si="10"/>
        <v>0</v>
      </c>
      <c r="AG37" s="35">
        <f t="shared" si="11"/>
        <v>0</v>
      </c>
      <c r="AH37" s="35">
        <f t="shared" si="12"/>
        <v>0</v>
      </c>
      <c r="AI37" s="12" t="s">
        <v>56</v>
      </c>
      <c r="AJ37" s="35">
        <f t="shared" si="13"/>
        <v>0</v>
      </c>
      <c r="AK37" s="35">
        <f t="shared" si="14"/>
        <v>0</v>
      </c>
      <c r="AL37" s="35">
        <f t="shared" si="15"/>
        <v>0</v>
      </c>
      <c r="AN37" s="35">
        <v>21</v>
      </c>
      <c r="AO37" s="35">
        <f>H37*0.961669588</f>
        <v>0</v>
      </c>
      <c r="AP37" s="35">
        <f>H37*(1-0.961669588)</f>
        <v>0</v>
      </c>
      <c r="AQ37" s="38" t="s">
        <v>65</v>
      </c>
      <c r="AV37" s="35">
        <f t="shared" si="16"/>
        <v>0</v>
      </c>
      <c r="AW37" s="35">
        <f t="shared" si="17"/>
        <v>0</v>
      </c>
      <c r="AX37" s="35">
        <f t="shared" si="18"/>
        <v>0</v>
      </c>
      <c r="AY37" s="38" t="s">
        <v>66</v>
      </c>
      <c r="AZ37" s="38" t="s">
        <v>67</v>
      </c>
      <c r="BA37" s="12" t="s">
        <v>68</v>
      </c>
      <c r="BC37" s="35">
        <f t="shared" si="19"/>
        <v>0</v>
      </c>
      <c r="BD37" s="35">
        <f t="shared" si="20"/>
        <v>0</v>
      </c>
      <c r="BE37" s="35">
        <v>0</v>
      </c>
      <c r="BF37" s="35">
        <f t="shared" si="21"/>
        <v>1.2449999999999999E-2</v>
      </c>
      <c r="BH37" s="35">
        <f t="shared" si="22"/>
        <v>0</v>
      </c>
      <c r="BI37" s="35">
        <f t="shared" si="23"/>
        <v>0</v>
      </c>
      <c r="BJ37" s="35">
        <f t="shared" si="24"/>
        <v>0</v>
      </c>
      <c r="BK37" s="38" t="s">
        <v>69</v>
      </c>
      <c r="BL37" s="35">
        <v>723</v>
      </c>
      <c r="BW37" s="35">
        <f t="shared" si="25"/>
        <v>21</v>
      </c>
      <c r="BX37" s="4" t="s">
        <v>139</v>
      </c>
    </row>
    <row r="38" spans="1:76" x14ac:dyDescent="0.25">
      <c r="A38" s="2" t="s">
        <v>140</v>
      </c>
      <c r="B38" s="3" t="s">
        <v>56</v>
      </c>
      <c r="C38" s="3" t="s">
        <v>141</v>
      </c>
      <c r="D38" s="70" t="s">
        <v>142</v>
      </c>
      <c r="E38" s="71"/>
      <c r="F38" s="3" t="s">
        <v>85</v>
      </c>
      <c r="G38" s="35">
        <v>1</v>
      </c>
      <c r="H38" s="68">
        <v>0</v>
      </c>
      <c r="I38" s="36">
        <v>21</v>
      </c>
      <c r="J38" s="35">
        <f t="shared" si="0"/>
        <v>0</v>
      </c>
      <c r="K38" s="35">
        <f t="shared" si="1"/>
        <v>0</v>
      </c>
      <c r="L38" s="35">
        <f t="shared" si="2"/>
        <v>0</v>
      </c>
      <c r="M38" s="35">
        <f t="shared" si="3"/>
        <v>0</v>
      </c>
      <c r="N38" s="35">
        <v>7.26E-3</v>
      </c>
      <c r="O38" s="35">
        <f t="shared" si="4"/>
        <v>7.26E-3</v>
      </c>
      <c r="P38" s="37" t="s">
        <v>64</v>
      </c>
      <c r="Z38" s="35">
        <f t="shared" si="5"/>
        <v>0</v>
      </c>
      <c r="AB38" s="35">
        <f t="shared" si="6"/>
        <v>0</v>
      </c>
      <c r="AC38" s="35">
        <f t="shared" si="7"/>
        <v>0</v>
      </c>
      <c r="AD38" s="35">
        <f t="shared" si="8"/>
        <v>0</v>
      </c>
      <c r="AE38" s="35">
        <f t="shared" si="9"/>
        <v>0</v>
      </c>
      <c r="AF38" s="35">
        <f t="shared" si="10"/>
        <v>0</v>
      </c>
      <c r="AG38" s="35">
        <f t="shared" si="11"/>
        <v>0</v>
      </c>
      <c r="AH38" s="35">
        <f t="shared" si="12"/>
        <v>0</v>
      </c>
      <c r="AI38" s="12" t="s">
        <v>56</v>
      </c>
      <c r="AJ38" s="35">
        <f t="shared" si="13"/>
        <v>0</v>
      </c>
      <c r="AK38" s="35">
        <f t="shared" si="14"/>
        <v>0</v>
      </c>
      <c r="AL38" s="35">
        <f t="shared" si="15"/>
        <v>0</v>
      </c>
      <c r="AN38" s="35">
        <v>21</v>
      </c>
      <c r="AO38" s="35">
        <f>H38*0.599072765</f>
        <v>0</v>
      </c>
      <c r="AP38" s="35">
        <f>H38*(1-0.599072765)</f>
        <v>0</v>
      </c>
      <c r="AQ38" s="38" t="s">
        <v>65</v>
      </c>
      <c r="AV38" s="35">
        <f t="shared" si="16"/>
        <v>0</v>
      </c>
      <c r="AW38" s="35">
        <f t="shared" si="17"/>
        <v>0</v>
      </c>
      <c r="AX38" s="35">
        <f t="shared" si="18"/>
        <v>0</v>
      </c>
      <c r="AY38" s="38" t="s">
        <v>66</v>
      </c>
      <c r="AZ38" s="38" t="s">
        <v>67</v>
      </c>
      <c r="BA38" s="12" t="s">
        <v>68</v>
      </c>
      <c r="BC38" s="35">
        <f t="shared" si="19"/>
        <v>0</v>
      </c>
      <c r="BD38" s="35">
        <f t="shared" si="20"/>
        <v>0</v>
      </c>
      <c r="BE38" s="35">
        <v>0</v>
      </c>
      <c r="BF38" s="35">
        <f t="shared" si="21"/>
        <v>7.26E-3</v>
      </c>
      <c r="BH38" s="35">
        <f t="shared" si="22"/>
        <v>0</v>
      </c>
      <c r="BI38" s="35">
        <f t="shared" si="23"/>
        <v>0</v>
      </c>
      <c r="BJ38" s="35">
        <f t="shared" si="24"/>
        <v>0</v>
      </c>
      <c r="BK38" s="38" t="s">
        <v>69</v>
      </c>
      <c r="BL38" s="35">
        <v>723</v>
      </c>
      <c r="BW38" s="35">
        <f t="shared" si="25"/>
        <v>21</v>
      </c>
      <c r="BX38" s="4" t="s">
        <v>142</v>
      </c>
    </row>
    <row r="39" spans="1:76" x14ac:dyDescent="0.25">
      <c r="A39" s="2" t="s">
        <v>143</v>
      </c>
      <c r="B39" s="3" t="s">
        <v>56</v>
      </c>
      <c r="C39" s="3" t="s">
        <v>144</v>
      </c>
      <c r="D39" s="70" t="s">
        <v>145</v>
      </c>
      <c r="E39" s="71"/>
      <c r="F39" s="3" t="s">
        <v>85</v>
      </c>
      <c r="G39" s="35">
        <v>1</v>
      </c>
      <c r="H39" s="68">
        <v>0</v>
      </c>
      <c r="I39" s="36">
        <v>21</v>
      </c>
      <c r="J39" s="35">
        <f t="shared" si="0"/>
        <v>0</v>
      </c>
      <c r="K39" s="35">
        <f t="shared" si="1"/>
        <v>0</v>
      </c>
      <c r="L39" s="35">
        <f t="shared" si="2"/>
        <v>0</v>
      </c>
      <c r="M39" s="35">
        <f t="shared" si="3"/>
        <v>0</v>
      </c>
      <c r="N39" s="35">
        <v>1.362E-2</v>
      </c>
      <c r="O39" s="35">
        <f t="shared" si="4"/>
        <v>1.362E-2</v>
      </c>
      <c r="P39" s="37" t="s">
        <v>64</v>
      </c>
      <c r="Z39" s="35">
        <f t="shared" si="5"/>
        <v>0</v>
      </c>
      <c r="AB39" s="35">
        <f t="shared" si="6"/>
        <v>0</v>
      </c>
      <c r="AC39" s="35">
        <f t="shared" si="7"/>
        <v>0</v>
      </c>
      <c r="AD39" s="35">
        <f t="shared" si="8"/>
        <v>0</v>
      </c>
      <c r="AE39" s="35">
        <f t="shared" si="9"/>
        <v>0</v>
      </c>
      <c r="AF39" s="35">
        <f t="shared" si="10"/>
        <v>0</v>
      </c>
      <c r="AG39" s="35">
        <f t="shared" si="11"/>
        <v>0</v>
      </c>
      <c r="AH39" s="35">
        <f t="shared" si="12"/>
        <v>0</v>
      </c>
      <c r="AI39" s="12" t="s">
        <v>56</v>
      </c>
      <c r="AJ39" s="35">
        <f t="shared" si="13"/>
        <v>0</v>
      </c>
      <c r="AK39" s="35">
        <f t="shared" si="14"/>
        <v>0</v>
      </c>
      <c r="AL39" s="35">
        <f t="shared" si="15"/>
        <v>0</v>
      </c>
      <c r="AN39" s="35">
        <v>21</v>
      </c>
      <c r="AO39" s="35">
        <f>H39*0.614941714</f>
        <v>0</v>
      </c>
      <c r="AP39" s="35">
        <f>H39*(1-0.614941714)</f>
        <v>0</v>
      </c>
      <c r="AQ39" s="38" t="s">
        <v>65</v>
      </c>
      <c r="AV39" s="35">
        <f t="shared" si="16"/>
        <v>0</v>
      </c>
      <c r="AW39" s="35">
        <f t="shared" si="17"/>
        <v>0</v>
      </c>
      <c r="AX39" s="35">
        <f t="shared" si="18"/>
        <v>0</v>
      </c>
      <c r="AY39" s="38" t="s">
        <v>66</v>
      </c>
      <c r="AZ39" s="38" t="s">
        <v>67</v>
      </c>
      <c r="BA39" s="12" t="s">
        <v>68</v>
      </c>
      <c r="BC39" s="35">
        <f t="shared" si="19"/>
        <v>0</v>
      </c>
      <c r="BD39" s="35">
        <f t="shared" si="20"/>
        <v>0</v>
      </c>
      <c r="BE39" s="35">
        <v>0</v>
      </c>
      <c r="BF39" s="35">
        <f t="shared" si="21"/>
        <v>1.362E-2</v>
      </c>
      <c r="BH39" s="35">
        <f t="shared" si="22"/>
        <v>0</v>
      </c>
      <c r="BI39" s="35">
        <f t="shared" si="23"/>
        <v>0</v>
      </c>
      <c r="BJ39" s="35">
        <f t="shared" si="24"/>
        <v>0</v>
      </c>
      <c r="BK39" s="38" t="s">
        <v>69</v>
      </c>
      <c r="BL39" s="35">
        <v>723</v>
      </c>
      <c r="BW39" s="35">
        <f t="shared" si="25"/>
        <v>21</v>
      </c>
      <c r="BX39" s="4" t="s">
        <v>145</v>
      </c>
    </row>
    <row r="40" spans="1:76" x14ac:dyDescent="0.25">
      <c r="A40" s="2" t="s">
        <v>146</v>
      </c>
      <c r="B40" s="3" t="s">
        <v>56</v>
      </c>
      <c r="C40" s="3" t="s">
        <v>147</v>
      </c>
      <c r="D40" s="70" t="s">
        <v>148</v>
      </c>
      <c r="E40" s="71"/>
      <c r="F40" s="3" t="s">
        <v>63</v>
      </c>
      <c r="G40" s="35">
        <v>5</v>
      </c>
      <c r="H40" s="68">
        <v>0</v>
      </c>
      <c r="I40" s="36">
        <v>21</v>
      </c>
      <c r="J40" s="35">
        <f t="shared" si="0"/>
        <v>0</v>
      </c>
      <c r="K40" s="35">
        <f t="shared" si="1"/>
        <v>0</v>
      </c>
      <c r="L40" s="35">
        <f t="shared" si="2"/>
        <v>0</v>
      </c>
      <c r="M40" s="35">
        <f t="shared" si="3"/>
        <v>0</v>
      </c>
      <c r="N40" s="35">
        <v>2E-3</v>
      </c>
      <c r="O40" s="35">
        <f t="shared" si="4"/>
        <v>0.01</v>
      </c>
      <c r="P40" s="37" t="s">
        <v>64</v>
      </c>
      <c r="Z40" s="35">
        <f t="shared" si="5"/>
        <v>0</v>
      </c>
      <c r="AB40" s="35">
        <f t="shared" si="6"/>
        <v>0</v>
      </c>
      <c r="AC40" s="35">
        <f t="shared" si="7"/>
        <v>0</v>
      </c>
      <c r="AD40" s="35">
        <f t="shared" si="8"/>
        <v>0</v>
      </c>
      <c r="AE40" s="35">
        <f t="shared" si="9"/>
        <v>0</v>
      </c>
      <c r="AF40" s="35">
        <f t="shared" si="10"/>
        <v>0</v>
      </c>
      <c r="AG40" s="35">
        <f t="shared" si="11"/>
        <v>0</v>
      </c>
      <c r="AH40" s="35">
        <f t="shared" si="12"/>
        <v>0</v>
      </c>
      <c r="AI40" s="12" t="s">
        <v>56</v>
      </c>
      <c r="AJ40" s="35">
        <f t="shared" si="13"/>
        <v>0</v>
      </c>
      <c r="AK40" s="35">
        <f t="shared" si="14"/>
        <v>0</v>
      </c>
      <c r="AL40" s="35">
        <f t="shared" si="15"/>
        <v>0</v>
      </c>
      <c r="AN40" s="35">
        <v>21</v>
      </c>
      <c r="AO40" s="35">
        <f>H40*0.787267721</f>
        <v>0</v>
      </c>
      <c r="AP40" s="35">
        <f>H40*(1-0.787267721)</f>
        <v>0</v>
      </c>
      <c r="AQ40" s="38" t="s">
        <v>65</v>
      </c>
      <c r="AV40" s="35">
        <f t="shared" si="16"/>
        <v>0</v>
      </c>
      <c r="AW40" s="35">
        <f t="shared" si="17"/>
        <v>0</v>
      </c>
      <c r="AX40" s="35">
        <f t="shared" si="18"/>
        <v>0</v>
      </c>
      <c r="AY40" s="38" t="s">
        <v>66</v>
      </c>
      <c r="AZ40" s="38" t="s">
        <v>67</v>
      </c>
      <c r="BA40" s="12" t="s">
        <v>68</v>
      </c>
      <c r="BC40" s="35">
        <f t="shared" si="19"/>
        <v>0</v>
      </c>
      <c r="BD40" s="35">
        <f t="shared" si="20"/>
        <v>0</v>
      </c>
      <c r="BE40" s="35">
        <v>0</v>
      </c>
      <c r="BF40" s="35">
        <f t="shared" si="21"/>
        <v>0.01</v>
      </c>
      <c r="BH40" s="35">
        <f t="shared" si="22"/>
        <v>0</v>
      </c>
      <c r="BI40" s="35">
        <f t="shared" si="23"/>
        <v>0</v>
      </c>
      <c r="BJ40" s="35">
        <f t="shared" si="24"/>
        <v>0</v>
      </c>
      <c r="BK40" s="38" t="s">
        <v>69</v>
      </c>
      <c r="BL40" s="35">
        <v>723</v>
      </c>
      <c r="BW40" s="35">
        <f t="shared" si="25"/>
        <v>21</v>
      </c>
      <c r="BX40" s="4" t="s">
        <v>148</v>
      </c>
    </row>
    <row r="41" spans="1:76" x14ac:dyDescent="0.25">
      <c r="A41" s="2" t="s">
        <v>149</v>
      </c>
      <c r="B41" s="3" t="s">
        <v>56</v>
      </c>
      <c r="C41" s="3" t="s">
        <v>150</v>
      </c>
      <c r="D41" s="70" t="s">
        <v>151</v>
      </c>
      <c r="E41" s="71"/>
      <c r="F41" s="3" t="s">
        <v>85</v>
      </c>
      <c r="G41" s="35">
        <v>10</v>
      </c>
      <c r="H41" s="68">
        <v>0</v>
      </c>
      <c r="I41" s="36">
        <v>21</v>
      </c>
      <c r="J41" s="35">
        <f t="shared" si="0"/>
        <v>0</v>
      </c>
      <c r="K41" s="35">
        <f t="shared" si="1"/>
        <v>0</v>
      </c>
      <c r="L41" s="35">
        <f t="shared" si="2"/>
        <v>0</v>
      </c>
      <c r="M41" s="35">
        <f t="shared" si="3"/>
        <v>0</v>
      </c>
      <c r="N41" s="35">
        <v>0</v>
      </c>
      <c r="O41" s="35">
        <f t="shared" si="4"/>
        <v>0</v>
      </c>
      <c r="P41" s="37" t="s">
        <v>64</v>
      </c>
      <c r="Z41" s="35">
        <f t="shared" si="5"/>
        <v>0</v>
      </c>
      <c r="AB41" s="35">
        <f t="shared" si="6"/>
        <v>0</v>
      </c>
      <c r="AC41" s="35">
        <f t="shared" si="7"/>
        <v>0</v>
      </c>
      <c r="AD41" s="35">
        <f t="shared" si="8"/>
        <v>0</v>
      </c>
      <c r="AE41" s="35">
        <f t="shared" si="9"/>
        <v>0</v>
      </c>
      <c r="AF41" s="35">
        <f t="shared" si="10"/>
        <v>0</v>
      </c>
      <c r="AG41" s="35">
        <f t="shared" si="11"/>
        <v>0</v>
      </c>
      <c r="AH41" s="35">
        <f t="shared" si="12"/>
        <v>0</v>
      </c>
      <c r="AI41" s="12" t="s">
        <v>56</v>
      </c>
      <c r="AJ41" s="35">
        <f t="shared" si="13"/>
        <v>0</v>
      </c>
      <c r="AK41" s="35">
        <f t="shared" si="14"/>
        <v>0</v>
      </c>
      <c r="AL41" s="35">
        <f t="shared" si="15"/>
        <v>0</v>
      </c>
      <c r="AN41" s="35">
        <v>21</v>
      </c>
      <c r="AO41" s="35">
        <f>H41*0</f>
        <v>0</v>
      </c>
      <c r="AP41" s="35">
        <f>H41*(1-0)</f>
        <v>0</v>
      </c>
      <c r="AQ41" s="38" t="s">
        <v>65</v>
      </c>
      <c r="AV41" s="35">
        <f t="shared" si="16"/>
        <v>0</v>
      </c>
      <c r="AW41" s="35">
        <f t="shared" si="17"/>
        <v>0</v>
      </c>
      <c r="AX41" s="35">
        <f t="shared" si="18"/>
        <v>0</v>
      </c>
      <c r="AY41" s="38" t="s">
        <v>66</v>
      </c>
      <c r="AZ41" s="38" t="s">
        <v>67</v>
      </c>
      <c r="BA41" s="12" t="s">
        <v>68</v>
      </c>
      <c r="BC41" s="35">
        <f t="shared" si="19"/>
        <v>0</v>
      </c>
      <c r="BD41" s="35">
        <f t="shared" si="20"/>
        <v>0</v>
      </c>
      <c r="BE41" s="35">
        <v>0</v>
      </c>
      <c r="BF41" s="35">
        <f t="shared" si="21"/>
        <v>0</v>
      </c>
      <c r="BH41" s="35">
        <f t="shared" si="22"/>
        <v>0</v>
      </c>
      <c r="BI41" s="35">
        <f t="shared" si="23"/>
        <v>0</v>
      </c>
      <c r="BJ41" s="35">
        <f t="shared" si="24"/>
        <v>0</v>
      </c>
      <c r="BK41" s="38" t="s">
        <v>69</v>
      </c>
      <c r="BL41" s="35">
        <v>723</v>
      </c>
      <c r="BW41" s="35">
        <f t="shared" si="25"/>
        <v>21</v>
      </c>
      <c r="BX41" s="4" t="s">
        <v>151</v>
      </c>
    </row>
    <row r="42" spans="1:76" x14ac:dyDescent="0.25">
      <c r="A42" s="2" t="s">
        <v>152</v>
      </c>
      <c r="B42" s="3" t="s">
        <v>56</v>
      </c>
      <c r="C42" s="3" t="s">
        <v>153</v>
      </c>
      <c r="D42" s="70" t="s">
        <v>154</v>
      </c>
      <c r="E42" s="71"/>
      <c r="F42" s="3" t="s">
        <v>155</v>
      </c>
      <c r="G42" s="35">
        <v>1</v>
      </c>
      <c r="H42" s="68">
        <v>0</v>
      </c>
      <c r="I42" s="36">
        <v>21</v>
      </c>
      <c r="J42" s="35">
        <f t="shared" si="0"/>
        <v>0</v>
      </c>
      <c r="K42" s="35">
        <f t="shared" si="1"/>
        <v>0</v>
      </c>
      <c r="L42" s="35">
        <f t="shared" si="2"/>
        <v>0</v>
      </c>
      <c r="M42" s="35">
        <f t="shared" si="3"/>
        <v>0</v>
      </c>
      <c r="N42" s="35">
        <v>0</v>
      </c>
      <c r="O42" s="35">
        <f t="shared" si="4"/>
        <v>0</v>
      </c>
      <c r="P42" s="37" t="s">
        <v>64</v>
      </c>
      <c r="Z42" s="35">
        <f t="shared" si="5"/>
        <v>0</v>
      </c>
      <c r="AB42" s="35">
        <f t="shared" si="6"/>
        <v>0</v>
      </c>
      <c r="AC42" s="35">
        <f t="shared" si="7"/>
        <v>0</v>
      </c>
      <c r="AD42" s="35">
        <f t="shared" si="8"/>
        <v>0</v>
      </c>
      <c r="AE42" s="35">
        <f t="shared" si="9"/>
        <v>0</v>
      </c>
      <c r="AF42" s="35">
        <f t="shared" si="10"/>
        <v>0</v>
      </c>
      <c r="AG42" s="35">
        <f t="shared" si="11"/>
        <v>0</v>
      </c>
      <c r="AH42" s="35">
        <f t="shared" si="12"/>
        <v>0</v>
      </c>
      <c r="AI42" s="12" t="s">
        <v>56</v>
      </c>
      <c r="AJ42" s="35">
        <f t="shared" si="13"/>
        <v>0</v>
      </c>
      <c r="AK42" s="35">
        <f t="shared" si="14"/>
        <v>0</v>
      </c>
      <c r="AL42" s="35">
        <f t="shared" si="15"/>
        <v>0</v>
      </c>
      <c r="AN42" s="35">
        <v>21</v>
      </c>
      <c r="AO42" s="35">
        <f>H42*1</f>
        <v>0</v>
      </c>
      <c r="AP42" s="35">
        <f>H42*(1-1)</f>
        <v>0</v>
      </c>
      <c r="AQ42" s="38" t="s">
        <v>65</v>
      </c>
      <c r="AV42" s="35">
        <f t="shared" si="16"/>
        <v>0</v>
      </c>
      <c r="AW42" s="35">
        <f t="shared" si="17"/>
        <v>0</v>
      </c>
      <c r="AX42" s="35">
        <f t="shared" si="18"/>
        <v>0</v>
      </c>
      <c r="AY42" s="38" t="s">
        <v>66</v>
      </c>
      <c r="AZ42" s="38" t="s">
        <v>67</v>
      </c>
      <c r="BA42" s="12" t="s">
        <v>68</v>
      </c>
      <c r="BC42" s="35">
        <f t="shared" si="19"/>
        <v>0</v>
      </c>
      <c r="BD42" s="35">
        <f t="shared" si="20"/>
        <v>0</v>
      </c>
      <c r="BE42" s="35">
        <v>0</v>
      </c>
      <c r="BF42" s="35">
        <f t="shared" si="21"/>
        <v>0</v>
      </c>
      <c r="BH42" s="35">
        <f t="shared" si="22"/>
        <v>0</v>
      </c>
      <c r="BI42" s="35">
        <f t="shared" si="23"/>
        <v>0</v>
      </c>
      <c r="BJ42" s="35">
        <f t="shared" si="24"/>
        <v>0</v>
      </c>
      <c r="BK42" s="38" t="s">
        <v>156</v>
      </c>
      <c r="BL42" s="35">
        <v>723</v>
      </c>
      <c r="BW42" s="35">
        <f t="shared" si="25"/>
        <v>21</v>
      </c>
      <c r="BX42" s="4" t="s">
        <v>154</v>
      </c>
    </row>
    <row r="43" spans="1:76" x14ac:dyDescent="0.25">
      <c r="A43" s="31" t="s">
        <v>55</v>
      </c>
      <c r="B43" s="32" t="s">
        <v>56</v>
      </c>
      <c r="C43" s="32" t="s">
        <v>157</v>
      </c>
      <c r="D43" s="128" t="s">
        <v>158</v>
      </c>
      <c r="E43" s="129"/>
      <c r="F43" s="33" t="s">
        <v>4</v>
      </c>
      <c r="G43" s="33" t="s">
        <v>4</v>
      </c>
      <c r="H43" s="33" t="s">
        <v>4</v>
      </c>
      <c r="I43" s="33" t="s">
        <v>4</v>
      </c>
      <c r="J43" s="1">
        <f>SUM(J44:J44)</f>
        <v>0</v>
      </c>
      <c r="K43" s="1">
        <f>SUM(K44:K44)</f>
        <v>0</v>
      </c>
      <c r="L43" s="1">
        <f>SUM(L44:L44)</f>
        <v>0</v>
      </c>
      <c r="M43" s="1">
        <f>SUM(M44:M44)</f>
        <v>0</v>
      </c>
      <c r="N43" s="12" t="s">
        <v>55</v>
      </c>
      <c r="O43" s="1">
        <f>SUM(O44:O44)</f>
        <v>1.7000000000000001E-2</v>
      </c>
      <c r="P43" s="34" t="s">
        <v>55</v>
      </c>
      <c r="AI43" s="12" t="s">
        <v>56</v>
      </c>
      <c r="AS43" s="1">
        <f>SUM(AJ44:AJ44)</f>
        <v>0</v>
      </c>
      <c r="AT43" s="1">
        <f>SUM(AK44:AK44)</f>
        <v>0</v>
      </c>
      <c r="AU43" s="1">
        <f>SUM(AL44:AL44)</f>
        <v>0</v>
      </c>
    </row>
    <row r="44" spans="1:76" x14ac:dyDescent="0.25">
      <c r="A44" s="2" t="s">
        <v>159</v>
      </c>
      <c r="B44" s="3" t="s">
        <v>56</v>
      </c>
      <c r="C44" s="3" t="s">
        <v>160</v>
      </c>
      <c r="D44" s="70" t="s">
        <v>161</v>
      </c>
      <c r="E44" s="71"/>
      <c r="F44" s="3" t="s">
        <v>85</v>
      </c>
      <c r="G44" s="35">
        <v>2</v>
      </c>
      <c r="H44" s="68">
        <v>0</v>
      </c>
      <c r="I44" s="36">
        <v>21</v>
      </c>
      <c r="J44" s="35">
        <f>ROUND(G44*AO44,2)</f>
        <v>0</v>
      </c>
      <c r="K44" s="35">
        <f>ROUND(G44*AP44,2)</f>
        <v>0</v>
      </c>
      <c r="L44" s="35">
        <f>ROUND(G44*H44,2)</f>
        <v>0</v>
      </c>
      <c r="M44" s="35">
        <f>L44*(1+BW44/100)</f>
        <v>0</v>
      </c>
      <c r="N44" s="35">
        <v>8.5000000000000006E-3</v>
      </c>
      <c r="O44" s="35">
        <f>G44*N44</f>
        <v>1.7000000000000001E-2</v>
      </c>
      <c r="P44" s="37" t="s">
        <v>64</v>
      </c>
      <c r="Z44" s="35">
        <f>ROUND(IF(AQ44="5",BJ44,0),2)</f>
        <v>0</v>
      </c>
      <c r="AB44" s="35">
        <f>ROUND(IF(AQ44="1",BH44,0),2)</f>
        <v>0</v>
      </c>
      <c r="AC44" s="35">
        <f>ROUND(IF(AQ44="1",BI44,0),2)</f>
        <v>0</v>
      </c>
      <c r="AD44" s="35">
        <f>ROUND(IF(AQ44="7",BH44,0),2)</f>
        <v>0</v>
      </c>
      <c r="AE44" s="35">
        <f>ROUND(IF(AQ44="7",BI44,0),2)</f>
        <v>0</v>
      </c>
      <c r="AF44" s="35">
        <f>ROUND(IF(AQ44="2",BH44,0),2)</f>
        <v>0</v>
      </c>
      <c r="AG44" s="35">
        <f>ROUND(IF(AQ44="2",BI44,0),2)</f>
        <v>0</v>
      </c>
      <c r="AH44" s="35">
        <f>ROUND(IF(AQ44="0",BJ44,0),2)</f>
        <v>0</v>
      </c>
      <c r="AI44" s="12" t="s">
        <v>56</v>
      </c>
      <c r="AJ44" s="35">
        <f>IF(AN44=0,L44,0)</f>
        <v>0</v>
      </c>
      <c r="AK44" s="35">
        <f>IF(AN44=15,L44,0)</f>
        <v>0</v>
      </c>
      <c r="AL44" s="35">
        <f>IF(AN44=21,L44,0)</f>
        <v>0</v>
      </c>
      <c r="AN44" s="35">
        <v>21</v>
      </c>
      <c r="AO44" s="35">
        <f>H44*0.913931861</f>
        <v>0</v>
      </c>
      <c r="AP44" s="35">
        <f>H44*(1-0.913931861)</f>
        <v>0</v>
      </c>
      <c r="AQ44" s="38" t="s">
        <v>65</v>
      </c>
      <c r="AV44" s="35">
        <f>ROUND(AW44+AX44,2)</f>
        <v>0</v>
      </c>
      <c r="AW44" s="35">
        <f>ROUND(G44*AO44,2)</f>
        <v>0</v>
      </c>
      <c r="AX44" s="35">
        <f>ROUND(G44*AP44,2)</f>
        <v>0</v>
      </c>
      <c r="AY44" s="38" t="s">
        <v>162</v>
      </c>
      <c r="AZ44" s="38" t="s">
        <v>163</v>
      </c>
      <c r="BA44" s="12" t="s">
        <v>68</v>
      </c>
      <c r="BC44" s="35">
        <f>AW44+AX44</f>
        <v>0</v>
      </c>
      <c r="BD44" s="35">
        <f>H44/(100-BE44)*100</f>
        <v>0</v>
      </c>
      <c r="BE44" s="35">
        <v>0</v>
      </c>
      <c r="BF44" s="35">
        <f>O44</f>
        <v>1.7000000000000001E-2</v>
      </c>
      <c r="BH44" s="35">
        <f>G44*AO44</f>
        <v>0</v>
      </c>
      <c r="BI44" s="35">
        <f>G44*AP44</f>
        <v>0</v>
      </c>
      <c r="BJ44" s="35">
        <f>G44*H44</f>
        <v>0</v>
      </c>
      <c r="BK44" s="38" t="s">
        <v>69</v>
      </c>
      <c r="BL44" s="35">
        <v>734</v>
      </c>
      <c r="BW44" s="35">
        <f>I44</f>
        <v>21</v>
      </c>
      <c r="BX44" s="4" t="s">
        <v>161</v>
      </c>
    </row>
    <row r="45" spans="1:76" x14ac:dyDescent="0.25">
      <c r="A45" s="31" t="s">
        <v>55</v>
      </c>
      <c r="B45" s="32" t="s">
        <v>56</v>
      </c>
      <c r="C45" s="32" t="s">
        <v>164</v>
      </c>
      <c r="D45" s="128" t="s">
        <v>165</v>
      </c>
      <c r="E45" s="129"/>
      <c r="F45" s="33" t="s">
        <v>4</v>
      </c>
      <c r="G45" s="33" t="s">
        <v>4</v>
      </c>
      <c r="H45" s="33" t="s">
        <v>4</v>
      </c>
      <c r="I45" s="33" t="s">
        <v>4</v>
      </c>
      <c r="J45" s="1">
        <f>SUM(J46:J47)</f>
        <v>0</v>
      </c>
      <c r="K45" s="1">
        <f>SUM(K46:K47)</f>
        <v>0</v>
      </c>
      <c r="L45" s="1">
        <f>SUM(L46:L47)</f>
        <v>0</v>
      </c>
      <c r="M45" s="1">
        <f>SUM(M46:M47)</f>
        <v>0</v>
      </c>
      <c r="N45" s="12" t="s">
        <v>55</v>
      </c>
      <c r="O45" s="1">
        <f>SUM(O46:O47)</f>
        <v>1.2E-2</v>
      </c>
      <c r="P45" s="34" t="s">
        <v>55</v>
      </c>
      <c r="AI45" s="12" t="s">
        <v>56</v>
      </c>
      <c r="AS45" s="1">
        <f>SUM(AJ46:AJ47)</f>
        <v>0</v>
      </c>
      <c r="AT45" s="1">
        <f>SUM(AK46:AK47)</f>
        <v>0</v>
      </c>
      <c r="AU45" s="1">
        <f>SUM(AL46:AL47)</f>
        <v>0</v>
      </c>
    </row>
    <row r="46" spans="1:76" x14ac:dyDescent="0.25">
      <c r="A46" s="2" t="s">
        <v>166</v>
      </c>
      <c r="B46" s="3" t="s">
        <v>56</v>
      </c>
      <c r="C46" s="3" t="s">
        <v>167</v>
      </c>
      <c r="D46" s="70" t="s">
        <v>168</v>
      </c>
      <c r="E46" s="71"/>
      <c r="F46" s="3" t="s">
        <v>63</v>
      </c>
      <c r="G46" s="35">
        <v>60</v>
      </c>
      <c r="H46" s="68">
        <v>0</v>
      </c>
      <c r="I46" s="36">
        <v>21</v>
      </c>
      <c r="J46" s="35">
        <f>ROUND(G46*AO46,2)</f>
        <v>0</v>
      </c>
      <c r="K46" s="35">
        <f>ROUND(G46*AP46,2)</f>
        <v>0</v>
      </c>
      <c r="L46" s="35">
        <f>ROUND(G46*H46,2)</f>
        <v>0</v>
      </c>
      <c r="M46" s="35">
        <f>L46*(1+BW46/100)</f>
        <v>0</v>
      </c>
      <c r="N46" s="35">
        <v>9.0000000000000006E-5</v>
      </c>
      <c r="O46" s="35">
        <f>G46*N46</f>
        <v>5.4000000000000003E-3</v>
      </c>
      <c r="P46" s="37" t="s">
        <v>64</v>
      </c>
      <c r="Z46" s="35">
        <f>ROUND(IF(AQ46="5",BJ46,0),2)</f>
        <v>0</v>
      </c>
      <c r="AB46" s="35">
        <f>ROUND(IF(AQ46="1",BH46,0),2)</f>
        <v>0</v>
      </c>
      <c r="AC46" s="35">
        <f>ROUND(IF(AQ46="1",BI46,0),2)</f>
        <v>0</v>
      </c>
      <c r="AD46" s="35">
        <f>ROUND(IF(AQ46="7",BH46,0),2)</f>
        <v>0</v>
      </c>
      <c r="AE46" s="35">
        <f>ROUND(IF(AQ46="7",BI46,0),2)</f>
        <v>0</v>
      </c>
      <c r="AF46" s="35">
        <f>ROUND(IF(AQ46="2",BH46,0),2)</f>
        <v>0</v>
      </c>
      <c r="AG46" s="35">
        <f>ROUND(IF(AQ46="2",BI46,0),2)</f>
        <v>0</v>
      </c>
      <c r="AH46" s="35">
        <f>ROUND(IF(AQ46="0",BJ46,0),2)</f>
        <v>0</v>
      </c>
      <c r="AI46" s="12" t="s">
        <v>56</v>
      </c>
      <c r="AJ46" s="35">
        <f>IF(AN46=0,L46,0)</f>
        <v>0</v>
      </c>
      <c r="AK46" s="35">
        <f>IF(AN46=15,L46,0)</f>
        <v>0</v>
      </c>
      <c r="AL46" s="35">
        <f>IF(AN46=21,L46,0)</f>
        <v>0</v>
      </c>
      <c r="AN46" s="35">
        <v>21</v>
      </c>
      <c r="AO46" s="35">
        <f>H46*0.19406955</f>
        <v>0</v>
      </c>
      <c r="AP46" s="35">
        <f>H46*(1-0.19406955)</f>
        <v>0</v>
      </c>
      <c r="AQ46" s="38" t="s">
        <v>65</v>
      </c>
      <c r="AV46" s="35">
        <f>ROUND(AW46+AX46,2)</f>
        <v>0</v>
      </c>
      <c r="AW46" s="35">
        <f>ROUND(G46*AO46,2)</f>
        <v>0</v>
      </c>
      <c r="AX46" s="35">
        <f>ROUND(G46*AP46,2)</f>
        <v>0</v>
      </c>
      <c r="AY46" s="38" t="s">
        <v>169</v>
      </c>
      <c r="AZ46" s="38" t="s">
        <v>170</v>
      </c>
      <c r="BA46" s="12" t="s">
        <v>68</v>
      </c>
      <c r="BC46" s="35">
        <f>AW46+AX46</f>
        <v>0</v>
      </c>
      <c r="BD46" s="35">
        <f>H46/(100-BE46)*100</f>
        <v>0</v>
      </c>
      <c r="BE46" s="35">
        <v>0</v>
      </c>
      <c r="BF46" s="35">
        <f>O46</f>
        <v>5.4000000000000003E-3</v>
      </c>
      <c r="BH46" s="35">
        <f>G46*AO46</f>
        <v>0</v>
      </c>
      <c r="BI46" s="35">
        <f>G46*AP46</f>
        <v>0</v>
      </c>
      <c r="BJ46" s="35">
        <f>G46*H46</f>
        <v>0</v>
      </c>
      <c r="BK46" s="38" t="s">
        <v>69</v>
      </c>
      <c r="BL46" s="35">
        <v>783</v>
      </c>
      <c r="BW46" s="35">
        <f>I46</f>
        <v>21</v>
      </c>
      <c r="BX46" s="4" t="s">
        <v>168</v>
      </c>
    </row>
    <row r="47" spans="1:76" x14ac:dyDescent="0.25">
      <c r="A47" s="2" t="s">
        <v>171</v>
      </c>
      <c r="B47" s="3" t="s">
        <v>56</v>
      </c>
      <c r="C47" s="3" t="s">
        <v>172</v>
      </c>
      <c r="D47" s="70" t="s">
        <v>173</v>
      </c>
      <c r="E47" s="71"/>
      <c r="F47" s="3" t="s">
        <v>63</v>
      </c>
      <c r="G47" s="35">
        <v>55</v>
      </c>
      <c r="H47" s="68">
        <v>0</v>
      </c>
      <c r="I47" s="36">
        <v>21</v>
      </c>
      <c r="J47" s="35">
        <f>ROUND(G47*AO47,2)</f>
        <v>0</v>
      </c>
      <c r="K47" s="35">
        <f>ROUND(G47*AP47,2)</f>
        <v>0</v>
      </c>
      <c r="L47" s="35">
        <f>ROUND(G47*H47,2)</f>
        <v>0</v>
      </c>
      <c r="M47" s="35">
        <f>L47*(1+BW47/100)</f>
        <v>0</v>
      </c>
      <c r="N47" s="35">
        <v>1.2E-4</v>
      </c>
      <c r="O47" s="35">
        <f>G47*N47</f>
        <v>6.6E-3</v>
      </c>
      <c r="P47" s="37" t="s">
        <v>64</v>
      </c>
      <c r="Z47" s="35">
        <f>ROUND(IF(AQ47="5",BJ47,0),2)</f>
        <v>0</v>
      </c>
      <c r="AB47" s="35">
        <f>ROUND(IF(AQ47="1",BH47,0),2)</f>
        <v>0</v>
      </c>
      <c r="AC47" s="35">
        <f>ROUND(IF(AQ47="1",BI47,0),2)</f>
        <v>0</v>
      </c>
      <c r="AD47" s="35">
        <f>ROUND(IF(AQ47="7",BH47,0),2)</f>
        <v>0</v>
      </c>
      <c r="AE47" s="35">
        <f>ROUND(IF(AQ47="7",BI47,0),2)</f>
        <v>0</v>
      </c>
      <c r="AF47" s="35">
        <f>ROUND(IF(AQ47="2",BH47,0),2)</f>
        <v>0</v>
      </c>
      <c r="AG47" s="35">
        <f>ROUND(IF(AQ47="2",BI47,0),2)</f>
        <v>0</v>
      </c>
      <c r="AH47" s="35">
        <f>ROUND(IF(AQ47="0",BJ47,0),2)</f>
        <v>0</v>
      </c>
      <c r="AI47" s="12" t="s">
        <v>56</v>
      </c>
      <c r="AJ47" s="35">
        <f>IF(AN47=0,L47,0)</f>
        <v>0</v>
      </c>
      <c r="AK47" s="35">
        <f>IF(AN47=15,L47,0)</f>
        <v>0</v>
      </c>
      <c r="AL47" s="35">
        <f>IF(AN47=21,L47,0)</f>
        <v>0</v>
      </c>
      <c r="AN47" s="35">
        <v>21</v>
      </c>
      <c r="AO47" s="35">
        <f>H47*0.198211382</f>
        <v>0</v>
      </c>
      <c r="AP47" s="35">
        <f>H47*(1-0.198211382)</f>
        <v>0</v>
      </c>
      <c r="AQ47" s="38" t="s">
        <v>65</v>
      </c>
      <c r="AV47" s="35">
        <f>ROUND(AW47+AX47,2)</f>
        <v>0</v>
      </c>
      <c r="AW47" s="35">
        <f>ROUND(G47*AO47,2)</f>
        <v>0</v>
      </c>
      <c r="AX47" s="35">
        <f>ROUND(G47*AP47,2)</f>
        <v>0</v>
      </c>
      <c r="AY47" s="38" t="s">
        <v>169</v>
      </c>
      <c r="AZ47" s="38" t="s">
        <v>170</v>
      </c>
      <c r="BA47" s="12" t="s">
        <v>68</v>
      </c>
      <c r="BC47" s="35">
        <f>AW47+AX47</f>
        <v>0</v>
      </c>
      <c r="BD47" s="35">
        <f>H47/(100-BE47)*100</f>
        <v>0</v>
      </c>
      <c r="BE47" s="35">
        <v>0</v>
      </c>
      <c r="BF47" s="35">
        <f>O47</f>
        <v>6.6E-3</v>
      </c>
      <c r="BH47" s="35">
        <f>G47*AO47</f>
        <v>0</v>
      </c>
      <c r="BI47" s="35">
        <f>G47*AP47</f>
        <v>0</v>
      </c>
      <c r="BJ47" s="35">
        <f>G47*H47</f>
        <v>0</v>
      </c>
      <c r="BK47" s="38" t="s">
        <v>69</v>
      </c>
      <c r="BL47" s="35">
        <v>783</v>
      </c>
      <c r="BW47" s="35">
        <f>I47</f>
        <v>21</v>
      </c>
      <c r="BX47" s="4" t="s">
        <v>173</v>
      </c>
    </row>
    <row r="48" spans="1:76" x14ac:dyDescent="0.25">
      <c r="A48" s="31" t="s">
        <v>55</v>
      </c>
      <c r="B48" s="32" t="s">
        <v>56</v>
      </c>
      <c r="C48" s="32" t="s">
        <v>174</v>
      </c>
      <c r="D48" s="128" t="s">
        <v>175</v>
      </c>
      <c r="E48" s="129"/>
      <c r="F48" s="33" t="s">
        <v>4</v>
      </c>
      <c r="G48" s="33" t="s">
        <v>4</v>
      </c>
      <c r="H48" s="33" t="s">
        <v>4</v>
      </c>
      <c r="I48" s="33" t="s">
        <v>4</v>
      </c>
      <c r="J48" s="1">
        <f>SUM(J49:J50)</f>
        <v>0</v>
      </c>
      <c r="K48" s="1">
        <f>SUM(K49:K50)</f>
        <v>0</v>
      </c>
      <c r="L48" s="1">
        <f>SUM(L49:L50)</f>
        <v>0</v>
      </c>
      <c r="M48" s="1">
        <f>SUM(M49:M50)</f>
        <v>0</v>
      </c>
      <c r="N48" s="12" t="s">
        <v>55</v>
      </c>
      <c r="O48" s="1">
        <f>SUM(O49:O50)</f>
        <v>0</v>
      </c>
      <c r="P48" s="34" t="s">
        <v>55</v>
      </c>
      <c r="AI48" s="12" t="s">
        <v>56</v>
      </c>
      <c r="AS48" s="1">
        <f>SUM(AJ49:AJ50)</f>
        <v>0</v>
      </c>
      <c r="AT48" s="1">
        <f>SUM(AK49:AK50)</f>
        <v>0</v>
      </c>
      <c r="AU48" s="1">
        <f>SUM(AL49:AL50)</f>
        <v>0</v>
      </c>
    </row>
    <row r="49" spans="1:76" x14ac:dyDescent="0.25">
      <c r="A49" s="2" t="s">
        <v>176</v>
      </c>
      <c r="B49" s="3" t="s">
        <v>56</v>
      </c>
      <c r="C49" s="3" t="s">
        <v>177</v>
      </c>
      <c r="D49" s="70" t="s">
        <v>178</v>
      </c>
      <c r="E49" s="71"/>
      <c r="F49" s="3" t="s">
        <v>179</v>
      </c>
      <c r="G49" s="35">
        <v>24</v>
      </c>
      <c r="H49" s="68">
        <v>0</v>
      </c>
      <c r="I49" s="36">
        <v>21</v>
      </c>
      <c r="J49" s="35">
        <f>ROUND(G49*AO49,2)</f>
        <v>0</v>
      </c>
      <c r="K49" s="35">
        <f>ROUND(G49*AP49,2)</f>
        <v>0</v>
      </c>
      <c r="L49" s="35">
        <f>ROUND(G49*H49,2)</f>
        <v>0</v>
      </c>
      <c r="M49" s="35">
        <f>L49*(1+BW49/100)</f>
        <v>0</v>
      </c>
      <c r="N49" s="35">
        <v>0</v>
      </c>
      <c r="O49" s="35">
        <f>G49*N49</f>
        <v>0</v>
      </c>
      <c r="P49" s="37" t="s">
        <v>64</v>
      </c>
      <c r="Z49" s="35">
        <f>ROUND(IF(AQ49="5",BJ49,0),2)</f>
        <v>0</v>
      </c>
      <c r="AB49" s="35">
        <f>ROUND(IF(AQ49="1",BH49,0),2)</f>
        <v>0</v>
      </c>
      <c r="AC49" s="35">
        <f>ROUND(IF(AQ49="1",BI49,0),2)</f>
        <v>0</v>
      </c>
      <c r="AD49" s="35">
        <f>ROUND(IF(AQ49="7",BH49,0),2)</f>
        <v>0</v>
      </c>
      <c r="AE49" s="35">
        <f>ROUND(IF(AQ49="7",BI49,0),2)</f>
        <v>0</v>
      </c>
      <c r="AF49" s="35">
        <f>ROUND(IF(AQ49="2",BH49,0),2)</f>
        <v>0</v>
      </c>
      <c r="AG49" s="35">
        <f>ROUND(IF(AQ49="2",BI49,0),2)</f>
        <v>0</v>
      </c>
      <c r="AH49" s="35">
        <f>ROUND(IF(AQ49="0",BJ49,0),2)</f>
        <v>0</v>
      </c>
      <c r="AI49" s="12" t="s">
        <v>56</v>
      </c>
      <c r="AJ49" s="35">
        <f>IF(AN49=0,L49,0)</f>
        <v>0</v>
      </c>
      <c r="AK49" s="35">
        <f>IF(AN49=15,L49,0)</f>
        <v>0</v>
      </c>
      <c r="AL49" s="35">
        <f>IF(AN49=21,L49,0)</f>
        <v>0</v>
      </c>
      <c r="AN49" s="35">
        <v>21</v>
      </c>
      <c r="AO49" s="35">
        <f>H49*0</f>
        <v>0</v>
      </c>
      <c r="AP49" s="35">
        <f>H49*(1-0)</f>
        <v>0</v>
      </c>
      <c r="AQ49" s="38" t="s">
        <v>60</v>
      </c>
      <c r="AV49" s="35">
        <f>ROUND(AW49+AX49,2)</f>
        <v>0</v>
      </c>
      <c r="AW49" s="35">
        <f>ROUND(G49*AO49,2)</f>
        <v>0</v>
      </c>
      <c r="AX49" s="35">
        <f>ROUND(G49*AP49,2)</f>
        <v>0</v>
      </c>
      <c r="AY49" s="38" t="s">
        <v>180</v>
      </c>
      <c r="AZ49" s="38" t="s">
        <v>181</v>
      </c>
      <c r="BA49" s="12" t="s">
        <v>68</v>
      </c>
      <c r="BC49" s="35">
        <f>AW49+AX49</f>
        <v>0</v>
      </c>
      <c r="BD49" s="35">
        <f>H49/(100-BE49)*100</f>
        <v>0</v>
      </c>
      <c r="BE49" s="35">
        <v>0</v>
      </c>
      <c r="BF49" s="35">
        <f>O49</f>
        <v>0</v>
      </c>
      <c r="BH49" s="35">
        <f>G49*AO49</f>
        <v>0</v>
      </c>
      <c r="BI49" s="35">
        <f>G49*AP49</f>
        <v>0</v>
      </c>
      <c r="BJ49" s="35">
        <f>G49*H49</f>
        <v>0</v>
      </c>
      <c r="BK49" s="38" t="s">
        <v>69</v>
      </c>
      <c r="BL49" s="35">
        <v>90</v>
      </c>
      <c r="BW49" s="35">
        <f>I49</f>
        <v>21</v>
      </c>
      <c r="BX49" s="4" t="s">
        <v>178</v>
      </c>
    </row>
    <row r="50" spans="1:76" x14ac:dyDescent="0.25">
      <c r="A50" s="2" t="s">
        <v>182</v>
      </c>
      <c r="B50" s="3" t="s">
        <v>56</v>
      </c>
      <c r="C50" s="3" t="s">
        <v>183</v>
      </c>
      <c r="D50" s="70" t="s">
        <v>184</v>
      </c>
      <c r="E50" s="71"/>
      <c r="F50" s="3" t="s">
        <v>179</v>
      </c>
      <c r="G50" s="35">
        <v>6</v>
      </c>
      <c r="H50" s="68">
        <v>0</v>
      </c>
      <c r="I50" s="36">
        <v>21</v>
      </c>
      <c r="J50" s="35">
        <f>ROUND(G50*AO50,2)</f>
        <v>0</v>
      </c>
      <c r="K50" s="35">
        <f>ROUND(G50*AP50,2)</f>
        <v>0</v>
      </c>
      <c r="L50" s="35">
        <f>ROUND(G50*H50,2)</f>
        <v>0</v>
      </c>
      <c r="M50" s="35">
        <f>L50*(1+BW50/100)</f>
        <v>0</v>
      </c>
      <c r="N50" s="35">
        <v>0</v>
      </c>
      <c r="O50" s="35">
        <f>G50*N50</f>
        <v>0</v>
      </c>
      <c r="P50" s="37" t="s">
        <v>64</v>
      </c>
      <c r="Z50" s="35">
        <f>ROUND(IF(AQ50="5",BJ50,0),2)</f>
        <v>0</v>
      </c>
      <c r="AB50" s="35">
        <f>ROUND(IF(AQ50="1",BH50,0),2)</f>
        <v>0</v>
      </c>
      <c r="AC50" s="35">
        <f>ROUND(IF(AQ50="1",BI50,0),2)</f>
        <v>0</v>
      </c>
      <c r="AD50" s="35">
        <f>ROUND(IF(AQ50="7",BH50,0),2)</f>
        <v>0</v>
      </c>
      <c r="AE50" s="35">
        <f>ROUND(IF(AQ50="7",BI50,0),2)</f>
        <v>0</v>
      </c>
      <c r="AF50" s="35">
        <f>ROUND(IF(AQ50="2",BH50,0),2)</f>
        <v>0</v>
      </c>
      <c r="AG50" s="35">
        <f>ROUND(IF(AQ50="2",BI50,0),2)</f>
        <v>0</v>
      </c>
      <c r="AH50" s="35">
        <f>ROUND(IF(AQ50="0",BJ50,0),2)</f>
        <v>0</v>
      </c>
      <c r="AI50" s="12" t="s">
        <v>56</v>
      </c>
      <c r="AJ50" s="35">
        <f>IF(AN50=0,L50,0)</f>
        <v>0</v>
      </c>
      <c r="AK50" s="35">
        <f>IF(AN50=15,L50,0)</f>
        <v>0</v>
      </c>
      <c r="AL50" s="35">
        <f>IF(AN50=21,L50,0)</f>
        <v>0</v>
      </c>
      <c r="AN50" s="35">
        <v>21</v>
      </c>
      <c r="AO50" s="35">
        <f>H50*0</f>
        <v>0</v>
      </c>
      <c r="AP50" s="35">
        <f>H50*(1-0)</f>
        <v>0</v>
      </c>
      <c r="AQ50" s="38" t="s">
        <v>60</v>
      </c>
      <c r="AV50" s="35">
        <f>ROUND(AW50+AX50,2)</f>
        <v>0</v>
      </c>
      <c r="AW50" s="35">
        <f>ROUND(G50*AO50,2)</f>
        <v>0</v>
      </c>
      <c r="AX50" s="35">
        <f>ROUND(G50*AP50,2)</f>
        <v>0</v>
      </c>
      <c r="AY50" s="38" t="s">
        <v>180</v>
      </c>
      <c r="AZ50" s="38" t="s">
        <v>181</v>
      </c>
      <c r="BA50" s="12" t="s">
        <v>68</v>
      </c>
      <c r="BC50" s="35">
        <f>AW50+AX50</f>
        <v>0</v>
      </c>
      <c r="BD50" s="35">
        <f>H50/(100-BE50)*100</f>
        <v>0</v>
      </c>
      <c r="BE50" s="35">
        <v>0</v>
      </c>
      <c r="BF50" s="35">
        <f>O50</f>
        <v>0</v>
      </c>
      <c r="BH50" s="35">
        <f>G50*AO50</f>
        <v>0</v>
      </c>
      <c r="BI50" s="35">
        <f>G50*AP50</f>
        <v>0</v>
      </c>
      <c r="BJ50" s="35">
        <f>G50*H50</f>
        <v>0</v>
      </c>
      <c r="BK50" s="38" t="s">
        <v>69</v>
      </c>
      <c r="BL50" s="35">
        <v>90</v>
      </c>
      <c r="BW50" s="35">
        <f>I50</f>
        <v>21</v>
      </c>
      <c r="BX50" s="4" t="s">
        <v>184</v>
      </c>
    </row>
    <row r="51" spans="1:76" x14ac:dyDescent="0.25">
      <c r="A51" s="31" t="s">
        <v>55</v>
      </c>
      <c r="B51" s="32" t="s">
        <v>56</v>
      </c>
      <c r="C51" s="32" t="s">
        <v>185</v>
      </c>
      <c r="D51" s="128" t="s">
        <v>186</v>
      </c>
      <c r="E51" s="129"/>
      <c r="F51" s="33" t="s">
        <v>4</v>
      </c>
      <c r="G51" s="33" t="s">
        <v>4</v>
      </c>
      <c r="H51" s="33" t="s">
        <v>4</v>
      </c>
      <c r="I51" s="33" t="s">
        <v>4</v>
      </c>
      <c r="J51" s="1">
        <f>SUM(J52:J52)</f>
        <v>0</v>
      </c>
      <c r="K51" s="1">
        <f>SUM(K52:K52)</f>
        <v>0</v>
      </c>
      <c r="L51" s="1">
        <f>SUM(L52:L52)</f>
        <v>0</v>
      </c>
      <c r="M51" s="1">
        <f>SUM(M52:M52)</f>
        <v>0</v>
      </c>
      <c r="N51" s="12" t="s">
        <v>55</v>
      </c>
      <c r="O51" s="1">
        <f>SUM(O52:O52)</f>
        <v>0</v>
      </c>
      <c r="P51" s="34" t="s">
        <v>55</v>
      </c>
      <c r="AI51" s="12" t="s">
        <v>56</v>
      </c>
      <c r="AS51" s="1">
        <f>SUM(AJ52:AJ52)</f>
        <v>0</v>
      </c>
      <c r="AT51" s="1">
        <f>SUM(AK52:AK52)</f>
        <v>0</v>
      </c>
      <c r="AU51" s="1">
        <f>SUM(AL52:AL52)</f>
        <v>0</v>
      </c>
    </row>
    <row r="52" spans="1:76" x14ac:dyDescent="0.25">
      <c r="A52" s="2" t="s">
        <v>187</v>
      </c>
      <c r="B52" s="3" t="s">
        <v>56</v>
      </c>
      <c r="C52" s="3" t="s">
        <v>188</v>
      </c>
      <c r="D52" s="70" t="s">
        <v>189</v>
      </c>
      <c r="E52" s="71"/>
      <c r="F52" s="3" t="s">
        <v>190</v>
      </c>
      <c r="G52" s="68">
        <v>0</v>
      </c>
      <c r="H52" s="35">
        <v>1.6</v>
      </c>
      <c r="I52" s="36">
        <v>21</v>
      </c>
      <c r="J52" s="35">
        <f>ROUND(G52*AO52,2)</f>
        <v>0</v>
      </c>
      <c r="K52" s="35">
        <f>ROUND(G52*AP52,2)</f>
        <v>0</v>
      </c>
      <c r="L52" s="35">
        <f>ROUND(G52*H52,2)</f>
        <v>0</v>
      </c>
      <c r="M52" s="35">
        <f>L52*(1+BW52/100)</f>
        <v>0</v>
      </c>
      <c r="N52" s="35">
        <v>0</v>
      </c>
      <c r="O52" s="35">
        <f>G52*N52</f>
        <v>0</v>
      </c>
      <c r="P52" s="37" t="s">
        <v>64</v>
      </c>
      <c r="Z52" s="35">
        <f>ROUND(IF(AQ52="5",BJ52,0),2)</f>
        <v>0</v>
      </c>
      <c r="AB52" s="35">
        <f>ROUND(IF(AQ52="1",BH52,0),2)</f>
        <v>0</v>
      </c>
      <c r="AC52" s="35">
        <f>ROUND(IF(AQ52="1",BI52,0),2)</f>
        <v>0</v>
      </c>
      <c r="AD52" s="35">
        <f>ROUND(IF(AQ52="7",BH52,0),2)</f>
        <v>0</v>
      </c>
      <c r="AE52" s="35">
        <f>ROUND(IF(AQ52="7",BI52,0),2)</f>
        <v>0</v>
      </c>
      <c r="AF52" s="35">
        <f>ROUND(IF(AQ52="2",BH52,0),2)</f>
        <v>0</v>
      </c>
      <c r="AG52" s="35">
        <f>ROUND(IF(AQ52="2",BI52,0),2)</f>
        <v>0</v>
      </c>
      <c r="AH52" s="35">
        <f>ROUND(IF(AQ52="0",BJ52,0),2)</f>
        <v>0</v>
      </c>
      <c r="AI52" s="12" t="s">
        <v>56</v>
      </c>
      <c r="AJ52" s="35">
        <f>IF(AN52=0,L52,0)</f>
        <v>0</v>
      </c>
      <c r="AK52" s="35">
        <f>IF(AN52=15,L52,0)</f>
        <v>0</v>
      </c>
      <c r="AL52" s="35">
        <f>IF(AN52=21,L52,0)</f>
        <v>0</v>
      </c>
      <c r="AN52" s="35">
        <v>21</v>
      </c>
      <c r="AO52" s="35">
        <f>H52*0</f>
        <v>0</v>
      </c>
      <c r="AP52" s="35">
        <f>H52*(1-0)</f>
        <v>1.6</v>
      </c>
      <c r="AQ52" s="38" t="s">
        <v>79</v>
      </c>
      <c r="AV52" s="35">
        <f>ROUND(AW52+AX52,2)</f>
        <v>0</v>
      </c>
      <c r="AW52" s="35">
        <f>ROUND(G52*AO52,2)</f>
        <v>0</v>
      </c>
      <c r="AX52" s="35">
        <f>ROUND(G52*AP52,2)</f>
        <v>0</v>
      </c>
      <c r="AY52" s="38" t="s">
        <v>191</v>
      </c>
      <c r="AZ52" s="38" t="s">
        <v>181</v>
      </c>
      <c r="BA52" s="12" t="s">
        <v>68</v>
      </c>
      <c r="BC52" s="35">
        <f>AW52+AX52</f>
        <v>0</v>
      </c>
      <c r="BD52" s="35">
        <f>H52/(100-BE52)*100</f>
        <v>1.6</v>
      </c>
      <c r="BE52" s="35">
        <v>0</v>
      </c>
      <c r="BF52" s="35">
        <f>O52</f>
        <v>0</v>
      </c>
      <c r="BH52" s="35">
        <f>G52*AO52</f>
        <v>0</v>
      </c>
      <c r="BI52" s="35">
        <f>G52*AP52</f>
        <v>0</v>
      </c>
      <c r="BJ52" s="35">
        <f>G52*H52</f>
        <v>0</v>
      </c>
      <c r="BK52" s="38" t="s">
        <v>69</v>
      </c>
      <c r="BL52" s="35"/>
      <c r="BW52" s="35">
        <f>I52</f>
        <v>21</v>
      </c>
      <c r="BX52" s="4" t="s">
        <v>189</v>
      </c>
    </row>
    <row r="53" spans="1:76" x14ac:dyDescent="0.25">
      <c r="A53" s="31" t="s">
        <v>55</v>
      </c>
      <c r="B53" s="32" t="s">
        <v>56</v>
      </c>
      <c r="C53" s="32" t="s">
        <v>156</v>
      </c>
      <c r="D53" s="128" t="s">
        <v>192</v>
      </c>
      <c r="E53" s="129"/>
      <c r="F53" s="33" t="s">
        <v>4</v>
      </c>
      <c r="G53" s="33" t="s">
        <v>4</v>
      </c>
      <c r="H53" s="33" t="s">
        <v>4</v>
      </c>
      <c r="I53" s="33" t="s">
        <v>4</v>
      </c>
      <c r="J53" s="1">
        <f>SUM(J54:J60)</f>
        <v>0</v>
      </c>
      <c r="K53" s="1">
        <f>SUM(K54:K60)</f>
        <v>0</v>
      </c>
      <c r="L53" s="1">
        <f>SUM(L54:L60)</f>
        <v>0</v>
      </c>
      <c r="M53" s="1">
        <f>SUM(M54:M60)</f>
        <v>0</v>
      </c>
      <c r="N53" s="12" t="s">
        <v>55</v>
      </c>
      <c r="O53" s="1">
        <f>SUM(O54:O60)</f>
        <v>0</v>
      </c>
      <c r="P53" s="34" t="s">
        <v>55</v>
      </c>
      <c r="AI53" s="12" t="s">
        <v>56</v>
      </c>
      <c r="AS53" s="1">
        <f>SUM(AJ54:AJ60)</f>
        <v>0</v>
      </c>
      <c r="AT53" s="1">
        <f>SUM(AK54:AK60)</f>
        <v>0</v>
      </c>
      <c r="AU53" s="1">
        <f>SUM(AL54:AL60)</f>
        <v>0</v>
      </c>
    </row>
    <row r="54" spans="1:76" x14ac:dyDescent="0.25">
      <c r="A54" s="2" t="s">
        <v>193</v>
      </c>
      <c r="B54" s="3" t="s">
        <v>56</v>
      </c>
      <c r="C54" s="3" t="s">
        <v>194</v>
      </c>
      <c r="D54" s="70" t="s">
        <v>195</v>
      </c>
      <c r="E54" s="71"/>
      <c r="F54" s="3" t="s">
        <v>85</v>
      </c>
      <c r="G54" s="35">
        <v>5</v>
      </c>
      <c r="H54" s="68">
        <v>0</v>
      </c>
      <c r="I54" s="36">
        <v>21</v>
      </c>
      <c r="J54" s="35">
        <f t="shared" ref="J54:J60" si="26">ROUND(G54*AO54,2)</f>
        <v>0</v>
      </c>
      <c r="K54" s="35">
        <f t="shared" ref="K54:K60" si="27">ROUND(G54*AP54,2)</f>
        <v>0</v>
      </c>
      <c r="L54" s="35">
        <f t="shared" ref="L54:L60" si="28">ROUND(G54*H54,2)</f>
        <v>0</v>
      </c>
      <c r="M54" s="35">
        <f t="shared" ref="M54:M60" si="29">L54*(1+BW54/100)</f>
        <v>0</v>
      </c>
      <c r="N54" s="35">
        <v>0</v>
      </c>
      <c r="O54" s="35">
        <f t="shared" ref="O54:O60" si="30">G54*N54</f>
        <v>0</v>
      </c>
      <c r="P54" s="37" t="s">
        <v>64</v>
      </c>
      <c r="Z54" s="35">
        <f t="shared" ref="Z54:Z60" si="31">ROUND(IF(AQ54="5",BJ54,0),2)</f>
        <v>0</v>
      </c>
      <c r="AB54" s="35">
        <f t="shared" ref="AB54:AB60" si="32">ROUND(IF(AQ54="1",BH54,0),2)</f>
        <v>0</v>
      </c>
      <c r="AC54" s="35">
        <f t="shared" ref="AC54:AC60" si="33">ROUND(IF(AQ54="1",BI54,0),2)</f>
        <v>0</v>
      </c>
      <c r="AD54" s="35">
        <f t="shared" ref="AD54:AD60" si="34">ROUND(IF(AQ54="7",BH54,0),2)</f>
        <v>0</v>
      </c>
      <c r="AE54" s="35">
        <f t="shared" ref="AE54:AE60" si="35">ROUND(IF(AQ54="7",BI54,0),2)</f>
        <v>0</v>
      </c>
      <c r="AF54" s="35">
        <f t="shared" ref="AF54:AF60" si="36">ROUND(IF(AQ54="2",BH54,0),2)</f>
        <v>0</v>
      </c>
      <c r="AG54" s="35">
        <f t="shared" ref="AG54:AG60" si="37">ROUND(IF(AQ54="2",BI54,0),2)</f>
        <v>0</v>
      </c>
      <c r="AH54" s="35">
        <f t="shared" ref="AH54:AH60" si="38">ROUND(IF(AQ54="0",BJ54,0),2)</f>
        <v>0</v>
      </c>
      <c r="AI54" s="12" t="s">
        <v>56</v>
      </c>
      <c r="AJ54" s="35">
        <f t="shared" ref="AJ54:AJ60" si="39">IF(AN54=0,L54,0)</f>
        <v>0</v>
      </c>
      <c r="AK54" s="35">
        <f t="shared" ref="AK54:AK60" si="40">IF(AN54=15,L54,0)</f>
        <v>0</v>
      </c>
      <c r="AL54" s="35">
        <f t="shared" ref="AL54:AL60" si="41">IF(AN54=21,L54,0)</f>
        <v>0</v>
      </c>
      <c r="AN54" s="35">
        <v>21</v>
      </c>
      <c r="AO54" s="35">
        <f t="shared" ref="AO54:AO60" si="42">H54*1</f>
        <v>0</v>
      </c>
      <c r="AP54" s="35">
        <f t="shared" ref="AP54:AP60" si="43">H54*(1-1)</f>
        <v>0</v>
      </c>
      <c r="AQ54" s="38" t="s">
        <v>196</v>
      </c>
      <c r="AV54" s="35">
        <f t="shared" ref="AV54:AV60" si="44">ROUND(AW54+AX54,2)</f>
        <v>0</v>
      </c>
      <c r="AW54" s="35">
        <f t="shared" ref="AW54:AW60" si="45">ROUND(G54*AO54,2)</f>
        <v>0</v>
      </c>
      <c r="AX54" s="35">
        <f t="shared" ref="AX54:AX60" si="46">ROUND(G54*AP54,2)</f>
        <v>0</v>
      </c>
      <c r="AY54" s="38" t="s">
        <v>197</v>
      </c>
      <c r="AZ54" s="38" t="s">
        <v>198</v>
      </c>
      <c r="BA54" s="12" t="s">
        <v>68</v>
      </c>
      <c r="BC54" s="35">
        <f t="shared" ref="BC54:BC60" si="47">AW54+AX54</f>
        <v>0</v>
      </c>
      <c r="BD54" s="35">
        <f t="shared" ref="BD54:BD60" si="48">H54/(100-BE54)*100</f>
        <v>0</v>
      </c>
      <c r="BE54" s="35">
        <v>0</v>
      </c>
      <c r="BF54" s="35">
        <f t="shared" ref="BF54:BF60" si="49">O54</f>
        <v>0</v>
      </c>
      <c r="BH54" s="35">
        <f t="shared" ref="BH54:BH60" si="50">G54*AO54</f>
        <v>0</v>
      </c>
      <c r="BI54" s="35">
        <f t="shared" ref="BI54:BI60" si="51">G54*AP54</f>
        <v>0</v>
      </c>
      <c r="BJ54" s="35">
        <f t="shared" ref="BJ54:BJ60" si="52">G54*H54</f>
        <v>0</v>
      </c>
      <c r="BK54" s="38" t="s">
        <v>156</v>
      </c>
      <c r="BL54" s="35"/>
      <c r="BW54" s="35">
        <f t="shared" ref="BW54:BW60" si="53">I54</f>
        <v>21</v>
      </c>
      <c r="BX54" s="4" t="s">
        <v>195</v>
      </c>
    </row>
    <row r="55" spans="1:76" x14ac:dyDescent="0.25">
      <c r="A55" s="2" t="s">
        <v>199</v>
      </c>
      <c r="B55" s="3" t="s">
        <v>56</v>
      </c>
      <c r="C55" s="3" t="s">
        <v>194</v>
      </c>
      <c r="D55" s="70" t="s">
        <v>200</v>
      </c>
      <c r="E55" s="71"/>
      <c r="F55" s="3" t="s">
        <v>85</v>
      </c>
      <c r="G55" s="35">
        <v>1</v>
      </c>
      <c r="H55" s="68">
        <v>0</v>
      </c>
      <c r="I55" s="36">
        <v>21</v>
      </c>
      <c r="J55" s="35">
        <f t="shared" si="26"/>
        <v>0</v>
      </c>
      <c r="K55" s="35">
        <f t="shared" si="27"/>
        <v>0</v>
      </c>
      <c r="L55" s="35">
        <f t="shared" si="28"/>
        <v>0</v>
      </c>
      <c r="M55" s="35">
        <f t="shared" si="29"/>
        <v>0</v>
      </c>
      <c r="N55" s="35">
        <v>0</v>
      </c>
      <c r="O55" s="35">
        <f t="shared" si="30"/>
        <v>0</v>
      </c>
      <c r="P55" s="37" t="s">
        <v>64</v>
      </c>
      <c r="Z55" s="35">
        <f t="shared" si="31"/>
        <v>0</v>
      </c>
      <c r="AB55" s="35">
        <f t="shared" si="32"/>
        <v>0</v>
      </c>
      <c r="AC55" s="35">
        <f t="shared" si="33"/>
        <v>0</v>
      </c>
      <c r="AD55" s="35">
        <f t="shared" si="34"/>
        <v>0</v>
      </c>
      <c r="AE55" s="35">
        <f t="shared" si="35"/>
        <v>0</v>
      </c>
      <c r="AF55" s="35">
        <f t="shared" si="36"/>
        <v>0</v>
      </c>
      <c r="AG55" s="35">
        <f t="shared" si="37"/>
        <v>0</v>
      </c>
      <c r="AH55" s="35">
        <f t="shared" si="38"/>
        <v>0</v>
      </c>
      <c r="AI55" s="12" t="s">
        <v>56</v>
      </c>
      <c r="AJ55" s="35">
        <f t="shared" si="39"/>
        <v>0</v>
      </c>
      <c r="AK55" s="35">
        <f t="shared" si="40"/>
        <v>0</v>
      </c>
      <c r="AL55" s="35">
        <f t="shared" si="41"/>
        <v>0</v>
      </c>
      <c r="AN55" s="35">
        <v>21</v>
      </c>
      <c r="AO55" s="35">
        <f t="shared" si="42"/>
        <v>0</v>
      </c>
      <c r="AP55" s="35">
        <f t="shared" si="43"/>
        <v>0</v>
      </c>
      <c r="AQ55" s="38" t="s">
        <v>196</v>
      </c>
      <c r="AV55" s="35">
        <f t="shared" si="44"/>
        <v>0</v>
      </c>
      <c r="AW55" s="35">
        <f t="shared" si="45"/>
        <v>0</v>
      </c>
      <c r="AX55" s="35">
        <f t="shared" si="46"/>
        <v>0</v>
      </c>
      <c r="AY55" s="38" t="s">
        <v>197</v>
      </c>
      <c r="AZ55" s="38" t="s">
        <v>198</v>
      </c>
      <c r="BA55" s="12" t="s">
        <v>68</v>
      </c>
      <c r="BC55" s="35">
        <f t="shared" si="47"/>
        <v>0</v>
      </c>
      <c r="BD55" s="35">
        <f t="shared" si="48"/>
        <v>0</v>
      </c>
      <c r="BE55" s="35">
        <v>0</v>
      </c>
      <c r="BF55" s="35">
        <f t="shared" si="49"/>
        <v>0</v>
      </c>
      <c r="BH55" s="35">
        <f t="shared" si="50"/>
        <v>0</v>
      </c>
      <c r="BI55" s="35">
        <f t="shared" si="51"/>
        <v>0</v>
      </c>
      <c r="BJ55" s="35">
        <f t="shared" si="52"/>
        <v>0</v>
      </c>
      <c r="BK55" s="38" t="s">
        <v>156</v>
      </c>
      <c r="BL55" s="35"/>
      <c r="BW55" s="35">
        <f t="shared" si="53"/>
        <v>21</v>
      </c>
      <c r="BX55" s="4" t="s">
        <v>200</v>
      </c>
    </row>
    <row r="56" spans="1:76" x14ac:dyDescent="0.25">
      <c r="A56" s="2" t="s">
        <v>201</v>
      </c>
      <c r="B56" s="3" t="s">
        <v>56</v>
      </c>
      <c r="C56" s="3" t="s">
        <v>202</v>
      </c>
      <c r="D56" s="70" t="s">
        <v>203</v>
      </c>
      <c r="E56" s="71"/>
      <c r="F56" s="3" t="s">
        <v>85</v>
      </c>
      <c r="G56" s="35">
        <v>1</v>
      </c>
      <c r="H56" s="68">
        <v>0</v>
      </c>
      <c r="I56" s="36">
        <v>21</v>
      </c>
      <c r="J56" s="35">
        <f t="shared" si="26"/>
        <v>0</v>
      </c>
      <c r="K56" s="35">
        <f t="shared" si="27"/>
        <v>0</v>
      </c>
      <c r="L56" s="35">
        <f t="shared" si="28"/>
        <v>0</v>
      </c>
      <c r="M56" s="35">
        <f t="shared" si="29"/>
        <v>0</v>
      </c>
      <c r="N56" s="35">
        <v>0</v>
      </c>
      <c r="O56" s="35">
        <f t="shared" si="30"/>
        <v>0</v>
      </c>
      <c r="P56" s="37" t="s">
        <v>64</v>
      </c>
      <c r="Z56" s="35">
        <f t="shared" si="31"/>
        <v>0</v>
      </c>
      <c r="AB56" s="35">
        <f t="shared" si="32"/>
        <v>0</v>
      </c>
      <c r="AC56" s="35">
        <f t="shared" si="33"/>
        <v>0</v>
      </c>
      <c r="AD56" s="35">
        <f t="shared" si="34"/>
        <v>0</v>
      </c>
      <c r="AE56" s="35">
        <f t="shared" si="35"/>
        <v>0</v>
      </c>
      <c r="AF56" s="35">
        <f t="shared" si="36"/>
        <v>0</v>
      </c>
      <c r="AG56" s="35">
        <f t="shared" si="37"/>
        <v>0</v>
      </c>
      <c r="AH56" s="35">
        <f t="shared" si="38"/>
        <v>0</v>
      </c>
      <c r="AI56" s="12" t="s">
        <v>56</v>
      </c>
      <c r="AJ56" s="35">
        <f t="shared" si="39"/>
        <v>0</v>
      </c>
      <c r="AK56" s="35">
        <f t="shared" si="40"/>
        <v>0</v>
      </c>
      <c r="AL56" s="35">
        <f t="shared" si="41"/>
        <v>0</v>
      </c>
      <c r="AN56" s="35">
        <v>21</v>
      </c>
      <c r="AO56" s="35">
        <f t="shared" si="42"/>
        <v>0</v>
      </c>
      <c r="AP56" s="35">
        <f t="shared" si="43"/>
        <v>0</v>
      </c>
      <c r="AQ56" s="38" t="s">
        <v>196</v>
      </c>
      <c r="AV56" s="35">
        <f t="shared" si="44"/>
        <v>0</v>
      </c>
      <c r="AW56" s="35">
        <f t="shared" si="45"/>
        <v>0</v>
      </c>
      <c r="AX56" s="35">
        <f t="shared" si="46"/>
        <v>0</v>
      </c>
      <c r="AY56" s="38" t="s">
        <v>197</v>
      </c>
      <c r="AZ56" s="38" t="s">
        <v>198</v>
      </c>
      <c r="BA56" s="12" t="s">
        <v>68</v>
      </c>
      <c r="BC56" s="35">
        <f t="shared" si="47"/>
        <v>0</v>
      </c>
      <c r="BD56" s="35">
        <f t="shared" si="48"/>
        <v>0</v>
      </c>
      <c r="BE56" s="35">
        <v>0</v>
      </c>
      <c r="BF56" s="35">
        <f t="shared" si="49"/>
        <v>0</v>
      </c>
      <c r="BH56" s="35">
        <f t="shared" si="50"/>
        <v>0</v>
      </c>
      <c r="BI56" s="35">
        <f t="shared" si="51"/>
        <v>0</v>
      </c>
      <c r="BJ56" s="35">
        <f t="shared" si="52"/>
        <v>0</v>
      </c>
      <c r="BK56" s="38" t="s">
        <v>156</v>
      </c>
      <c r="BL56" s="35"/>
      <c r="BW56" s="35">
        <f t="shared" si="53"/>
        <v>21</v>
      </c>
      <c r="BX56" s="4" t="s">
        <v>203</v>
      </c>
    </row>
    <row r="57" spans="1:76" ht="25.5" x14ac:dyDescent="0.25">
      <c r="A57" s="2" t="s">
        <v>204</v>
      </c>
      <c r="B57" s="3" t="s">
        <v>56</v>
      </c>
      <c r="C57" s="3" t="s">
        <v>205</v>
      </c>
      <c r="D57" s="70" t="s">
        <v>206</v>
      </c>
      <c r="E57" s="71"/>
      <c r="F57" s="3" t="s">
        <v>130</v>
      </c>
      <c r="G57" s="35">
        <v>1</v>
      </c>
      <c r="H57" s="68">
        <v>0</v>
      </c>
      <c r="I57" s="36">
        <v>21</v>
      </c>
      <c r="J57" s="35">
        <f t="shared" si="26"/>
        <v>0</v>
      </c>
      <c r="K57" s="35">
        <f t="shared" si="27"/>
        <v>0</v>
      </c>
      <c r="L57" s="35">
        <f t="shared" si="28"/>
        <v>0</v>
      </c>
      <c r="M57" s="35">
        <f t="shared" si="29"/>
        <v>0</v>
      </c>
      <c r="N57" s="35">
        <v>0</v>
      </c>
      <c r="O57" s="35">
        <f t="shared" si="30"/>
        <v>0</v>
      </c>
      <c r="P57" s="37" t="s">
        <v>64</v>
      </c>
      <c r="Z57" s="35">
        <f t="shared" si="31"/>
        <v>0</v>
      </c>
      <c r="AB57" s="35">
        <f t="shared" si="32"/>
        <v>0</v>
      </c>
      <c r="AC57" s="35">
        <f t="shared" si="33"/>
        <v>0</v>
      </c>
      <c r="AD57" s="35">
        <f t="shared" si="34"/>
        <v>0</v>
      </c>
      <c r="AE57" s="35">
        <f t="shared" si="35"/>
        <v>0</v>
      </c>
      <c r="AF57" s="35">
        <f t="shared" si="36"/>
        <v>0</v>
      </c>
      <c r="AG57" s="35">
        <f t="shared" si="37"/>
        <v>0</v>
      </c>
      <c r="AH57" s="35">
        <f t="shared" si="38"/>
        <v>0</v>
      </c>
      <c r="AI57" s="12" t="s">
        <v>56</v>
      </c>
      <c r="AJ57" s="35">
        <f t="shared" si="39"/>
        <v>0</v>
      </c>
      <c r="AK57" s="35">
        <f t="shared" si="40"/>
        <v>0</v>
      </c>
      <c r="AL57" s="35">
        <f t="shared" si="41"/>
        <v>0</v>
      </c>
      <c r="AN57" s="35">
        <v>21</v>
      </c>
      <c r="AO57" s="35">
        <f t="shared" si="42"/>
        <v>0</v>
      </c>
      <c r="AP57" s="35">
        <f t="shared" si="43"/>
        <v>0</v>
      </c>
      <c r="AQ57" s="38" t="s">
        <v>196</v>
      </c>
      <c r="AV57" s="35">
        <f t="shared" si="44"/>
        <v>0</v>
      </c>
      <c r="AW57" s="35">
        <f t="shared" si="45"/>
        <v>0</v>
      </c>
      <c r="AX57" s="35">
        <f t="shared" si="46"/>
        <v>0</v>
      </c>
      <c r="AY57" s="38" t="s">
        <v>197</v>
      </c>
      <c r="AZ57" s="38" t="s">
        <v>198</v>
      </c>
      <c r="BA57" s="12" t="s">
        <v>68</v>
      </c>
      <c r="BC57" s="35">
        <f t="shared" si="47"/>
        <v>0</v>
      </c>
      <c r="BD57" s="35">
        <f t="shared" si="48"/>
        <v>0</v>
      </c>
      <c r="BE57" s="35">
        <v>0</v>
      </c>
      <c r="BF57" s="35">
        <f t="shared" si="49"/>
        <v>0</v>
      </c>
      <c r="BH57" s="35">
        <f t="shared" si="50"/>
        <v>0</v>
      </c>
      <c r="BI57" s="35">
        <f t="shared" si="51"/>
        <v>0</v>
      </c>
      <c r="BJ57" s="35">
        <f t="shared" si="52"/>
        <v>0</v>
      </c>
      <c r="BK57" s="38" t="s">
        <v>156</v>
      </c>
      <c r="BL57" s="35"/>
      <c r="BW57" s="35">
        <f t="shared" si="53"/>
        <v>21</v>
      </c>
      <c r="BX57" s="4" t="s">
        <v>206</v>
      </c>
    </row>
    <row r="58" spans="1:76" x14ac:dyDescent="0.25">
      <c r="A58" s="2" t="s">
        <v>207</v>
      </c>
      <c r="B58" s="3" t="s">
        <v>56</v>
      </c>
      <c r="C58" s="3" t="s">
        <v>208</v>
      </c>
      <c r="D58" s="70" t="s">
        <v>209</v>
      </c>
      <c r="E58" s="71"/>
      <c r="F58" s="3" t="s">
        <v>85</v>
      </c>
      <c r="G58" s="35">
        <v>5</v>
      </c>
      <c r="H58" s="68">
        <v>0</v>
      </c>
      <c r="I58" s="36">
        <v>21</v>
      </c>
      <c r="J58" s="35">
        <f t="shared" si="26"/>
        <v>0</v>
      </c>
      <c r="K58" s="35">
        <f t="shared" si="27"/>
        <v>0</v>
      </c>
      <c r="L58" s="35">
        <f t="shared" si="28"/>
        <v>0</v>
      </c>
      <c r="M58" s="35">
        <f t="shared" si="29"/>
        <v>0</v>
      </c>
      <c r="N58" s="35">
        <v>0</v>
      </c>
      <c r="O58" s="35">
        <f t="shared" si="30"/>
        <v>0</v>
      </c>
      <c r="P58" s="37" t="s">
        <v>64</v>
      </c>
      <c r="Z58" s="35">
        <f t="shared" si="31"/>
        <v>0</v>
      </c>
      <c r="AB58" s="35">
        <f t="shared" si="32"/>
        <v>0</v>
      </c>
      <c r="AC58" s="35">
        <f t="shared" si="33"/>
        <v>0</v>
      </c>
      <c r="AD58" s="35">
        <f t="shared" si="34"/>
        <v>0</v>
      </c>
      <c r="AE58" s="35">
        <f t="shared" si="35"/>
        <v>0</v>
      </c>
      <c r="AF58" s="35">
        <f t="shared" si="36"/>
        <v>0</v>
      </c>
      <c r="AG58" s="35">
        <f t="shared" si="37"/>
        <v>0</v>
      </c>
      <c r="AH58" s="35">
        <f t="shared" si="38"/>
        <v>0</v>
      </c>
      <c r="AI58" s="12" t="s">
        <v>56</v>
      </c>
      <c r="AJ58" s="35">
        <f t="shared" si="39"/>
        <v>0</v>
      </c>
      <c r="AK58" s="35">
        <f t="shared" si="40"/>
        <v>0</v>
      </c>
      <c r="AL58" s="35">
        <f t="shared" si="41"/>
        <v>0</v>
      </c>
      <c r="AN58" s="35">
        <v>21</v>
      </c>
      <c r="AO58" s="35">
        <f t="shared" si="42"/>
        <v>0</v>
      </c>
      <c r="AP58" s="35">
        <f t="shared" si="43"/>
        <v>0</v>
      </c>
      <c r="AQ58" s="38" t="s">
        <v>196</v>
      </c>
      <c r="AV58" s="35">
        <f t="shared" si="44"/>
        <v>0</v>
      </c>
      <c r="AW58" s="35">
        <f t="shared" si="45"/>
        <v>0</v>
      </c>
      <c r="AX58" s="35">
        <f t="shared" si="46"/>
        <v>0</v>
      </c>
      <c r="AY58" s="38" t="s">
        <v>197</v>
      </c>
      <c r="AZ58" s="38" t="s">
        <v>198</v>
      </c>
      <c r="BA58" s="12" t="s">
        <v>68</v>
      </c>
      <c r="BC58" s="35">
        <f t="shared" si="47"/>
        <v>0</v>
      </c>
      <c r="BD58" s="35">
        <f t="shared" si="48"/>
        <v>0</v>
      </c>
      <c r="BE58" s="35">
        <v>0</v>
      </c>
      <c r="BF58" s="35">
        <f t="shared" si="49"/>
        <v>0</v>
      </c>
      <c r="BH58" s="35">
        <f t="shared" si="50"/>
        <v>0</v>
      </c>
      <c r="BI58" s="35">
        <f t="shared" si="51"/>
        <v>0</v>
      </c>
      <c r="BJ58" s="35">
        <f t="shared" si="52"/>
        <v>0</v>
      </c>
      <c r="BK58" s="38" t="s">
        <v>156</v>
      </c>
      <c r="BL58" s="35"/>
      <c r="BW58" s="35">
        <f t="shared" si="53"/>
        <v>21</v>
      </c>
      <c r="BX58" s="4" t="s">
        <v>209</v>
      </c>
    </row>
    <row r="59" spans="1:76" x14ac:dyDescent="0.25">
      <c r="A59" s="2" t="s">
        <v>210</v>
      </c>
      <c r="B59" s="3" t="s">
        <v>56</v>
      </c>
      <c r="C59" s="3" t="s">
        <v>208</v>
      </c>
      <c r="D59" s="70" t="s">
        <v>211</v>
      </c>
      <c r="E59" s="71"/>
      <c r="F59" s="3" t="s">
        <v>85</v>
      </c>
      <c r="G59" s="35">
        <v>5</v>
      </c>
      <c r="H59" s="68">
        <v>0</v>
      </c>
      <c r="I59" s="36">
        <v>21</v>
      </c>
      <c r="J59" s="35">
        <f t="shared" si="26"/>
        <v>0</v>
      </c>
      <c r="K59" s="35">
        <f t="shared" si="27"/>
        <v>0</v>
      </c>
      <c r="L59" s="35">
        <f t="shared" si="28"/>
        <v>0</v>
      </c>
      <c r="M59" s="35">
        <f t="shared" si="29"/>
        <v>0</v>
      </c>
      <c r="N59" s="35">
        <v>0</v>
      </c>
      <c r="O59" s="35">
        <f t="shared" si="30"/>
        <v>0</v>
      </c>
      <c r="P59" s="37" t="s">
        <v>64</v>
      </c>
      <c r="Z59" s="35">
        <f t="shared" si="31"/>
        <v>0</v>
      </c>
      <c r="AB59" s="35">
        <f t="shared" si="32"/>
        <v>0</v>
      </c>
      <c r="AC59" s="35">
        <f t="shared" si="33"/>
        <v>0</v>
      </c>
      <c r="AD59" s="35">
        <f t="shared" si="34"/>
        <v>0</v>
      </c>
      <c r="AE59" s="35">
        <f t="shared" si="35"/>
        <v>0</v>
      </c>
      <c r="AF59" s="35">
        <f t="shared" si="36"/>
        <v>0</v>
      </c>
      <c r="AG59" s="35">
        <f t="shared" si="37"/>
        <v>0</v>
      </c>
      <c r="AH59" s="35">
        <f t="shared" si="38"/>
        <v>0</v>
      </c>
      <c r="AI59" s="12" t="s">
        <v>56</v>
      </c>
      <c r="AJ59" s="35">
        <f t="shared" si="39"/>
        <v>0</v>
      </c>
      <c r="AK59" s="35">
        <f t="shared" si="40"/>
        <v>0</v>
      </c>
      <c r="AL59" s="35">
        <f t="shared" si="41"/>
        <v>0</v>
      </c>
      <c r="AN59" s="35">
        <v>21</v>
      </c>
      <c r="AO59" s="35">
        <f t="shared" si="42"/>
        <v>0</v>
      </c>
      <c r="AP59" s="35">
        <f t="shared" si="43"/>
        <v>0</v>
      </c>
      <c r="AQ59" s="38" t="s">
        <v>196</v>
      </c>
      <c r="AV59" s="35">
        <f t="shared" si="44"/>
        <v>0</v>
      </c>
      <c r="AW59" s="35">
        <f t="shared" si="45"/>
        <v>0</v>
      </c>
      <c r="AX59" s="35">
        <f t="shared" si="46"/>
        <v>0</v>
      </c>
      <c r="AY59" s="38" t="s">
        <v>197</v>
      </c>
      <c r="AZ59" s="38" t="s">
        <v>198</v>
      </c>
      <c r="BA59" s="12" t="s">
        <v>68</v>
      </c>
      <c r="BC59" s="35">
        <f t="shared" si="47"/>
        <v>0</v>
      </c>
      <c r="BD59" s="35">
        <f t="shared" si="48"/>
        <v>0</v>
      </c>
      <c r="BE59" s="35">
        <v>0</v>
      </c>
      <c r="BF59" s="35">
        <f t="shared" si="49"/>
        <v>0</v>
      </c>
      <c r="BH59" s="35">
        <f t="shared" si="50"/>
        <v>0</v>
      </c>
      <c r="BI59" s="35">
        <f t="shared" si="51"/>
        <v>0</v>
      </c>
      <c r="BJ59" s="35">
        <f t="shared" si="52"/>
        <v>0</v>
      </c>
      <c r="BK59" s="38" t="s">
        <v>156</v>
      </c>
      <c r="BL59" s="35"/>
      <c r="BW59" s="35">
        <f t="shared" si="53"/>
        <v>21</v>
      </c>
      <c r="BX59" s="4" t="s">
        <v>211</v>
      </c>
    </row>
    <row r="60" spans="1:76" x14ac:dyDescent="0.25">
      <c r="A60" s="2" t="s">
        <v>212</v>
      </c>
      <c r="B60" s="3" t="s">
        <v>56</v>
      </c>
      <c r="C60" s="3" t="s">
        <v>213</v>
      </c>
      <c r="D60" s="70" t="s">
        <v>214</v>
      </c>
      <c r="E60" s="71"/>
      <c r="F60" s="3" t="s">
        <v>155</v>
      </c>
      <c r="G60" s="35">
        <v>1</v>
      </c>
      <c r="H60" s="68">
        <v>0</v>
      </c>
      <c r="I60" s="36">
        <v>21</v>
      </c>
      <c r="J60" s="35">
        <f t="shared" si="26"/>
        <v>0</v>
      </c>
      <c r="K60" s="35">
        <f t="shared" si="27"/>
        <v>0</v>
      </c>
      <c r="L60" s="35">
        <f t="shared" si="28"/>
        <v>0</v>
      </c>
      <c r="M60" s="35">
        <f t="shared" si="29"/>
        <v>0</v>
      </c>
      <c r="N60" s="35">
        <v>0</v>
      </c>
      <c r="O60" s="35">
        <f t="shared" si="30"/>
        <v>0</v>
      </c>
      <c r="P60" s="37" t="s">
        <v>64</v>
      </c>
      <c r="Z60" s="35">
        <f t="shared" si="31"/>
        <v>0</v>
      </c>
      <c r="AB60" s="35">
        <f t="shared" si="32"/>
        <v>0</v>
      </c>
      <c r="AC60" s="35">
        <f t="shared" si="33"/>
        <v>0</v>
      </c>
      <c r="AD60" s="35">
        <f t="shared" si="34"/>
        <v>0</v>
      </c>
      <c r="AE60" s="35">
        <f t="shared" si="35"/>
        <v>0</v>
      </c>
      <c r="AF60" s="35">
        <f t="shared" si="36"/>
        <v>0</v>
      </c>
      <c r="AG60" s="35">
        <f t="shared" si="37"/>
        <v>0</v>
      </c>
      <c r="AH60" s="35">
        <f t="shared" si="38"/>
        <v>0</v>
      </c>
      <c r="AI60" s="12" t="s">
        <v>56</v>
      </c>
      <c r="AJ60" s="35">
        <f t="shared" si="39"/>
        <v>0</v>
      </c>
      <c r="AK60" s="35">
        <f t="shared" si="40"/>
        <v>0</v>
      </c>
      <c r="AL60" s="35">
        <f t="shared" si="41"/>
        <v>0</v>
      </c>
      <c r="AN60" s="35">
        <v>21</v>
      </c>
      <c r="AO60" s="35">
        <f t="shared" si="42"/>
        <v>0</v>
      </c>
      <c r="AP60" s="35">
        <f t="shared" si="43"/>
        <v>0</v>
      </c>
      <c r="AQ60" s="38" t="s">
        <v>196</v>
      </c>
      <c r="AV60" s="35">
        <f t="shared" si="44"/>
        <v>0</v>
      </c>
      <c r="AW60" s="35">
        <f t="shared" si="45"/>
        <v>0</v>
      </c>
      <c r="AX60" s="35">
        <f t="shared" si="46"/>
        <v>0</v>
      </c>
      <c r="AY60" s="38" t="s">
        <v>197</v>
      </c>
      <c r="AZ60" s="38" t="s">
        <v>198</v>
      </c>
      <c r="BA60" s="12" t="s">
        <v>68</v>
      </c>
      <c r="BC60" s="35">
        <f t="shared" si="47"/>
        <v>0</v>
      </c>
      <c r="BD60" s="35">
        <f t="shared" si="48"/>
        <v>0</v>
      </c>
      <c r="BE60" s="35">
        <v>0</v>
      </c>
      <c r="BF60" s="35">
        <f t="shared" si="49"/>
        <v>0</v>
      </c>
      <c r="BH60" s="35">
        <f t="shared" si="50"/>
        <v>0</v>
      </c>
      <c r="BI60" s="35">
        <f t="shared" si="51"/>
        <v>0</v>
      </c>
      <c r="BJ60" s="35">
        <f t="shared" si="52"/>
        <v>0</v>
      </c>
      <c r="BK60" s="38" t="s">
        <v>156</v>
      </c>
      <c r="BL60" s="35"/>
      <c r="BW60" s="35">
        <f t="shared" si="53"/>
        <v>21</v>
      </c>
      <c r="BX60" s="4" t="s">
        <v>214</v>
      </c>
    </row>
    <row r="61" spans="1:76" x14ac:dyDescent="0.25">
      <c r="A61" s="31" t="s">
        <v>55</v>
      </c>
      <c r="B61" s="32" t="s">
        <v>215</v>
      </c>
      <c r="C61" s="32" t="s">
        <v>55</v>
      </c>
      <c r="D61" s="128" t="s">
        <v>216</v>
      </c>
      <c r="E61" s="129"/>
      <c r="F61" s="33" t="s">
        <v>4</v>
      </c>
      <c r="G61" s="33" t="s">
        <v>4</v>
      </c>
      <c r="H61" s="33" t="s">
        <v>4</v>
      </c>
      <c r="I61" s="33" t="s">
        <v>4</v>
      </c>
      <c r="J61" s="1">
        <f>J62+J87+J91+J108+J122+J140+J146+J156+J209+J211+J220+J222+J224+J226</f>
        <v>0</v>
      </c>
      <c r="K61" s="1">
        <f>K62+K87+K91+K108+K122+K140+K146+K156+K209+K211+K220+K222+K224+K226</f>
        <v>0</v>
      </c>
      <c r="L61" s="1">
        <f>L62+L87+L91+L108+L122+L140+L146+L156+L209+L211+L220+L222+L224+L226</f>
        <v>0</v>
      </c>
      <c r="M61" s="1">
        <f>M62+M87+M91+M108+M122+M140+M146+M156+M209+M211+M220+M222+M224+M226</f>
        <v>0</v>
      </c>
      <c r="N61" s="12" t="s">
        <v>55</v>
      </c>
      <c r="O61" s="1">
        <f>O62+O87+O91+O108+O122+O140+O146+O156+O209+O211+O220+O222+O224+O226</f>
        <v>13.476859999999999</v>
      </c>
      <c r="P61" s="34" t="s">
        <v>55</v>
      </c>
    </row>
    <row r="62" spans="1:76" x14ac:dyDescent="0.25">
      <c r="A62" s="31" t="s">
        <v>55</v>
      </c>
      <c r="B62" s="32" t="s">
        <v>215</v>
      </c>
      <c r="C62" s="32" t="s">
        <v>217</v>
      </c>
      <c r="D62" s="128" t="s">
        <v>218</v>
      </c>
      <c r="E62" s="129"/>
      <c r="F62" s="33" t="s">
        <v>4</v>
      </c>
      <c r="G62" s="33" t="s">
        <v>4</v>
      </c>
      <c r="H62" s="33" t="s">
        <v>4</v>
      </c>
      <c r="I62" s="33" t="s">
        <v>4</v>
      </c>
      <c r="J62" s="1">
        <f>SUM(J63:J86)</f>
        <v>0</v>
      </c>
      <c r="K62" s="1">
        <f>SUM(K63:K86)</f>
        <v>0</v>
      </c>
      <c r="L62" s="1">
        <f>SUM(L63:L86)</f>
        <v>0</v>
      </c>
      <c r="M62" s="1">
        <f>SUM(M63:M86)</f>
        <v>0</v>
      </c>
      <c r="N62" s="12" t="s">
        <v>55</v>
      </c>
      <c r="O62" s="1">
        <f>SUM(O63:O86)</f>
        <v>4.6459999999999994E-2</v>
      </c>
      <c r="P62" s="34" t="s">
        <v>55</v>
      </c>
      <c r="AI62" s="12" t="s">
        <v>215</v>
      </c>
      <c r="AS62" s="1">
        <f>SUM(AJ63:AJ86)</f>
        <v>0</v>
      </c>
      <c r="AT62" s="1">
        <f>SUM(AK63:AK86)</f>
        <v>0</v>
      </c>
      <c r="AU62" s="1">
        <f>SUM(AL63:AL86)</f>
        <v>0</v>
      </c>
    </row>
    <row r="63" spans="1:76" x14ac:dyDescent="0.25">
      <c r="A63" s="2" t="s">
        <v>219</v>
      </c>
      <c r="B63" s="3" t="s">
        <v>215</v>
      </c>
      <c r="C63" s="3" t="s">
        <v>220</v>
      </c>
      <c r="D63" s="70" t="s">
        <v>221</v>
      </c>
      <c r="E63" s="71"/>
      <c r="F63" s="3" t="s">
        <v>222</v>
      </c>
      <c r="G63" s="35">
        <v>8</v>
      </c>
      <c r="H63" s="68">
        <v>0</v>
      </c>
      <c r="I63" s="36">
        <v>21</v>
      </c>
      <c r="J63" s="35">
        <f t="shared" ref="J63:J86" si="54">ROUND(G63*AO63,2)</f>
        <v>0</v>
      </c>
      <c r="K63" s="35">
        <f t="shared" ref="K63:K86" si="55">ROUND(G63*AP63,2)</f>
        <v>0</v>
      </c>
      <c r="L63" s="35">
        <f t="shared" ref="L63:L86" si="56">ROUND(G63*H63,2)</f>
        <v>0</v>
      </c>
      <c r="M63" s="35">
        <f t="shared" ref="M63:M86" si="57">L63*(1+BW63/100)</f>
        <v>0</v>
      </c>
      <c r="N63" s="35">
        <v>2.7899999999999999E-3</v>
      </c>
      <c r="O63" s="35">
        <f t="shared" ref="O63:O86" si="58">G63*N63</f>
        <v>2.232E-2</v>
      </c>
      <c r="P63" s="37" t="s">
        <v>64</v>
      </c>
      <c r="Z63" s="35">
        <f t="shared" ref="Z63:Z86" si="59">ROUND(IF(AQ63="5",BJ63,0),2)</f>
        <v>0</v>
      </c>
      <c r="AB63" s="35">
        <f t="shared" ref="AB63:AB86" si="60">ROUND(IF(AQ63="1",BH63,0),2)</f>
        <v>0</v>
      </c>
      <c r="AC63" s="35">
        <f t="shared" ref="AC63:AC86" si="61">ROUND(IF(AQ63="1",BI63,0),2)</f>
        <v>0</v>
      </c>
      <c r="AD63" s="35">
        <f t="shared" ref="AD63:AD86" si="62">ROUND(IF(AQ63="7",BH63,0),2)</f>
        <v>0</v>
      </c>
      <c r="AE63" s="35">
        <f t="shared" ref="AE63:AE86" si="63">ROUND(IF(AQ63="7",BI63,0),2)</f>
        <v>0</v>
      </c>
      <c r="AF63" s="35">
        <f t="shared" ref="AF63:AF86" si="64">ROUND(IF(AQ63="2",BH63,0),2)</f>
        <v>0</v>
      </c>
      <c r="AG63" s="35">
        <f t="shared" ref="AG63:AG86" si="65">ROUND(IF(AQ63="2",BI63,0),2)</f>
        <v>0</v>
      </c>
      <c r="AH63" s="35">
        <f t="shared" ref="AH63:AH86" si="66">ROUND(IF(AQ63="0",BJ63,0),2)</f>
        <v>0</v>
      </c>
      <c r="AI63" s="12" t="s">
        <v>215</v>
      </c>
      <c r="AJ63" s="35">
        <f t="shared" ref="AJ63:AJ86" si="67">IF(AN63=0,L63,0)</f>
        <v>0</v>
      </c>
      <c r="AK63" s="35">
        <f t="shared" ref="AK63:AK86" si="68">IF(AN63=15,L63,0)</f>
        <v>0</v>
      </c>
      <c r="AL63" s="35">
        <f t="shared" ref="AL63:AL86" si="69">IF(AN63=21,L63,0)</f>
        <v>0</v>
      </c>
      <c r="AN63" s="35">
        <v>21</v>
      </c>
      <c r="AO63" s="35">
        <f>H63*0.319300874</f>
        <v>0</v>
      </c>
      <c r="AP63" s="35">
        <f>H63*(1-0.319300874)</f>
        <v>0</v>
      </c>
      <c r="AQ63" s="38" t="s">
        <v>65</v>
      </c>
      <c r="AV63" s="35">
        <f t="shared" ref="AV63:AV86" si="70">ROUND(AW63+AX63,2)</f>
        <v>0</v>
      </c>
      <c r="AW63" s="35">
        <f t="shared" ref="AW63:AW86" si="71">ROUND(G63*AO63,2)</f>
        <v>0</v>
      </c>
      <c r="AX63" s="35">
        <f t="shared" ref="AX63:AX86" si="72">ROUND(G63*AP63,2)</f>
        <v>0</v>
      </c>
      <c r="AY63" s="38" t="s">
        <v>223</v>
      </c>
      <c r="AZ63" s="38" t="s">
        <v>224</v>
      </c>
      <c r="BA63" s="12" t="s">
        <v>225</v>
      </c>
      <c r="BC63" s="35">
        <f t="shared" ref="BC63:BC86" si="73">AW63+AX63</f>
        <v>0</v>
      </c>
      <c r="BD63" s="35">
        <f t="shared" ref="BD63:BD86" si="74">H63/(100-BE63)*100</f>
        <v>0</v>
      </c>
      <c r="BE63" s="35">
        <v>0</v>
      </c>
      <c r="BF63" s="35">
        <f t="shared" ref="BF63:BF86" si="75">O63</f>
        <v>2.232E-2</v>
      </c>
      <c r="BH63" s="35">
        <f t="shared" ref="BH63:BH86" si="76">G63*AO63</f>
        <v>0</v>
      </c>
      <c r="BI63" s="35">
        <f t="shared" ref="BI63:BI86" si="77">G63*AP63</f>
        <v>0</v>
      </c>
      <c r="BJ63" s="35">
        <f t="shared" ref="BJ63:BJ86" si="78">G63*H63</f>
        <v>0</v>
      </c>
      <c r="BK63" s="38" t="s">
        <v>69</v>
      </c>
      <c r="BL63" s="35">
        <v>713</v>
      </c>
      <c r="BW63" s="35">
        <f t="shared" ref="BW63:BW86" si="79">I63</f>
        <v>21</v>
      </c>
      <c r="BX63" s="4" t="s">
        <v>221</v>
      </c>
    </row>
    <row r="64" spans="1:76" x14ac:dyDescent="0.25">
      <c r="A64" s="2" t="s">
        <v>226</v>
      </c>
      <c r="B64" s="3" t="s">
        <v>215</v>
      </c>
      <c r="C64" s="3" t="s">
        <v>227</v>
      </c>
      <c r="D64" s="70" t="s">
        <v>228</v>
      </c>
      <c r="E64" s="71"/>
      <c r="F64" s="3" t="s">
        <v>222</v>
      </c>
      <c r="G64" s="35">
        <v>8</v>
      </c>
      <c r="H64" s="68">
        <v>0</v>
      </c>
      <c r="I64" s="36">
        <v>21</v>
      </c>
      <c r="J64" s="35">
        <f t="shared" si="54"/>
        <v>0</v>
      </c>
      <c r="K64" s="35">
        <f t="shared" si="55"/>
        <v>0</v>
      </c>
      <c r="L64" s="35">
        <f t="shared" si="56"/>
        <v>0</v>
      </c>
      <c r="M64" s="35">
        <f t="shared" si="57"/>
        <v>0</v>
      </c>
      <c r="N64" s="35">
        <v>0</v>
      </c>
      <c r="O64" s="35">
        <f t="shared" si="58"/>
        <v>0</v>
      </c>
      <c r="P64" s="37" t="s">
        <v>64</v>
      </c>
      <c r="Z64" s="35">
        <f t="shared" si="59"/>
        <v>0</v>
      </c>
      <c r="AB64" s="35">
        <f t="shared" si="60"/>
        <v>0</v>
      </c>
      <c r="AC64" s="35">
        <f t="shared" si="61"/>
        <v>0</v>
      </c>
      <c r="AD64" s="35">
        <f t="shared" si="62"/>
        <v>0</v>
      </c>
      <c r="AE64" s="35">
        <f t="shared" si="63"/>
        <v>0</v>
      </c>
      <c r="AF64" s="35">
        <f t="shared" si="64"/>
        <v>0</v>
      </c>
      <c r="AG64" s="35">
        <f t="shared" si="65"/>
        <v>0</v>
      </c>
      <c r="AH64" s="35">
        <f t="shared" si="66"/>
        <v>0</v>
      </c>
      <c r="AI64" s="12" t="s">
        <v>215</v>
      </c>
      <c r="AJ64" s="35">
        <f t="shared" si="67"/>
        <v>0</v>
      </c>
      <c r="AK64" s="35">
        <f t="shared" si="68"/>
        <v>0</v>
      </c>
      <c r="AL64" s="35">
        <f t="shared" si="69"/>
        <v>0</v>
      </c>
      <c r="AN64" s="35">
        <v>21</v>
      </c>
      <c r="AO64" s="35">
        <f t="shared" ref="AO64:AO72" si="80">H64*1</f>
        <v>0</v>
      </c>
      <c r="AP64" s="35">
        <f t="shared" ref="AP64:AP72" si="81">H64*(1-1)</f>
        <v>0</v>
      </c>
      <c r="AQ64" s="38" t="s">
        <v>65</v>
      </c>
      <c r="AV64" s="35">
        <f t="shared" si="70"/>
        <v>0</v>
      </c>
      <c r="AW64" s="35">
        <f t="shared" si="71"/>
        <v>0</v>
      </c>
      <c r="AX64" s="35">
        <f t="shared" si="72"/>
        <v>0</v>
      </c>
      <c r="AY64" s="38" t="s">
        <v>223</v>
      </c>
      <c r="AZ64" s="38" t="s">
        <v>224</v>
      </c>
      <c r="BA64" s="12" t="s">
        <v>225</v>
      </c>
      <c r="BC64" s="35">
        <f t="shared" si="73"/>
        <v>0</v>
      </c>
      <c r="BD64" s="35">
        <f t="shared" si="74"/>
        <v>0</v>
      </c>
      <c r="BE64" s="35">
        <v>0</v>
      </c>
      <c r="BF64" s="35">
        <f t="shared" si="75"/>
        <v>0</v>
      </c>
      <c r="BH64" s="35">
        <f t="shared" si="76"/>
        <v>0</v>
      </c>
      <c r="BI64" s="35">
        <f t="shared" si="77"/>
        <v>0</v>
      </c>
      <c r="BJ64" s="35">
        <f t="shared" si="78"/>
        <v>0</v>
      </c>
      <c r="BK64" s="38" t="s">
        <v>156</v>
      </c>
      <c r="BL64" s="35">
        <v>713</v>
      </c>
      <c r="BW64" s="35">
        <f t="shared" si="79"/>
        <v>21</v>
      </c>
      <c r="BX64" s="4" t="s">
        <v>228</v>
      </c>
    </row>
    <row r="65" spans="1:76" x14ac:dyDescent="0.25">
      <c r="A65" s="2" t="s">
        <v>229</v>
      </c>
      <c r="B65" s="3" t="s">
        <v>215</v>
      </c>
      <c r="C65" s="3" t="s">
        <v>230</v>
      </c>
      <c r="D65" s="70" t="s">
        <v>231</v>
      </c>
      <c r="E65" s="71"/>
      <c r="F65" s="3" t="s">
        <v>63</v>
      </c>
      <c r="G65" s="35">
        <v>17</v>
      </c>
      <c r="H65" s="68">
        <v>0</v>
      </c>
      <c r="I65" s="36">
        <v>21</v>
      </c>
      <c r="J65" s="35">
        <f t="shared" si="54"/>
        <v>0</v>
      </c>
      <c r="K65" s="35">
        <f t="shared" si="55"/>
        <v>0</v>
      </c>
      <c r="L65" s="35">
        <f t="shared" si="56"/>
        <v>0</v>
      </c>
      <c r="M65" s="35">
        <f t="shared" si="57"/>
        <v>0</v>
      </c>
      <c r="N65" s="35">
        <v>0</v>
      </c>
      <c r="O65" s="35">
        <f t="shared" si="58"/>
        <v>0</v>
      </c>
      <c r="P65" s="37" t="s">
        <v>64</v>
      </c>
      <c r="Z65" s="35">
        <f t="shared" si="59"/>
        <v>0</v>
      </c>
      <c r="AB65" s="35">
        <f t="shared" si="60"/>
        <v>0</v>
      </c>
      <c r="AC65" s="35">
        <f t="shared" si="61"/>
        <v>0</v>
      </c>
      <c r="AD65" s="35">
        <f t="shared" si="62"/>
        <v>0</v>
      </c>
      <c r="AE65" s="35">
        <f t="shared" si="63"/>
        <v>0</v>
      </c>
      <c r="AF65" s="35">
        <f t="shared" si="64"/>
        <v>0</v>
      </c>
      <c r="AG65" s="35">
        <f t="shared" si="65"/>
        <v>0</v>
      </c>
      <c r="AH65" s="35">
        <f t="shared" si="66"/>
        <v>0</v>
      </c>
      <c r="AI65" s="12" t="s">
        <v>215</v>
      </c>
      <c r="AJ65" s="35">
        <f t="shared" si="67"/>
        <v>0</v>
      </c>
      <c r="AK65" s="35">
        <f t="shared" si="68"/>
        <v>0</v>
      </c>
      <c r="AL65" s="35">
        <f t="shared" si="69"/>
        <v>0</v>
      </c>
      <c r="AN65" s="35">
        <v>21</v>
      </c>
      <c r="AO65" s="35">
        <f t="shared" si="80"/>
        <v>0</v>
      </c>
      <c r="AP65" s="35">
        <f t="shared" si="81"/>
        <v>0</v>
      </c>
      <c r="AQ65" s="38" t="s">
        <v>65</v>
      </c>
      <c r="AV65" s="35">
        <f t="shared" si="70"/>
        <v>0</v>
      </c>
      <c r="AW65" s="35">
        <f t="shared" si="71"/>
        <v>0</v>
      </c>
      <c r="AX65" s="35">
        <f t="shared" si="72"/>
        <v>0</v>
      </c>
      <c r="AY65" s="38" t="s">
        <v>223</v>
      </c>
      <c r="AZ65" s="38" t="s">
        <v>224</v>
      </c>
      <c r="BA65" s="12" t="s">
        <v>225</v>
      </c>
      <c r="BC65" s="35">
        <f t="shared" si="73"/>
        <v>0</v>
      </c>
      <c r="BD65" s="35">
        <f t="shared" si="74"/>
        <v>0</v>
      </c>
      <c r="BE65" s="35">
        <v>0</v>
      </c>
      <c r="BF65" s="35">
        <f t="shared" si="75"/>
        <v>0</v>
      </c>
      <c r="BH65" s="35">
        <f t="shared" si="76"/>
        <v>0</v>
      </c>
      <c r="BI65" s="35">
        <f t="shared" si="77"/>
        <v>0</v>
      </c>
      <c r="BJ65" s="35">
        <f t="shared" si="78"/>
        <v>0</v>
      </c>
      <c r="BK65" s="38" t="s">
        <v>156</v>
      </c>
      <c r="BL65" s="35">
        <v>713</v>
      </c>
      <c r="BW65" s="35">
        <f t="shared" si="79"/>
        <v>21</v>
      </c>
      <c r="BX65" s="4" t="s">
        <v>231</v>
      </c>
    </row>
    <row r="66" spans="1:76" x14ac:dyDescent="0.25">
      <c r="A66" s="2" t="s">
        <v>232</v>
      </c>
      <c r="B66" s="3" t="s">
        <v>215</v>
      </c>
      <c r="C66" s="3" t="s">
        <v>233</v>
      </c>
      <c r="D66" s="70" t="s">
        <v>234</v>
      </c>
      <c r="E66" s="71"/>
      <c r="F66" s="3" t="s">
        <v>63</v>
      </c>
      <c r="G66" s="35">
        <v>7</v>
      </c>
      <c r="H66" s="68">
        <v>0</v>
      </c>
      <c r="I66" s="36">
        <v>21</v>
      </c>
      <c r="J66" s="35">
        <f t="shared" si="54"/>
        <v>0</v>
      </c>
      <c r="K66" s="35">
        <f t="shared" si="55"/>
        <v>0</v>
      </c>
      <c r="L66" s="35">
        <f t="shared" si="56"/>
        <v>0</v>
      </c>
      <c r="M66" s="35">
        <f t="shared" si="57"/>
        <v>0</v>
      </c>
      <c r="N66" s="35">
        <v>0</v>
      </c>
      <c r="O66" s="35">
        <f t="shared" si="58"/>
        <v>0</v>
      </c>
      <c r="P66" s="37" t="s">
        <v>64</v>
      </c>
      <c r="Z66" s="35">
        <f t="shared" si="59"/>
        <v>0</v>
      </c>
      <c r="AB66" s="35">
        <f t="shared" si="60"/>
        <v>0</v>
      </c>
      <c r="AC66" s="35">
        <f t="shared" si="61"/>
        <v>0</v>
      </c>
      <c r="AD66" s="35">
        <f t="shared" si="62"/>
        <v>0</v>
      </c>
      <c r="AE66" s="35">
        <f t="shared" si="63"/>
        <v>0</v>
      </c>
      <c r="AF66" s="35">
        <f t="shared" si="64"/>
        <v>0</v>
      </c>
      <c r="AG66" s="35">
        <f t="shared" si="65"/>
        <v>0</v>
      </c>
      <c r="AH66" s="35">
        <f t="shared" si="66"/>
        <v>0</v>
      </c>
      <c r="AI66" s="12" t="s">
        <v>215</v>
      </c>
      <c r="AJ66" s="35">
        <f t="shared" si="67"/>
        <v>0</v>
      </c>
      <c r="AK66" s="35">
        <f t="shared" si="68"/>
        <v>0</v>
      </c>
      <c r="AL66" s="35">
        <f t="shared" si="69"/>
        <v>0</v>
      </c>
      <c r="AN66" s="35">
        <v>21</v>
      </c>
      <c r="AO66" s="35">
        <f t="shared" si="80"/>
        <v>0</v>
      </c>
      <c r="AP66" s="35">
        <f t="shared" si="81"/>
        <v>0</v>
      </c>
      <c r="AQ66" s="38" t="s">
        <v>65</v>
      </c>
      <c r="AV66" s="35">
        <f t="shared" si="70"/>
        <v>0</v>
      </c>
      <c r="AW66" s="35">
        <f t="shared" si="71"/>
        <v>0</v>
      </c>
      <c r="AX66" s="35">
        <f t="shared" si="72"/>
        <v>0</v>
      </c>
      <c r="AY66" s="38" t="s">
        <v>223</v>
      </c>
      <c r="AZ66" s="38" t="s">
        <v>224</v>
      </c>
      <c r="BA66" s="12" t="s">
        <v>225</v>
      </c>
      <c r="BC66" s="35">
        <f t="shared" si="73"/>
        <v>0</v>
      </c>
      <c r="BD66" s="35">
        <f t="shared" si="74"/>
        <v>0</v>
      </c>
      <c r="BE66" s="35">
        <v>0</v>
      </c>
      <c r="BF66" s="35">
        <f t="shared" si="75"/>
        <v>0</v>
      </c>
      <c r="BH66" s="35">
        <f t="shared" si="76"/>
        <v>0</v>
      </c>
      <c r="BI66" s="35">
        <f t="shared" si="77"/>
        <v>0</v>
      </c>
      <c r="BJ66" s="35">
        <f t="shared" si="78"/>
        <v>0</v>
      </c>
      <c r="BK66" s="38" t="s">
        <v>156</v>
      </c>
      <c r="BL66" s="35">
        <v>713</v>
      </c>
      <c r="BW66" s="35">
        <f t="shared" si="79"/>
        <v>21</v>
      </c>
      <c r="BX66" s="4" t="s">
        <v>234</v>
      </c>
    </row>
    <row r="67" spans="1:76" x14ac:dyDescent="0.25">
      <c r="A67" s="2" t="s">
        <v>235</v>
      </c>
      <c r="B67" s="3" t="s">
        <v>215</v>
      </c>
      <c r="C67" s="3" t="s">
        <v>236</v>
      </c>
      <c r="D67" s="70" t="s">
        <v>237</v>
      </c>
      <c r="E67" s="71"/>
      <c r="F67" s="3" t="s">
        <v>63</v>
      </c>
      <c r="G67" s="35">
        <v>55</v>
      </c>
      <c r="H67" s="68">
        <v>0</v>
      </c>
      <c r="I67" s="36">
        <v>21</v>
      </c>
      <c r="J67" s="35">
        <f t="shared" si="54"/>
        <v>0</v>
      </c>
      <c r="K67" s="35">
        <f t="shared" si="55"/>
        <v>0</v>
      </c>
      <c r="L67" s="35">
        <f t="shared" si="56"/>
        <v>0</v>
      </c>
      <c r="M67" s="35">
        <f t="shared" si="57"/>
        <v>0</v>
      </c>
      <c r="N67" s="35">
        <v>0</v>
      </c>
      <c r="O67" s="35">
        <f t="shared" si="58"/>
        <v>0</v>
      </c>
      <c r="P67" s="37" t="s">
        <v>64</v>
      </c>
      <c r="Z67" s="35">
        <f t="shared" si="59"/>
        <v>0</v>
      </c>
      <c r="AB67" s="35">
        <f t="shared" si="60"/>
        <v>0</v>
      </c>
      <c r="AC67" s="35">
        <f t="shared" si="61"/>
        <v>0</v>
      </c>
      <c r="AD67" s="35">
        <f t="shared" si="62"/>
        <v>0</v>
      </c>
      <c r="AE67" s="35">
        <f t="shared" si="63"/>
        <v>0</v>
      </c>
      <c r="AF67" s="35">
        <f t="shared" si="64"/>
        <v>0</v>
      </c>
      <c r="AG67" s="35">
        <f t="shared" si="65"/>
        <v>0</v>
      </c>
      <c r="AH67" s="35">
        <f t="shared" si="66"/>
        <v>0</v>
      </c>
      <c r="AI67" s="12" t="s">
        <v>215</v>
      </c>
      <c r="AJ67" s="35">
        <f t="shared" si="67"/>
        <v>0</v>
      </c>
      <c r="AK67" s="35">
        <f t="shared" si="68"/>
        <v>0</v>
      </c>
      <c r="AL67" s="35">
        <f t="shared" si="69"/>
        <v>0</v>
      </c>
      <c r="AN67" s="35">
        <v>21</v>
      </c>
      <c r="AO67" s="35">
        <f t="shared" si="80"/>
        <v>0</v>
      </c>
      <c r="AP67" s="35">
        <f t="shared" si="81"/>
        <v>0</v>
      </c>
      <c r="AQ67" s="38" t="s">
        <v>65</v>
      </c>
      <c r="AV67" s="35">
        <f t="shared" si="70"/>
        <v>0</v>
      </c>
      <c r="AW67" s="35">
        <f t="shared" si="71"/>
        <v>0</v>
      </c>
      <c r="AX67" s="35">
        <f t="shared" si="72"/>
        <v>0</v>
      </c>
      <c r="AY67" s="38" t="s">
        <v>223</v>
      </c>
      <c r="AZ67" s="38" t="s">
        <v>224</v>
      </c>
      <c r="BA67" s="12" t="s">
        <v>225</v>
      </c>
      <c r="BC67" s="35">
        <f t="shared" si="73"/>
        <v>0</v>
      </c>
      <c r="BD67" s="35">
        <f t="shared" si="74"/>
        <v>0</v>
      </c>
      <c r="BE67" s="35">
        <v>0</v>
      </c>
      <c r="BF67" s="35">
        <f t="shared" si="75"/>
        <v>0</v>
      </c>
      <c r="BH67" s="35">
        <f t="shared" si="76"/>
        <v>0</v>
      </c>
      <c r="BI67" s="35">
        <f t="shared" si="77"/>
        <v>0</v>
      </c>
      <c r="BJ67" s="35">
        <f t="shared" si="78"/>
        <v>0</v>
      </c>
      <c r="BK67" s="38" t="s">
        <v>156</v>
      </c>
      <c r="BL67" s="35">
        <v>713</v>
      </c>
      <c r="BW67" s="35">
        <f t="shared" si="79"/>
        <v>21</v>
      </c>
      <c r="BX67" s="4" t="s">
        <v>237</v>
      </c>
    </row>
    <row r="68" spans="1:76" x14ac:dyDescent="0.25">
      <c r="A68" s="2" t="s">
        <v>238</v>
      </c>
      <c r="B68" s="3" t="s">
        <v>215</v>
      </c>
      <c r="C68" s="3" t="s">
        <v>239</v>
      </c>
      <c r="D68" s="70" t="s">
        <v>240</v>
      </c>
      <c r="E68" s="71"/>
      <c r="F68" s="3" t="s">
        <v>63</v>
      </c>
      <c r="G68" s="35">
        <v>138</v>
      </c>
      <c r="H68" s="68">
        <v>0</v>
      </c>
      <c r="I68" s="36">
        <v>21</v>
      </c>
      <c r="J68" s="35">
        <f t="shared" si="54"/>
        <v>0</v>
      </c>
      <c r="K68" s="35">
        <f t="shared" si="55"/>
        <v>0</v>
      </c>
      <c r="L68" s="35">
        <f t="shared" si="56"/>
        <v>0</v>
      </c>
      <c r="M68" s="35">
        <f t="shared" si="57"/>
        <v>0</v>
      </c>
      <c r="N68" s="35">
        <v>0</v>
      </c>
      <c r="O68" s="35">
        <f t="shared" si="58"/>
        <v>0</v>
      </c>
      <c r="P68" s="37" t="s">
        <v>64</v>
      </c>
      <c r="Z68" s="35">
        <f t="shared" si="59"/>
        <v>0</v>
      </c>
      <c r="AB68" s="35">
        <f t="shared" si="60"/>
        <v>0</v>
      </c>
      <c r="AC68" s="35">
        <f t="shared" si="61"/>
        <v>0</v>
      </c>
      <c r="AD68" s="35">
        <f t="shared" si="62"/>
        <v>0</v>
      </c>
      <c r="AE68" s="35">
        <f t="shared" si="63"/>
        <v>0</v>
      </c>
      <c r="AF68" s="35">
        <f t="shared" si="64"/>
        <v>0</v>
      </c>
      <c r="AG68" s="35">
        <f t="shared" si="65"/>
        <v>0</v>
      </c>
      <c r="AH68" s="35">
        <f t="shared" si="66"/>
        <v>0</v>
      </c>
      <c r="AI68" s="12" t="s">
        <v>215</v>
      </c>
      <c r="AJ68" s="35">
        <f t="shared" si="67"/>
        <v>0</v>
      </c>
      <c r="AK68" s="35">
        <f t="shared" si="68"/>
        <v>0</v>
      </c>
      <c r="AL68" s="35">
        <f t="shared" si="69"/>
        <v>0</v>
      </c>
      <c r="AN68" s="35">
        <v>21</v>
      </c>
      <c r="AO68" s="35">
        <f t="shared" si="80"/>
        <v>0</v>
      </c>
      <c r="AP68" s="35">
        <f t="shared" si="81"/>
        <v>0</v>
      </c>
      <c r="AQ68" s="38" t="s">
        <v>65</v>
      </c>
      <c r="AV68" s="35">
        <f t="shared" si="70"/>
        <v>0</v>
      </c>
      <c r="AW68" s="35">
        <f t="shared" si="71"/>
        <v>0</v>
      </c>
      <c r="AX68" s="35">
        <f t="shared" si="72"/>
        <v>0</v>
      </c>
      <c r="AY68" s="38" t="s">
        <v>223</v>
      </c>
      <c r="AZ68" s="38" t="s">
        <v>224</v>
      </c>
      <c r="BA68" s="12" t="s">
        <v>225</v>
      </c>
      <c r="BC68" s="35">
        <f t="shared" si="73"/>
        <v>0</v>
      </c>
      <c r="BD68" s="35">
        <f t="shared" si="74"/>
        <v>0</v>
      </c>
      <c r="BE68" s="35">
        <v>0</v>
      </c>
      <c r="BF68" s="35">
        <f t="shared" si="75"/>
        <v>0</v>
      </c>
      <c r="BH68" s="35">
        <f t="shared" si="76"/>
        <v>0</v>
      </c>
      <c r="BI68" s="35">
        <f t="shared" si="77"/>
        <v>0</v>
      </c>
      <c r="BJ68" s="35">
        <f t="shared" si="78"/>
        <v>0</v>
      </c>
      <c r="BK68" s="38" t="s">
        <v>156</v>
      </c>
      <c r="BL68" s="35">
        <v>713</v>
      </c>
      <c r="BW68" s="35">
        <f t="shared" si="79"/>
        <v>21</v>
      </c>
      <c r="BX68" s="4" t="s">
        <v>240</v>
      </c>
    </row>
    <row r="69" spans="1:76" x14ac:dyDescent="0.25">
      <c r="A69" s="2" t="s">
        <v>241</v>
      </c>
      <c r="B69" s="3" t="s">
        <v>215</v>
      </c>
      <c r="C69" s="3" t="s">
        <v>242</v>
      </c>
      <c r="D69" s="70" t="s">
        <v>243</v>
      </c>
      <c r="E69" s="71"/>
      <c r="F69" s="3" t="s">
        <v>63</v>
      </c>
      <c r="G69" s="35">
        <v>127</v>
      </c>
      <c r="H69" s="68">
        <v>0</v>
      </c>
      <c r="I69" s="36">
        <v>21</v>
      </c>
      <c r="J69" s="35">
        <f t="shared" si="54"/>
        <v>0</v>
      </c>
      <c r="K69" s="35">
        <f t="shared" si="55"/>
        <v>0</v>
      </c>
      <c r="L69" s="35">
        <f t="shared" si="56"/>
        <v>0</v>
      </c>
      <c r="M69" s="35">
        <f t="shared" si="57"/>
        <v>0</v>
      </c>
      <c r="N69" s="35">
        <v>0</v>
      </c>
      <c r="O69" s="35">
        <f t="shared" si="58"/>
        <v>0</v>
      </c>
      <c r="P69" s="37" t="s">
        <v>64</v>
      </c>
      <c r="Z69" s="35">
        <f t="shared" si="59"/>
        <v>0</v>
      </c>
      <c r="AB69" s="35">
        <f t="shared" si="60"/>
        <v>0</v>
      </c>
      <c r="AC69" s="35">
        <f t="shared" si="61"/>
        <v>0</v>
      </c>
      <c r="AD69" s="35">
        <f t="shared" si="62"/>
        <v>0</v>
      </c>
      <c r="AE69" s="35">
        <f t="shared" si="63"/>
        <v>0</v>
      </c>
      <c r="AF69" s="35">
        <f t="shared" si="64"/>
        <v>0</v>
      </c>
      <c r="AG69" s="35">
        <f t="shared" si="65"/>
        <v>0</v>
      </c>
      <c r="AH69" s="35">
        <f t="shared" si="66"/>
        <v>0</v>
      </c>
      <c r="AI69" s="12" t="s">
        <v>215</v>
      </c>
      <c r="AJ69" s="35">
        <f t="shared" si="67"/>
        <v>0</v>
      </c>
      <c r="AK69" s="35">
        <f t="shared" si="68"/>
        <v>0</v>
      </c>
      <c r="AL69" s="35">
        <f t="shared" si="69"/>
        <v>0</v>
      </c>
      <c r="AN69" s="35">
        <v>21</v>
      </c>
      <c r="AO69" s="35">
        <f t="shared" si="80"/>
        <v>0</v>
      </c>
      <c r="AP69" s="35">
        <f t="shared" si="81"/>
        <v>0</v>
      </c>
      <c r="AQ69" s="38" t="s">
        <v>65</v>
      </c>
      <c r="AV69" s="35">
        <f t="shared" si="70"/>
        <v>0</v>
      </c>
      <c r="AW69" s="35">
        <f t="shared" si="71"/>
        <v>0</v>
      </c>
      <c r="AX69" s="35">
        <f t="shared" si="72"/>
        <v>0</v>
      </c>
      <c r="AY69" s="38" t="s">
        <v>223</v>
      </c>
      <c r="AZ69" s="38" t="s">
        <v>224</v>
      </c>
      <c r="BA69" s="12" t="s">
        <v>225</v>
      </c>
      <c r="BC69" s="35">
        <f t="shared" si="73"/>
        <v>0</v>
      </c>
      <c r="BD69" s="35">
        <f t="shared" si="74"/>
        <v>0</v>
      </c>
      <c r="BE69" s="35">
        <v>0</v>
      </c>
      <c r="BF69" s="35">
        <f t="shared" si="75"/>
        <v>0</v>
      </c>
      <c r="BH69" s="35">
        <f t="shared" si="76"/>
        <v>0</v>
      </c>
      <c r="BI69" s="35">
        <f t="shared" si="77"/>
        <v>0</v>
      </c>
      <c r="BJ69" s="35">
        <f t="shared" si="78"/>
        <v>0</v>
      </c>
      <c r="BK69" s="38" t="s">
        <v>156</v>
      </c>
      <c r="BL69" s="35">
        <v>713</v>
      </c>
      <c r="BW69" s="35">
        <f t="shared" si="79"/>
        <v>21</v>
      </c>
      <c r="BX69" s="4" t="s">
        <v>243</v>
      </c>
    </row>
    <row r="70" spans="1:76" x14ac:dyDescent="0.25">
      <c r="A70" s="2" t="s">
        <v>244</v>
      </c>
      <c r="B70" s="3" t="s">
        <v>215</v>
      </c>
      <c r="C70" s="3" t="s">
        <v>245</v>
      </c>
      <c r="D70" s="70" t="s">
        <v>246</v>
      </c>
      <c r="E70" s="71"/>
      <c r="F70" s="3" t="s">
        <v>63</v>
      </c>
      <c r="G70" s="35">
        <v>96</v>
      </c>
      <c r="H70" s="68">
        <v>0</v>
      </c>
      <c r="I70" s="36">
        <v>21</v>
      </c>
      <c r="J70" s="35">
        <f t="shared" si="54"/>
        <v>0</v>
      </c>
      <c r="K70" s="35">
        <f t="shared" si="55"/>
        <v>0</v>
      </c>
      <c r="L70" s="35">
        <f t="shared" si="56"/>
        <v>0</v>
      </c>
      <c r="M70" s="35">
        <f t="shared" si="57"/>
        <v>0</v>
      </c>
      <c r="N70" s="35">
        <v>0</v>
      </c>
      <c r="O70" s="35">
        <f t="shared" si="58"/>
        <v>0</v>
      </c>
      <c r="P70" s="37" t="s">
        <v>64</v>
      </c>
      <c r="Z70" s="35">
        <f t="shared" si="59"/>
        <v>0</v>
      </c>
      <c r="AB70" s="35">
        <f t="shared" si="60"/>
        <v>0</v>
      </c>
      <c r="AC70" s="35">
        <f t="shared" si="61"/>
        <v>0</v>
      </c>
      <c r="AD70" s="35">
        <f t="shared" si="62"/>
        <v>0</v>
      </c>
      <c r="AE70" s="35">
        <f t="shared" si="63"/>
        <v>0</v>
      </c>
      <c r="AF70" s="35">
        <f t="shared" si="64"/>
        <v>0</v>
      </c>
      <c r="AG70" s="35">
        <f t="shared" si="65"/>
        <v>0</v>
      </c>
      <c r="AH70" s="35">
        <f t="shared" si="66"/>
        <v>0</v>
      </c>
      <c r="AI70" s="12" t="s">
        <v>215</v>
      </c>
      <c r="AJ70" s="35">
        <f t="shared" si="67"/>
        <v>0</v>
      </c>
      <c r="AK70" s="35">
        <f t="shared" si="68"/>
        <v>0</v>
      </c>
      <c r="AL70" s="35">
        <f t="shared" si="69"/>
        <v>0</v>
      </c>
      <c r="AN70" s="35">
        <v>21</v>
      </c>
      <c r="AO70" s="35">
        <f t="shared" si="80"/>
        <v>0</v>
      </c>
      <c r="AP70" s="35">
        <f t="shared" si="81"/>
        <v>0</v>
      </c>
      <c r="AQ70" s="38" t="s">
        <v>65</v>
      </c>
      <c r="AV70" s="35">
        <f t="shared" si="70"/>
        <v>0</v>
      </c>
      <c r="AW70" s="35">
        <f t="shared" si="71"/>
        <v>0</v>
      </c>
      <c r="AX70" s="35">
        <f t="shared" si="72"/>
        <v>0</v>
      </c>
      <c r="AY70" s="38" t="s">
        <v>223</v>
      </c>
      <c r="AZ70" s="38" t="s">
        <v>224</v>
      </c>
      <c r="BA70" s="12" t="s">
        <v>225</v>
      </c>
      <c r="BC70" s="35">
        <f t="shared" si="73"/>
        <v>0</v>
      </c>
      <c r="BD70" s="35">
        <f t="shared" si="74"/>
        <v>0</v>
      </c>
      <c r="BE70" s="35">
        <v>0</v>
      </c>
      <c r="BF70" s="35">
        <f t="shared" si="75"/>
        <v>0</v>
      </c>
      <c r="BH70" s="35">
        <f t="shared" si="76"/>
        <v>0</v>
      </c>
      <c r="BI70" s="35">
        <f t="shared" si="77"/>
        <v>0</v>
      </c>
      <c r="BJ70" s="35">
        <f t="shared" si="78"/>
        <v>0</v>
      </c>
      <c r="BK70" s="38" t="s">
        <v>156</v>
      </c>
      <c r="BL70" s="35">
        <v>713</v>
      </c>
      <c r="BW70" s="35">
        <f t="shared" si="79"/>
        <v>21</v>
      </c>
      <c r="BX70" s="4" t="s">
        <v>246</v>
      </c>
    </row>
    <row r="71" spans="1:76" x14ac:dyDescent="0.25">
      <c r="A71" s="2" t="s">
        <v>247</v>
      </c>
      <c r="B71" s="3" t="s">
        <v>215</v>
      </c>
      <c r="C71" s="3" t="s">
        <v>248</v>
      </c>
      <c r="D71" s="70" t="s">
        <v>249</v>
      </c>
      <c r="E71" s="71"/>
      <c r="F71" s="3" t="s">
        <v>63</v>
      </c>
      <c r="G71" s="35">
        <v>7</v>
      </c>
      <c r="H71" s="68">
        <v>0</v>
      </c>
      <c r="I71" s="36">
        <v>21</v>
      </c>
      <c r="J71" s="35">
        <f t="shared" si="54"/>
        <v>0</v>
      </c>
      <c r="K71" s="35">
        <f t="shared" si="55"/>
        <v>0</v>
      </c>
      <c r="L71" s="35">
        <f t="shared" si="56"/>
        <v>0</v>
      </c>
      <c r="M71" s="35">
        <f t="shared" si="57"/>
        <v>0</v>
      </c>
      <c r="N71" s="35">
        <v>0</v>
      </c>
      <c r="O71" s="35">
        <f t="shared" si="58"/>
        <v>0</v>
      </c>
      <c r="P71" s="37" t="s">
        <v>64</v>
      </c>
      <c r="Z71" s="35">
        <f t="shared" si="59"/>
        <v>0</v>
      </c>
      <c r="AB71" s="35">
        <f t="shared" si="60"/>
        <v>0</v>
      </c>
      <c r="AC71" s="35">
        <f t="shared" si="61"/>
        <v>0</v>
      </c>
      <c r="AD71" s="35">
        <f t="shared" si="62"/>
        <v>0</v>
      </c>
      <c r="AE71" s="35">
        <f t="shared" si="63"/>
        <v>0</v>
      </c>
      <c r="AF71" s="35">
        <f t="shared" si="64"/>
        <v>0</v>
      </c>
      <c r="AG71" s="35">
        <f t="shared" si="65"/>
        <v>0</v>
      </c>
      <c r="AH71" s="35">
        <f t="shared" si="66"/>
        <v>0</v>
      </c>
      <c r="AI71" s="12" t="s">
        <v>215</v>
      </c>
      <c r="AJ71" s="35">
        <f t="shared" si="67"/>
        <v>0</v>
      </c>
      <c r="AK71" s="35">
        <f t="shared" si="68"/>
        <v>0</v>
      </c>
      <c r="AL71" s="35">
        <f t="shared" si="69"/>
        <v>0</v>
      </c>
      <c r="AN71" s="35">
        <v>21</v>
      </c>
      <c r="AO71" s="35">
        <f t="shared" si="80"/>
        <v>0</v>
      </c>
      <c r="AP71" s="35">
        <f t="shared" si="81"/>
        <v>0</v>
      </c>
      <c r="AQ71" s="38" t="s">
        <v>65</v>
      </c>
      <c r="AV71" s="35">
        <f t="shared" si="70"/>
        <v>0</v>
      </c>
      <c r="AW71" s="35">
        <f t="shared" si="71"/>
        <v>0</v>
      </c>
      <c r="AX71" s="35">
        <f t="shared" si="72"/>
        <v>0</v>
      </c>
      <c r="AY71" s="38" t="s">
        <v>223</v>
      </c>
      <c r="AZ71" s="38" t="s">
        <v>224</v>
      </c>
      <c r="BA71" s="12" t="s">
        <v>225</v>
      </c>
      <c r="BC71" s="35">
        <f t="shared" si="73"/>
        <v>0</v>
      </c>
      <c r="BD71" s="35">
        <f t="shared" si="74"/>
        <v>0</v>
      </c>
      <c r="BE71" s="35">
        <v>0</v>
      </c>
      <c r="BF71" s="35">
        <f t="shared" si="75"/>
        <v>0</v>
      </c>
      <c r="BH71" s="35">
        <f t="shared" si="76"/>
        <v>0</v>
      </c>
      <c r="BI71" s="35">
        <f t="shared" si="77"/>
        <v>0</v>
      </c>
      <c r="BJ71" s="35">
        <f t="shared" si="78"/>
        <v>0</v>
      </c>
      <c r="BK71" s="38" t="s">
        <v>156</v>
      </c>
      <c r="BL71" s="35">
        <v>713</v>
      </c>
      <c r="BW71" s="35">
        <f t="shared" si="79"/>
        <v>21</v>
      </c>
      <c r="BX71" s="4" t="s">
        <v>249</v>
      </c>
    </row>
    <row r="72" spans="1:76" x14ac:dyDescent="0.25">
      <c r="A72" s="2" t="s">
        <v>250</v>
      </c>
      <c r="B72" s="3" t="s">
        <v>215</v>
      </c>
      <c r="C72" s="3" t="s">
        <v>251</v>
      </c>
      <c r="D72" s="70" t="s">
        <v>252</v>
      </c>
      <c r="E72" s="71"/>
      <c r="F72" s="3" t="s">
        <v>63</v>
      </c>
      <c r="G72" s="35">
        <v>55</v>
      </c>
      <c r="H72" s="68">
        <v>0</v>
      </c>
      <c r="I72" s="36">
        <v>21</v>
      </c>
      <c r="J72" s="35">
        <f t="shared" si="54"/>
        <v>0</v>
      </c>
      <c r="K72" s="35">
        <f t="shared" si="55"/>
        <v>0</v>
      </c>
      <c r="L72" s="35">
        <f t="shared" si="56"/>
        <v>0</v>
      </c>
      <c r="M72" s="35">
        <f t="shared" si="57"/>
        <v>0</v>
      </c>
      <c r="N72" s="35">
        <v>0</v>
      </c>
      <c r="O72" s="35">
        <f t="shared" si="58"/>
        <v>0</v>
      </c>
      <c r="P72" s="37" t="s">
        <v>64</v>
      </c>
      <c r="Z72" s="35">
        <f t="shared" si="59"/>
        <v>0</v>
      </c>
      <c r="AB72" s="35">
        <f t="shared" si="60"/>
        <v>0</v>
      </c>
      <c r="AC72" s="35">
        <f t="shared" si="61"/>
        <v>0</v>
      </c>
      <c r="AD72" s="35">
        <f t="shared" si="62"/>
        <v>0</v>
      </c>
      <c r="AE72" s="35">
        <f t="shared" si="63"/>
        <v>0</v>
      </c>
      <c r="AF72" s="35">
        <f t="shared" si="64"/>
        <v>0</v>
      </c>
      <c r="AG72" s="35">
        <f t="shared" si="65"/>
        <v>0</v>
      </c>
      <c r="AH72" s="35">
        <f t="shared" si="66"/>
        <v>0</v>
      </c>
      <c r="AI72" s="12" t="s">
        <v>215</v>
      </c>
      <c r="AJ72" s="35">
        <f t="shared" si="67"/>
        <v>0</v>
      </c>
      <c r="AK72" s="35">
        <f t="shared" si="68"/>
        <v>0</v>
      </c>
      <c r="AL72" s="35">
        <f t="shared" si="69"/>
        <v>0</v>
      </c>
      <c r="AN72" s="35">
        <v>21</v>
      </c>
      <c r="AO72" s="35">
        <f t="shared" si="80"/>
        <v>0</v>
      </c>
      <c r="AP72" s="35">
        <f t="shared" si="81"/>
        <v>0</v>
      </c>
      <c r="AQ72" s="38" t="s">
        <v>65</v>
      </c>
      <c r="AV72" s="35">
        <f t="shared" si="70"/>
        <v>0</v>
      </c>
      <c r="AW72" s="35">
        <f t="shared" si="71"/>
        <v>0</v>
      </c>
      <c r="AX72" s="35">
        <f t="shared" si="72"/>
        <v>0</v>
      </c>
      <c r="AY72" s="38" t="s">
        <v>223</v>
      </c>
      <c r="AZ72" s="38" t="s">
        <v>224</v>
      </c>
      <c r="BA72" s="12" t="s">
        <v>225</v>
      </c>
      <c r="BC72" s="35">
        <f t="shared" si="73"/>
        <v>0</v>
      </c>
      <c r="BD72" s="35">
        <f t="shared" si="74"/>
        <v>0</v>
      </c>
      <c r="BE72" s="35">
        <v>0</v>
      </c>
      <c r="BF72" s="35">
        <f t="shared" si="75"/>
        <v>0</v>
      </c>
      <c r="BH72" s="35">
        <f t="shared" si="76"/>
        <v>0</v>
      </c>
      <c r="BI72" s="35">
        <f t="shared" si="77"/>
        <v>0</v>
      </c>
      <c r="BJ72" s="35">
        <f t="shared" si="78"/>
        <v>0</v>
      </c>
      <c r="BK72" s="38" t="s">
        <v>156</v>
      </c>
      <c r="BL72" s="35">
        <v>713</v>
      </c>
      <c r="BW72" s="35">
        <f t="shared" si="79"/>
        <v>21</v>
      </c>
      <c r="BX72" s="4" t="s">
        <v>252</v>
      </c>
    </row>
    <row r="73" spans="1:76" x14ac:dyDescent="0.25">
      <c r="A73" s="2" t="s">
        <v>253</v>
      </c>
      <c r="B73" s="3" t="s">
        <v>215</v>
      </c>
      <c r="C73" s="3" t="s">
        <v>254</v>
      </c>
      <c r="D73" s="70" t="s">
        <v>255</v>
      </c>
      <c r="E73" s="71"/>
      <c r="F73" s="3" t="s">
        <v>63</v>
      </c>
      <c r="G73" s="35">
        <v>217</v>
      </c>
      <c r="H73" s="68">
        <v>0</v>
      </c>
      <c r="I73" s="36">
        <v>21</v>
      </c>
      <c r="J73" s="35">
        <f t="shared" si="54"/>
        <v>0</v>
      </c>
      <c r="K73" s="35">
        <f t="shared" si="55"/>
        <v>0</v>
      </c>
      <c r="L73" s="35">
        <f t="shared" si="56"/>
        <v>0</v>
      </c>
      <c r="M73" s="35">
        <f t="shared" si="57"/>
        <v>0</v>
      </c>
      <c r="N73" s="35">
        <v>0</v>
      </c>
      <c r="O73" s="35">
        <f t="shared" si="58"/>
        <v>0</v>
      </c>
      <c r="P73" s="37" t="s">
        <v>64</v>
      </c>
      <c r="Z73" s="35">
        <f t="shared" si="59"/>
        <v>0</v>
      </c>
      <c r="AB73" s="35">
        <f t="shared" si="60"/>
        <v>0</v>
      </c>
      <c r="AC73" s="35">
        <f t="shared" si="61"/>
        <v>0</v>
      </c>
      <c r="AD73" s="35">
        <f t="shared" si="62"/>
        <v>0</v>
      </c>
      <c r="AE73" s="35">
        <f t="shared" si="63"/>
        <v>0</v>
      </c>
      <c r="AF73" s="35">
        <f t="shared" si="64"/>
        <v>0</v>
      </c>
      <c r="AG73" s="35">
        <f t="shared" si="65"/>
        <v>0</v>
      </c>
      <c r="AH73" s="35">
        <f t="shared" si="66"/>
        <v>0</v>
      </c>
      <c r="AI73" s="12" t="s">
        <v>215</v>
      </c>
      <c r="AJ73" s="35">
        <f t="shared" si="67"/>
        <v>0</v>
      </c>
      <c r="AK73" s="35">
        <f t="shared" si="68"/>
        <v>0</v>
      </c>
      <c r="AL73" s="35">
        <f t="shared" si="69"/>
        <v>0</v>
      </c>
      <c r="AN73" s="35">
        <v>21</v>
      </c>
      <c r="AO73" s="35">
        <f t="shared" ref="AO73:AO78" si="82">H73*0</f>
        <v>0</v>
      </c>
      <c r="AP73" s="35">
        <f t="shared" ref="AP73:AP78" si="83">H73*(1-0)</f>
        <v>0</v>
      </c>
      <c r="AQ73" s="38" t="s">
        <v>65</v>
      </c>
      <c r="AV73" s="35">
        <f t="shared" si="70"/>
        <v>0</v>
      </c>
      <c r="AW73" s="35">
        <f t="shared" si="71"/>
        <v>0</v>
      </c>
      <c r="AX73" s="35">
        <f t="shared" si="72"/>
        <v>0</v>
      </c>
      <c r="AY73" s="38" t="s">
        <v>223</v>
      </c>
      <c r="AZ73" s="38" t="s">
        <v>224</v>
      </c>
      <c r="BA73" s="12" t="s">
        <v>225</v>
      </c>
      <c r="BC73" s="35">
        <f t="shared" si="73"/>
        <v>0</v>
      </c>
      <c r="BD73" s="35">
        <f t="shared" si="74"/>
        <v>0</v>
      </c>
      <c r="BE73" s="35">
        <v>0</v>
      </c>
      <c r="BF73" s="35">
        <f t="shared" si="75"/>
        <v>0</v>
      </c>
      <c r="BH73" s="35">
        <f t="shared" si="76"/>
        <v>0</v>
      </c>
      <c r="BI73" s="35">
        <f t="shared" si="77"/>
        <v>0</v>
      </c>
      <c r="BJ73" s="35">
        <f t="shared" si="78"/>
        <v>0</v>
      </c>
      <c r="BK73" s="38" t="s">
        <v>69</v>
      </c>
      <c r="BL73" s="35">
        <v>713</v>
      </c>
      <c r="BW73" s="35">
        <f t="shared" si="79"/>
        <v>21</v>
      </c>
      <c r="BX73" s="4" t="s">
        <v>255</v>
      </c>
    </row>
    <row r="74" spans="1:76" x14ac:dyDescent="0.25">
      <c r="A74" s="2" t="s">
        <v>256</v>
      </c>
      <c r="B74" s="3" t="s">
        <v>215</v>
      </c>
      <c r="C74" s="3" t="s">
        <v>257</v>
      </c>
      <c r="D74" s="70" t="s">
        <v>258</v>
      </c>
      <c r="E74" s="71"/>
      <c r="F74" s="3" t="s">
        <v>63</v>
      </c>
      <c r="G74" s="35">
        <v>230</v>
      </c>
      <c r="H74" s="68">
        <v>0</v>
      </c>
      <c r="I74" s="36">
        <v>21</v>
      </c>
      <c r="J74" s="35">
        <f t="shared" si="54"/>
        <v>0</v>
      </c>
      <c r="K74" s="35">
        <f t="shared" si="55"/>
        <v>0</v>
      </c>
      <c r="L74" s="35">
        <f t="shared" si="56"/>
        <v>0</v>
      </c>
      <c r="M74" s="35">
        <f t="shared" si="57"/>
        <v>0</v>
      </c>
      <c r="N74" s="35">
        <v>0</v>
      </c>
      <c r="O74" s="35">
        <f t="shared" si="58"/>
        <v>0</v>
      </c>
      <c r="P74" s="37" t="s">
        <v>64</v>
      </c>
      <c r="Z74" s="35">
        <f t="shared" si="59"/>
        <v>0</v>
      </c>
      <c r="AB74" s="35">
        <f t="shared" si="60"/>
        <v>0</v>
      </c>
      <c r="AC74" s="35">
        <f t="shared" si="61"/>
        <v>0</v>
      </c>
      <c r="AD74" s="35">
        <f t="shared" si="62"/>
        <v>0</v>
      </c>
      <c r="AE74" s="35">
        <f t="shared" si="63"/>
        <v>0</v>
      </c>
      <c r="AF74" s="35">
        <f t="shared" si="64"/>
        <v>0</v>
      </c>
      <c r="AG74" s="35">
        <f t="shared" si="65"/>
        <v>0</v>
      </c>
      <c r="AH74" s="35">
        <f t="shared" si="66"/>
        <v>0</v>
      </c>
      <c r="AI74" s="12" t="s">
        <v>215</v>
      </c>
      <c r="AJ74" s="35">
        <f t="shared" si="67"/>
        <v>0</v>
      </c>
      <c r="AK74" s="35">
        <f t="shared" si="68"/>
        <v>0</v>
      </c>
      <c r="AL74" s="35">
        <f t="shared" si="69"/>
        <v>0</v>
      </c>
      <c r="AN74" s="35">
        <v>21</v>
      </c>
      <c r="AO74" s="35">
        <f t="shared" si="82"/>
        <v>0</v>
      </c>
      <c r="AP74" s="35">
        <f t="shared" si="83"/>
        <v>0</v>
      </c>
      <c r="AQ74" s="38" t="s">
        <v>65</v>
      </c>
      <c r="AV74" s="35">
        <f t="shared" si="70"/>
        <v>0</v>
      </c>
      <c r="AW74" s="35">
        <f t="shared" si="71"/>
        <v>0</v>
      </c>
      <c r="AX74" s="35">
        <f t="shared" si="72"/>
        <v>0</v>
      </c>
      <c r="AY74" s="38" t="s">
        <v>223</v>
      </c>
      <c r="AZ74" s="38" t="s">
        <v>224</v>
      </c>
      <c r="BA74" s="12" t="s">
        <v>225</v>
      </c>
      <c r="BC74" s="35">
        <f t="shared" si="73"/>
        <v>0</v>
      </c>
      <c r="BD74" s="35">
        <f t="shared" si="74"/>
        <v>0</v>
      </c>
      <c r="BE74" s="35">
        <v>0</v>
      </c>
      <c r="BF74" s="35">
        <f t="shared" si="75"/>
        <v>0</v>
      </c>
      <c r="BH74" s="35">
        <f t="shared" si="76"/>
        <v>0</v>
      </c>
      <c r="BI74" s="35">
        <f t="shared" si="77"/>
        <v>0</v>
      </c>
      <c r="BJ74" s="35">
        <f t="shared" si="78"/>
        <v>0</v>
      </c>
      <c r="BK74" s="38" t="s">
        <v>69</v>
      </c>
      <c r="BL74" s="35">
        <v>713</v>
      </c>
      <c r="BW74" s="35">
        <f t="shared" si="79"/>
        <v>21</v>
      </c>
      <c r="BX74" s="4" t="s">
        <v>258</v>
      </c>
    </row>
    <row r="75" spans="1:76" x14ac:dyDescent="0.25">
      <c r="A75" s="2" t="s">
        <v>259</v>
      </c>
      <c r="B75" s="3" t="s">
        <v>215</v>
      </c>
      <c r="C75" s="3" t="s">
        <v>260</v>
      </c>
      <c r="D75" s="70" t="s">
        <v>261</v>
      </c>
      <c r="E75" s="71"/>
      <c r="F75" s="3" t="s">
        <v>63</v>
      </c>
      <c r="G75" s="35">
        <v>55</v>
      </c>
      <c r="H75" s="68">
        <v>0</v>
      </c>
      <c r="I75" s="36">
        <v>21</v>
      </c>
      <c r="J75" s="35">
        <f t="shared" si="54"/>
        <v>0</v>
      </c>
      <c r="K75" s="35">
        <f t="shared" si="55"/>
        <v>0</v>
      </c>
      <c r="L75" s="35">
        <f t="shared" si="56"/>
        <v>0</v>
      </c>
      <c r="M75" s="35">
        <f t="shared" si="57"/>
        <v>0</v>
      </c>
      <c r="N75" s="35">
        <v>0</v>
      </c>
      <c r="O75" s="35">
        <f t="shared" si="58"/>
        <v>0</v>
      </c>
      <c r="P75" s="37" t="s">
        <v>64</v>
      </c>
      <c r="Z75" s="35">
        <f t="shared" si="59"/>
        <v>0</v>
      </c>
      <c r="AB75" s="35">
        <f t="shared" si="60"/>
        <v>0</v>
      </c>
      <c r="AC75" s="35">
        <f t="shared" si="61"/>
        <v>0</v>
      </c>
      <c r="AD75" s="35">
        <f t="shared" si="62"/>
        <v>0</v>
      </c>
      <c r="AE75" s="35">
        <f t="shared" si="63"/>
        <v>0</v>
      </c>
      <c r="AF75" s="35">
        <f t="shared" si="64"/>
        <v>0</v>
      </c>
      <c r="AG75" s="35">
        <f t="shared" si="65"/>
        <v>0</v>
      </c>
      <c r="AH75" s="35">
        <f t="shared" si="66"/>
        <v>0</v>
      </c>
      <c r="AI75" s="12" t="s">
        <v>215</v>
      </c>
      <c r="AJ75" s="35">
        <f t="shared" si="67"/>
        <v>0</v>
      </c>
      <c r="AK75" s="35">
        <f t="shared" si="68"/>
        <v>0</v>
      </c>
      <c r="AL75" s="35">
        <f t="shared" si="69"/>
        <v>0</v>
      </c>
      <c r="AN75" s="35">
        <v>21</v>
      </c>
      <c r="AO75" s="35">
        <f t="shared" si="82"/>
        <v>0</v>
      </c>
      <c r="AP75" s="35">
        <f t="shared" si="83"/>
        <v>0</v>
      </c>
      <c r="AQ75" s="38" t="s">
        <v>65</v>
      </c>
      <c r="AV75" s="35">
        <f t="shared" si="70"/>
        <v>0</v>
      </c>
      <c r="AW75" s="35">
        <f t="shared" si="71"/>
        <v>0</v>
      </c>
      <c r="AX75" s="35">
        <f t="shared" si="72"/>
        <v>0</v>
      </c>
      <c r="AY75" s="38" t="s">
        <v>223</v>
      </c>
      <c r="AZ75" s="38" t="s">
        <v>224</v>
      </c>
      <c r="BA75" s="12" t="s">
        <v>225</v>
      </c>
      <c r="BC75" s="35">
        <f t="shared" si="73"/>
        <v>0</v>
      </c>
      <c r="BD75" s="35">
        <f t="shared" si="74"/>
        <v>0</v>
      </c>
      <c r="BE75" s="35">
        <v>0</v>
      </c>
      <c r="BF75" s="35">
        <f t="shared" si="75"/>
        <v>0</v>
      </c>
      <c r="BH75" s="35">
        <f t="shared" si="76"/>
        <v>0</v>
      </c>
      <c r="BI75" s="35">
        <f t="shared" si="77"/>
        <v>0</v>
      </c>
      <c r="BJ75" s="35">
        <f t="shared" si="78"/>
        <v>0</v>
      </c>
      <c r="BK75" s="38" t="s">
        <v>69</v>
      </c>
      <c r="BL75" s="35">
        <v>713</v>
      </c>
      <c r="BW75" s="35">
        <f t="shared" si="79"/>
        <v>21</v>
      </c>
      <c r="BX75" s="4" t="s">
        <v>261</v>
      </c>
    </row>
    <row r="76" spans="1:76" x14ac:dyDescent="0.25">
      <c r="A76" s="2" t="s">
        <v>262</v>
      </c>
      <c r="B76" s="3" t="s">
        <v>215</v>
      </c>
      <c r="C76" s="3" t="s">
        <v>263</v>
      </c>
      <c r="D76" s="70" t="s">
        <v>264</v>
      </c>
      <c r="E76" s="71"/>
      <c r="F76" s="3" t="s">
        <v>85</v>
      </c>
      <c r="G76" s="35">
        <v>110</v>
      </c>
      <c r="H76" s="68">
        <v>0</v>
      </c>
      <c r="I76" s="36">
        <v>21</v>
      </c>
      <c r="J76" s="35">
        <f t="shared" si="54"/>
        <v>0</v>
      </c>
      <c r="K76" s="35">
        <f t="shared" si="55"/>
        <v>0</v>
      </c>
      <c r="L76" s="35">
        <f t="shared" si="56"/>
        <v>0</v>
      </c>
      <c r="M76" s="35">
        <f t="shared" si="57"/>
        <v>0</v>
      </c>
      <c r="N76" s="35">
        <v>0</v>
      </c>
      <c r="O76" s="35">
        <f t="shared" si="58"/>
        <v>0</v>
      </c>
      <c r="P76" s="37" t="s">
        <v>64</v>
      </c>
      <c r="Z76" s="35">
        <f t="shared" si="59"/>
        <v>0</v>
      </c>
      <c r="AB76" s="35">
        <f t="shared" si="60"/>
        <v>0</v>
      </c>
      <c r="AC76" s="35">
        <f t="shared" si="61"/>
        <v>0</v>
      </c>
      <c r="AD76" s="35">
        <f t="shared" si="62"/>
        <v>0</v>
      </c>
      <c r="AE76" s="35">
        <f t="shared" si="63"/>
        <v>0</v>
      </c>
      <c r="AF76" s="35">
        <f t="shared" si="64"/>
        <v>0</v>
      </c>
      <c r="AG76" s="35">
        <f t="shared" si="65"/>
        <v>0</v>
      </c>
      <c r="AH76" s="35">
        <f t="shared" si="66"/>
        <v>0</v>
      </c>
      <c r="AI76" s="12" t="s">
        <v>215</v>
      </c>
      <c r="AJ76" s="35">
        <f t="shared" si="67"/>
        <v>0</v>
      </c>
      <c r="AK76" s="35">
        <f t="shared" si="68"/>
        <v>0</v>
      </c>
      <c r="AL76" s="35">
        <f t="shared" si="69"/>
        <v>0</v>
      </c>
      <c r="AN76" s="35">
        <v>21</v>
      </c>
      <c r="AO76" s="35">
        <f t="shared" si="82"/>
        <v>0</v>
      </c>
      <c r="AP76" s="35">
        <f t="shared" si="83"/>
        <v>0</v>
      </c>
      <c r="AQ76" s="38" t="s">
        <v>65</v>
      </c>
      <c r="AV76" s="35">
        <f t="shared" si="70"/>
        <v>0</v>
      </c>
      <c r="AW76" s="35">
        <f t="shared" si="71"/>
        <v>0</v>
      </c>
      <c r="AX76" s="35">
        <f t="shared" si="72"/>
        <v>0</v>
      </c>
      <c r="AY76" s="38" t="s">
        <v>223</v>
      </c>
      <c r="AZ76" s="38" t="s">
        <v>224</v>
      </c>
      <c r="BA76" s="12" t="s">
        <v>225</v>
      </c>
      <c r="BC76" s="35">
        <f t="shared" si="73"/>
        <v>0</v>
      </c>
      <c r="BD76" s="35">
        <f t="shared" si="74"/>
        <v>0</v>
      </c>
      <c r="BE76" s="35">
        <v>0</v>
      </c>
      <c r="BF76" s="35">
        <f t="shared" si="75"/>
        <v>0</v>
      </c>
      <c r="BH76" s="35">
        <f t="shared" si="76"/>
        <v>0</v>
      </c>
      <c r="BI76" s="35">
        <f t="shared" si="77"/>
        <v>0</v>
      </c>
      <c r="BJ76" s="35">
        <f t="shared" si="78"/>
        <v>0</v>
      </c>
      <c r="BK76" s="38" t="s">
        <v>69</v>
      </c>
      <c r="BL76" s="35">
        <v>713</v>
      </c>
      <c r="BW76" s="35">
        <f t="shared" si="79"/>
        <v>21</v>
      </c>
      <c r="BX76" s="4" t="s">
        <v>264</v>
      </c>
    </row>
    <row r="77" spans="1:76" x14ac:dyDescent="0.25">
      <c r="A77" s="2" t="s">
        <v>265</v>
      </c>
      <c r="B77" s="3" t="s">
        <v>215</v>
      </c>
      <c r="C77" s="3" t="s">
        <v>266</v>
      </c>
      <c r="D77" s="70" t="s">
        <v>267</v>
      </c>
      <c r="E77" s="71"/>
      <c r="F77" s="3" t="s">
        <v>85</v>
      </c>
      <c r="G77" s="35">
        <v>124</v>
      </c>
      <c r="H77" s="68">
        <v>0</v>
      </c>
      <c r="I77" s="36">
        <v>21</v>
      </c>
      <c r="J77" s="35">
        <f t="shared" si="54"/>
        <v>0</v>
      </c>
      <c r="K77" s="35">
        <f t="shared" si="55"/>
        <v>0</v>
      </c>
      <c r="L77" s="35">
        <f t="shared" si="56"/>
        <v>0</v>
      </c>
      <c r="M77" s="35">
        <f t="shared" si="57"/>
        <v>0</v>
      </c>
      <c r="N77" s="35">
        <v>0</v>
      </c>
      <c r="O77" s="35">
        <f t="shared" si="58"/>
        <v>0</v>
      </c>
      <c r="P77" s="37" t="s">
        <v>64</v>
      </c>
      <c r="Z77" s="35">
        <f t="shared" si="59"/>
        <v>0</v>
      </c>
      <c r="AB77" s="35">
        <f t="shared" si="60"/>
        <v>0</v>
      </c>
      <c r="AC77" s="35">
        <f t="shared" si="61"/>
        <v>0</v>
      </c>
      <c r="AD77" s="35">
        <f t="shared" si="62"/>
        <v>0</v>
      </c>
      <c r="AE77" s="35">
        <f t="shared" si="63"/>
        <v>0</v>
      </c>
      <c r="AF77" s="35">
        <f t="shared" si="64"/>
        <v>0</v>
      </c>
      <c r="AG77" s="35">
        <f t="shared" si="65"/>
        <v>0</v>
      </c>
      <c r="AH77" s="35">
        <f t="shared" si="66"/>
        <v>0</v>
      </c>
      <c r="AI77" s="12" t="s">
        <v>215</v>
      </c>
      <c r="AJ77" s="35">
        <f t="shared" si="67"/>
        <v>0</v>
      </c>
      <c r="AK77" s="35">
        <f t="shared" si="68"/>
        <v>0</v>
      </c>
      <c r="AL77" s="35">
        <f t="shared" si="69"/>
        <v>0</v>
      </c>
      <c r="AN77" s="35">
        <v>21</v>
      </c>
      <c r="AO77" s="35">
        <f t="shared" si="82"/>
        <v>0</v>
      </c>
      <c r="AP77" s="35">
        <f t="shared" si="83"/>
        <v>0</v>
      </c>
      <c r="AQ77" s="38" t="s">
        <v>65</v>
      </c>
      <c r="AV77" s="35">
        <f t="shared" si="70"/>
        <v>0</v>
      </c>
      <c r="AW77" s="35">
        <f t="shared" si="71"/>
        <v>0</v>
      </c>
      <c r="AX77" s="35">
        <f t="shared" si="72"/>
        <v>0</v>
      </c>
      <c r="AY77" s="38" t="s">
        <v>223</v>
      </c>
      <c r="AZ77" s="38" t="s">
        <v>224</v>
      </c>
      <c r="BA77" s="12" t="s">
        <v>225</v>
      </c>
      <c r="BC77" s="35">
        <f t="shared" si="73"/>
        <v>0</v>
      </c>
      <c r="BD77" s="35">
        <f t="shared" si="74"/>
        <v>0</v>
      </c>
      <c r="BE77" s="35">
        <v>0</v>
      </c>
      <c r="BF77" s="35">
        <f t="shared" si="75"/>
        <v>0</v>
      </c>
      <c r="BH77" s="35">
        <f t="shared" si="76"/>
        <v>0</v>
      </c>
      <c r="BI77" s="35">
        <f t="shared" si="77"/>
        <v>0</v>
      </c>
      <c r="BJ77" s="35">
        <f t="shared" si="78"/>
        <v>0</v>
      </c>
      <c r="BK77" s="38" t="s">
        <v>69</v>
      </c>
      <c r="BL77" s="35">
        <v>713</v>
      </c>
      <c r="BW77" s="35">
        <f t="shared" si="79"/>
        <v>21</v>
      </c>
      <c r="BX77" s="4" t="s">
        <v>267</v>
      </c>
    </row>
    <row r="78" spans="1:76" x14ac:dyDescent="0.25">
      <c r="A78" s="2" t="s">
        <v>268</v>
      </c>
      <c r="B78" s="3" t="s">
        <v>215</v>
      </c>
      <c r="C78" s="3" t="s">
        <v>269</v>
      </c>
      <c r="D78" s="70" t="s">
        <v>270</v>
      </c>
      <c r="E78" s="71"/>
      <c r="F78" s="3" t="s">
        <v>85</v>
      </c>
      <c r="G78" s="35">
        <v>20</v>
      </c>
      <c r="H78" s="68">
        <v>0</v>
      </c>
      <c r="I78" s="36">
        <v>21</v>
      </c>
      <c r="J78" s="35">
        <f t="shared" si="54"/>
        <v>0</v>
      </c>
      <c r="K78" s="35">
        <f t="shared" si="55"/>
        <v>0</v>
      </c>
      <c r="L78" s="35">
        <f t="shared" si="56"/>
        <v>0</v>
      </c>
      <c r="M78" s="35">
        <f t="shared" si="57"/>
        <v>0</v>
      </c>
      <c r="N78" s="35">
        <v>0</v>
      </c>
      <c r="O78" s="35">
        <f t="shared" si="58"/>
        <v>0</v>
      </c>
      <c r="P78" s="37" t="s">
        <v>64</v>
      </c>
      <c r="Z78" s="35">
        <f t="shared" si="59"/>
        <v>0</v>
      </c>
      <c r="AB78" s="35">
        <f t="shared" si="60"/>
        <v>0</v>
      </c>
      <c r="AC78" s="35">
        <f t="shared" si="61"/>
        <v>0</v>
      </c>
      <c r="AD78" s="35">
        <f t="shared" si="62"/>
        <v>0</v>
      </c>
      <c r="AE78" s="35">
        <f t="shared" si="63"/>
        <v>0</v>
      </c>
      <c r="AF78" s="35">
        <f t="shared" si="64"/>
        <v>0</v>
      </c>
      <c r="AG78" s="35">
        <f t="shared" si="65"/>
        <v>0</v>
      </c>
      <c r="AH78" s="35">
        <f t="shared" si="66"/>
        <v>0</v>
      </c>
      <c r="AI78" s="12" t="s">
        <v>215</v>
      </c>
      <c r="AJ78" s="35">
        <f t="shared" si="67"/>
        <v>0</v>
      </c>
      <c r="AK78" s="35">
        <f t="shared" si="68"/>
        <v>0</v>
      </c>
      <c r="AL78" s="35">
        <f t="shared" si="69"/>
        <v>0</v>
      </c>
      <c r="AN78" s="35">
        <v>21</v>
      </c>
      <c r="AO78" s="35">
        <f t="shared" si="82"/>
        <v>0</v>
      </c>
      <c r="AP78" s="35">
        <f t="shared" si="83"/>
        <v>0</v>
      </c>
      <c r="AQ78" s="38" t="s">
        <v>65</v>
      </c>
      <c r="AV78" s="35">
        <f t="shared" si="70"/>
        <v>0</v>
      </c>
      <c r="AW78" s="35">
        <f t="shared" si="71"/>
        <v>0</v>
      </c>
      <c r="AX78" s="35">
        <f t="shared" si="72"/>
        <v>0</v>
      </c>
      <c r="AY78" s="38" t="s">
        <v>223</v>
      </c>
      <c r="AZ78" s="38" t="s">
        <v>224</v>
      </c>
      <c r="BA78" s="12" t="s">
        <v>225</v>
      </c>
      <c r="BC78" s="35">
        <f t="shared" si="73"/>
        <v>0</v>
      </c>
      <c r="BD78" s="35">
        <f t="shared" si="74"/>
        <v>0</v>
      </c>
      <c r="BE78" s="35">
        <v>0</v>
      </c>
      <c r="BF78" s="35">
        <f t="shared" si="75"/>
        <v>0</v>
      </c>
      <c r="BH78" s="35">
        <f t="shared" si="76"/>
        <v>0</v>
      </c>
      <c r="BI78" s="35">
        <f t="shared" si="77"/>
        <v>0</v>
      </c>
      <c r="BJ78" s="35">
        <f t="shared" si="78"/>
        <v>0</v>
      </c>
      <c r="BK78" s="38" t="s">
        <v>69</v>
      </c>
      <c r="BL78" s="35">
        <v>713</v>
      </c>
      <c r="BW78" s="35">
        <f t="shared" si="79"/>
        <v>21</v>
      </c>
      <c r="BX78" s="4" t="s">
        <v>270</v>
      </c>
    </row>
    <row r="79" spans="1:76" x14ac:dyDescent="0.25">
      <c r="A79" s="2" t="s">
        <v>271</v>
      </c>
      <c r="B79" s="3" t="s">
        <v>215</v>
      </c>
      <c r="C79" s="3" t="s">
        <v>272</v>
      </c>
      <c r="D79" s="70" t="s">
        <v>273</v>
      </c>
      <c r="E79" s="71"/>
      <c r="F79" s="3" t="s">
        <v>63</v>
      </c>
      <c r="G79" s="35">
        <v>36</v>
      </c>
      <c r="H79" s="68">
        <v>0</v>
      </c>
      <c r="I79" s="36">
        <v>21</v>
      </c>
      <c r="J79" s="35">
        <f t="shared" si="54"/>
        <v>0</v>
      </c>
      <c r="K79" s="35">
        <f t="shared" si="55"/>
        <v>0</v>
      </c>
      <c r="L79" s="35">
        <f t="shared" si="56"/>
        <v>0</v>
      </c>
      <c r="M79" s="35">
        <f t="shared" si="57"/>
        <v>0</v>
      </c>
      <c r="N79" s="35">
        <v>6.0000000000000002E-5</v>
      </c>
      <c r="O79" s="35">
        <f t="shared" si="58"/>
        <v>2.16E-3</v>
      </c>
      <c r="P79" s="37" t="s">
        <v>64</v>
      </c>
      <c r="Z79" s="35">
        <f t="shared" si="59"/>
        <v>0</v>
      </c>
      <c r="AB79" s="35">
        <f t="shared" si="60"/>
        <v>0</v>
      </c>
      <c r="AC79" s="35">
        <f t="shared" si="61"/>
        <v>0</v>
      </c>
      <c r="AD79" s="35">
        <f t="shared" si="62"/>
        <v>0</v>
      </c>
      <c r="AE79" s="35">
        <f t="shared" si="63"/>
        <v>0</v>
      </c>
      <c r="AF79" s="35">
        <f t="shared" si="64"/>
        <v>0</v>
      </c>
      <c r="AG79" s="35">
        <f t="shared" si="65"/>
        <v>0</v>
      </c>
      <c r="AH79" s="35">
        <f t="shared" si="66"/>
        <v>0</v>
      </c>
      <c r="AI79" s="12" t="s">
        <v>215</v>
      </c>
      <c r="AJ79" s="35">
        <f t="shared" si="67"/>
        <v>0</v>
      </c>
      <c r="AK79" s="35">
        <f t="shared" si="68"/>
        <v>0</v>
      </c>
      <c r="AL79" s="35">
        <f t="shared" si="69"/>
        <v>0</v>
      </c>
      <c r="AN79" s="35">
        <v>21</v>
      </c>
      <c r="AO79" s="35">
        <f>H79*0.225674419</f>
        <v>0</v>
      </c>
      <c r="AP79" s="35">
        <f>H79*(1-0.225674419)</f>
        <v>0</v>
      </c>
      <c r="AQ79" s="38" t="s">
        <v>65</v>
      </c>
      <c r="AV79" s="35">
        <f t="shared" si="70"/>
        <v>0</v>
      </c>
      <c r="AW79" s="35">
        <f t="shared" si="71"/>
        <v>0</v>
      </c>
      <c r="AX79" s="35">
        <f t="shared" si="72"/>
        <v>0</v>
      </c>
      <c r="AY79" s="38" t="s">
        <v>223</v>
      </c>
      <c r="AZ79" s="38" t="s">
        <v>224</v>
      </c>
      <c r="BA79" s="12" t="s">
        <v>225</v>
      </c>
      <c r="BC79" s="35">
        <f t="shared" si="73"/>
        <v>0</v>
      </c>
      <c r="BD79" s="35">
        <f t="shared" si="74"/>
        <v>0</v>
      </c>
      <c r="BE79" s="35">
        <v>0</v>
      </c>
      <c r="BF79" s="35">
        <f t="shared" si="75"/>
        <v>2.16E-3</v>
      </c>
      <c r="BH79" s="35">
        <f t="shared" si="76"/>
        <v>0</v>
      </c>
      <c r="BI79" s="35">
        <f t="shared" si="77"/>
        <v>0</v>
      </c>
      <c r="BJ79" s="35">
        <f t="shared" si="78"/>
        <v>0</v>
      </c>
      <c r="BK79" s="38" t="s">
        <v>69</v>
      </c>
      <c r="BL79" s="35">
        <v>713</v>
      </c>
      <c r="BW79" s="35">
        <f t="shared" si="79"/>
        <v>21</v>
      </c>
      <c r="BX79" s="4" t="s">
        <v>273</v>
      </c>
    </row>
    <row r="80" spans="1:76" x14ac:dyDescent="0.25">
      <c r="A80" s="2" t="s">
        <v>274</v>
      </c>
      <c r="B80" s="3" t="s">
        <v>215</v>
      </c>
      <c r="C80" s="3" t="s">
        <v>275</v>
      </c>
      <c r="D80" s="70" t="s">
        <v>276</v>
      </c>
      <c r="E80" s="71"/>
      <c r="F80" s="3" t="s">
        <v>63</v>
      </c>
      <c r="G80" s="35">
        <v>11</v>
      </c>
      <c r="H80" s="68">
        <v>0</v>
      </c>
      <c r="I80" s="36">
        <v>21</v>
      </c>
      <c r="J80" s="35">
        <f t="shared" si="54"/>
        <v>0</v>
      </c>
      <c r="K80" s="35">
        <f t="shared" si="55"/>
        <v>0</v>
      </c>
      <c r="L80" s="35">
        <f t="shared" si="56"/>
        <v>0</v>
      </c>
      <c r="M80" s="35">
        <f t="shared" si="57"/>
        <v>0</v>
      </c>
      <c r="N80" s="35">
        <v>6.0000000000000002E-5</v>
      </c>
      <c r="O80" s="35">
        <f t="shared" si="58"/>
        <v>6.6E-4</v>
      </c>
      <c r="P80" s="37" t="s">
        <v>64</v>
      </c>
      <c r="Z80" s="35">
        <f t="shared" si="59"/>
        <v>0</v>
      </c>
      <c r="AB80" s="35">
        <f t="shared" si="60"/>
        <v>0</v>
      </c>
      <c r="AC80" s="35">
        <f t="shared" si="61"/>
        <v>0</v>
      </c>
      <c r="AD80" s="35">
        <f t="shared" si="62"/>
        <v>0</v>
      </c>
      <c r="AE80" s="35">
        <f t="shared" si="63"/>
        <v>0</v>
      </c>
      <c r="AF80" s="35">
        <f t="shared" si="64"/>
        <v>0</v>
      </c>
      <c r="AG80" s="35">
        <f t="shared" si="65"/>
        <v>0</v>
      </c>
      <c r="AH80" s="35">
        <f t="shared" si="66"/>
        <v>0</v>
      </c>
      <c r="AI80" s="12" t="s">
        <v>215</v>
      </c>
      <c r="AJ80" s="35">
        <f t="shared" si="67"/>
        <v>0</v>
      </c>
      <c r="AK80" s="35">
        <f t="shared" si="68"/>
        <v>0</v>
      </c>
      <c r="AL80" s="35">
        <f t="shared" si="69"/>
        <v>0</v>
      </c>
      <c r="AN80" s="35">
        <v>21</v>
      </c>
      <c r="AO80" s="35">
        <f>H80*0.234747678</f>
        <v>0</v>
      </c>
      <c r="AP80" s="35">
        <f>H80*(1-0.234747678)</f>
        <v>0</v>
      </c>
      <c r="AQ80" s="38" t="s">
        <v>65</v>
      </c>
      <c r="AV80" s="35">
        <f t="shared" si="70"/>
        <v>0</v>
      </c>
      <c r="AW80" s="35">
        <f t="shared" si="71"/>
        <v>0</v>
      </c>
      <c r="AX80" s="35">
        <f t="shared" si="72"/>
        <v>0</v>
      </c>
      <c r="AY80" s="38" t="s">
        <v>223</v>
      </c>
      <c r="AZ80" s="38" t="s">
        <v>224</v>
      </c>
      <c r="BA80" s="12" t="s">
        <v>225</v>
      </c>
      <c r="BC80" s="35">
        <f t="shared" si="73"/>
        <v>0</v>
      </c>
      <c r="BD80" s="35">
        <f t="shared" si="74"/>
        <v>0</v>
      </c>
      <c r="BE80" s="35">
        <v>0</v>
      </c>
      <c r="BF80" s="35">
        <f t="shared" si="75"/>
        <v>6.6E-4</v>
      </c>
      <c r="BH80" s="35">
        <f t="shared" si="76"/>
        <v>0</v>
      </c>
      <c r="BI80" s="35">
        <f t="shared" si="77"/>
        <v>0</v>
      </c>
      <c r="BJ80" s="35">
        <f t="shared" si="78"/>
        <v>0</v>
      </c>
      <c r="BK80" s="38" t="s">
        <v>69</v>
      </c>
      <c r="BL80" s="35">
        <v>713</v>
      </c>
      <c r="BW80" s="35">
        <f t="shared" si="79"/>
        <v>21</v>
      </c>
      <c r="BX80" s="4" t="s">
        <v>276</v>
      </c>
    </row>
    <row r="81" spans="1:76" x14ac:dyDescent="0.25">
      <c r="A81" s="2" t="s">
        <v>277</v>
      </c>
      <c r="B81" s="3" t="s">
        <v>215</v>
      </c>
      <c r="C81" s="3" t="s">
        <v>278</v>
      </c>
      <c r="D81" s="70" t="s">
        <v>279</v>
      </c>
      <c r="E81" s="71"/>
      <c r="F81" s="3" t="s">
        <v>63</v>
      </c>
      <c r="G81" s="35">
        <v>22</v>
      </c>
      <c r="H81" s="68">
        <v>0</v>
      </c>
      <c r="I81" s="36">
        <v>21</v>
      </c>
      <c r="J81" s="35">
        <f t="shared" si="54"/>
        <v>0</v>
      </c>
      <c r="K81" s="35">
        <f t="shared" si="55"/>
        <v>0</v>
      </c>
      <c r="L81" s="35">
        <f t="shared" si="56"/>
        <v>0</v>
      </c>
      <c r="M81" s="35">
        <f t="shared" si="57"/>
        <v>0</v>
      </c>
      <c r="N81" s="35">
        <v>6.9999999999999994E-5</v>
      </c>
      <c r="O81" s="35">
        <f t="shared" si="58"/>
        <v>1.5399999999999999E-3</v>
      </c>
      <c r="P81" s="37" t="s">
        <v>64</v>
      </c>
      <c r="Z81" s="35">
        <f t="shared" si="59"/>
        <v>0</v>
      </c>
      <c r="AB81" s="35">
        <f t="shared" si="60"/>
        <v>0</v>
      </c>
      <c r="AC81" s="35">
        <f t="shared" si="61"/>
        <v>0</v>
      </c>
      <c r="AD81" s="35">
        <f t="shared" si="62"/>
        <v>0</v>
      </c>
      <c r="AE81" s="35">
        <f t="shared" si="63"/>
        <v>0</v>
      </c>
      <c r="AF81" s="35">
        <f t="shared" si="64"/>
        <v>0</v>
      </c>
      <c r="AG81" s="35">
        <f t="shared" si="65"/>
        <v>0</v>
      </c>
      <c r="AH81" s="35">
        <f t="shared" si="66"/>
        <v>0</v>
      </c>
      <c r="AI81" s="12" t="s">
        <v>215</v>
      </c>
      <c r="AJ81" s="35">
        <f t="shared" si="67"/>
        <v>0</v>
      </c>
      <c r="AK81" s="35">
        <f t="shared" si="68"/>
        <v>0</v>
      </c>
      <c r="AL81" s="35">
        <f t="shared" si="69"/>
        <v>0</v>
      </c>
      <c r="AN81" s="35">
        <v>21</v>
      </c>
      <c r="AO81" s="35">
        <f>H81*0.42268498</f>
        <v>0</v>
      </c>
      <c r="AP81" s="35">
        <f>H81*(1-0.42268498)</f>
        <v>0</v>
      </c>
      <c r="AQ81" s="38" t="s">
        <v>65</v>
      </c>
      <c r="AV81" s="35">
        <f t="shared" si="70"/>
        <v>0</v>
      </c>
      <c r="AW81" s="35">
        <f t="shared" si="71"/>
        <v>0</v>
      </c>
      <c r="AX81" s="35">
        <f t="shared" si="72"/>
        <v>0</v>
      </c>
      <c r="AY81" s="38" t="s">
        <v>223</v>
      </c>
      <c r="AZ81" s="38" t="s">
        <v>224</v>
      </c>
      <c r="BA81" s="12" t="s">
        <v>225</v>
      </c>
      <c r="BC81" s="35">
        <f t="shared" si="73"/>
        <v>0</v>
      </c>
      <c r="BD81" s="35">
        <f t="shared" si="74"/>
        <v>0</v>
      </c>
      <c r="BE81" s="35">
        <v>0</v>
      </c>
      <c r="BF81" s="35">
        <f t="shared" si="75"/>
        <v>1.5399999999999999E-3</v>
      </c>
      <c r="BH81" s="35">
        <f t="shared" si="76"/>
        <v>0</v>
      </c>
      <c r="BI81" s="35">
        <f t="shared" si="77"/>
        <v>0</v>
      </c>
      <c r="BJ81" s="35">
        <f t="shared" si="78"/>
        <v>0</v>
      </c>
      <c r="BK81" s="38" t="s">
        <v>69</v>
      </c>
      <c r="BL81" s="35">
        <v>713</v>
      </c>
      <c r="BW81" s="35">
        <f t="shared" si="79"/>
        <v>21</v>
      </c>
      <c r="BX81" s="4" t="s">
        <v>279</v>
      </c>
    </row>
    <row r="82" spans="1:76" x14ac:dyDescent="0.25">
      <c r="A82" s="2" t="s">
        <v>280</v>
      </c>
      <c r="B82" s="3" t="s">
        <v>215</v>
      </c>
      <c r="C82" s="3" t="s">
        <v>281</v>
      </c>
      <c r="D82" s="70" t="s">
        <v>282</v>
      </c>
      <c r="E82" s="71"/>
      <c r="F82" s="3" t="s">
        <v>63</v>
      </c>
      <c r="G82" s="35">
        <v>13</v>
      </c>
      <c r="H82" s="68">
        <v>0</v>
      </c>
      <c r="I82" s="36">
        <v>21</v>
      </c>
      <c r="J82" s="35">
        <f t="shared" si="54"/>
        <v>0</v>
      </c>
      <c r="K82" s="35">
        <f t="shared" si="55"/>
        <v>0</v>
      </c>
      <c r="L82" s="35">
        <f t="shared" si="56"/>
        <v>0</v>
      </c>
      <c r="M82" s="35">
        <f t="shared" si="57"/>
        <v>0</v>
      </c>
      <c r="N82" s="35">
        <v>1.8000000000000001E-4</v>
      </c>
      <c r="O82" s="35">
        <f t="shared" si="58"/>
        <v>2.3400000000000001E-3</v>
      </c>
      <c r="P82" s="37" t="s">
        <v>64</v>
      </c>
      <c r="Z82" s="35">
        <f t="shared" si="59"/>
        <v>0</v>
      </c>
      <c r="AB82" s="35">
        <f t="shared" si="60"/>
        <v>0</v>
      </c>
      <c r="AC82" s="35">
        <f t="shared" si="61"/>
        <v>0</v>
      </c>
      <c r="AD82" s="35">
        <f t="shared" si="62"/>
        <v>0</v>
      </c>
      <c r="AE82" s="35">
        <f t="shared" si="63"/>
        <v>0</v>
      </c>
      <c r="AF82" s="35">
        <f t="shared" si="64"/>
        <v>0</v>
      </c>
      <c r="AG82" s="35">
        <f t="shared" si="65"/>
        <v>0</v>
      </c>
      <c r="AH82" s="35">
        <f t="shared" si="66"/>
        <v>0</v>
      </c>
      <c r="AI82" s="12" t="s">
        <v>215</v>
      </c>
      <c r="AJ82" s="35">
        <f t="shared" si="67"/>
        <v>0</v>
      </c>
      <c r="AK82" s="35">
        <f t="shared" si="68"/>
        <v>0</v>
      </c>
      <c r="AL82" s="35">
        <f t="shared" si="69"/>
        <v>0</v>
      </c>
      <c r="AN82" s="35">
        <v>21</v>
      </c>
      <c r="AO82" s="35">
        <f>H82*0.314863207</f>
        <v>0</v>
      </c>
      <c r="AP82" s="35">
        <f>H82*(1-0.314863207)</f>
        <v>0</v>
      </c>
      <c r="AQ82" s="38" t="s">
        <v>65</v>
      </c>
      <c r="AV82" s="35">
        <f t="shared" si="70"/>
        <v>0</v>
      </c>
      <c r="AW82" s="35">
        <f t="shared" si="71"/>
        <v>0</v>
      </c>
      <c r="AX82" s="35">
        <f t="shared" si="72"/>
        <v>0</v>
      </c>
      <c r="AY82" s="38" t="s">
        <v>223</v>
      </c>
      <c r="AZ82" s="38" t="s">
        <v>224</v>
      </c>
      <c r="BA82" s="12" t="s">
        <v>225</v>
      </c>
      <c r="BC82" s="35">
        <f t="shared" si="73"/>
        <v>0</v>
      </c>
      <c r="BD82" s="35">
        <f t="shared" si="74"/>
        <v>0</v>
      </c>
      <c r="BE82" s="35">
        <v>0</v>
      </c>
      <c r="BF82" s="35">
        <f t="shared" si="75"/>
        <v>2.3400000000000001E-3</v>
      </c>
      <c r="BH82" s="35">
        <f t="shared" si="76"/>
        <v>0</v>
      </c>
      <c r="BI82" s="35">
        <f t="shared" si="77"/>
        <v>0</v>
      </c>
      <c r="BJ82" s="35">
        <f t="shared" si="78"/>
        <v>0</v>
      </c>
      <c r="BK82" s="38" t="s">
        <v>69</v>
      </c>
      <c r="BL82" s="35">
        <v>713</v>
      </c>
      <c r="BW82" s="35">
        <f t="shared" si="79"/>
        <v>21</v>
      </c>
      <c r="BX82" s="4" t="s">
        <v>282</v>
      </c>
    </row>
    <row r="83" spans="1:76" x14ac:dyDescent="0.25">
      <c r="A83" s="2" t="s">
        <v>283</v>
      </c>
      <c r="B83" s="3" t="s">
        <v>215</v>
      </c>
      <c r="C83" s="3" t="s">
        <v>284</v>
      </c>
      <c r="D83" s="70" t="s">
        <v>285</v>
      </c>
      <c r="E83" s="71"/>
      <c r="F83" s="3" t="s">
        <v>63</v>
      </c>
      <c r="G83" s="35">
        <v>66</v>
      </c>
      <c r="H83" s="68">
        <v>0</v>
      </c>
      <c r="I83" s="36">
        <v>21</v>
      </c>
      <c r="J83" s="35">
        <f t="shared" si="54"/>
        <v>0</v>
      </c>
      <c r="K83" s="35">
        <f t="shared" si="55"/>
        <v>0</v>
      </c>
      <c r="L83" s="35">
        <f t="shared" si="56"/>
        <v>0</v>
      </c>
      <c r="M83" s="35">
        <f t="shared" si="57"/>
        <v>0</v>
      </c>
      <c r="N83" s="35">
        <v>2.0000000000000001E-4</v>
      </c>
      <c r="O83" s="35">
        <f t="shared" si="58"/>
        <v>1.32E-2</v>
      </c>
      <c r="P83" s="37" t="s">
        <v>64</v>
      </c>
      <c r="Z83" s="35">
        <f t="shared" si="59"/>
        <v>0</v>
      </c>
      <c r="AB83" s="35">
        <f t="shared" si="60"/>
        <v>0</v>
      </c>
      <c r="AC83" s="35">
        <f t="shared" si="61"/>
        <v>0</v>
      </c>
      <c r="AD83" s="35">
        <f t="shared" si="62"/>
        <v>0</v>
      </c>
      <c r="AE83" s="35">
        <f t="shared" si="63"/>
        <v>0</v>
      </c>
      <c r="AF83" s="35">
        <f t="shared" si="64"/>
        <v>0</v>
      </c>
      <c r="AG83" s="35">
        <f t="shared" si="65"/>
        <v>0</v>
      </c>
      <c r="AH83" s="35">
        <f t="shared" si="66"/>
        <v>0</v>
      </c>
      <c r="AI83" s="12" t="s">
        <v>215</v>
      </c>
      <c r="AJ83" s="35">
        <f t="shared" si="67"/>
        <v>0</v>
      </c>
      <c r="AK83" s="35">
        <f t="shared" si="68"/>
        <v>0</v>
      </c>
      <c r="AL83" s="35">
        <f t="shared" si="69"/>
        <v>0</v>
      </c>
      <c r="AN83" s="35">
        <v>21</v>
      </c>
      <c r="AO83" s="35">
        <f>H83*0.537307741</f>
        <v>0</v>
      </c>
      <c r="AP83" s="35">
        <f>H83*(1-0.537307741)</f>
        <v>0</v>
      </c>
      <c r="AQ83" s="38" t="s">
        <v>65</v>
      </c>
      <c r="AV83" s="35">
        <f t="shared" si="70"/>
        <v>0</v>
      </c>
      <c r="AW83" s="35">
        <f t="shared" si="71"/>
        <v>0</v>
      </c>
      <c r="AX83" s="35">
        <f t="shared" si="72"/>
        <v>0</v>
      </c>
      <c r="AY83" s="38" t="s">
        <v>223</v>
      </c>
      <c r="AZ83" s="38" t="s">
        <v>224</v>
      </c>
      <c r="BA83" s="12" t="s">
        <v>225</v>
      </c>
      <c r="BC83" s="35">
        <f t="shared" si="73"/>
        <v>0</v>
      </c>
      <c r="BD83" s="35">
        <f t="shared" si="74"/>
        <v>0</v>
      </c>
      <c r="BE83" s="35">
        <v>0</v>
      </c>
      <c r="BF83" s="35">
        <f t="shared" si="75"/>
        <v>1.32E-2</v>
      </c>
      <c r="BH83" s="35">
        <f t="shared" si="76"/>
        <v>0</v>
      </c>
      <c r="BI83" s="35">
        <f t="shared" si="77"/>
        <v>0</v>
      </c>
      <c r="BJ83" s="35">
        <f t="shared" si="78"/>
        <v>0</v>
      </c>
      <c r="BK83" s="38" t="s">
        <v>69</v>
      </c>
      <c r="BL83" s="35">
        <v>713</v>
      </c>
      <c r="BW83" s="35">
        <f t="shared" si="79"/>
        <v>21</v>
      </c>
      <c r="BX83" s="4" t="s">
        <v>285</v>
      </c>
    </row>
    <row r="84" spans="1:76" x14ac:dyDescent="0.25">
      <c r="A84" s="2" t="s">
        <v>286</v>
      </c>
      <c r="B84" s="3" t="s">
        <v>215</v>
      </c>
      <c r="C84" s="3" t="s">
        <v>287</v>
      </c>
      <c r="D84" s="70" t="s">
        <v>288</v>
      </c>
      <c r="E84" s="71"/>
      <c r="F84" s="3" t="s">
        <v>63</v>
      </c>
      <c r="G84" s="35">
        <v>13</v>
      </c>
      <c r="H84" s="68">
        <v>0</v>
      </c>
      <c r="I84" s="36">
        <v>21</v>
      </c>
      <c r="J84" s="35">
        <f t="shared" si="54"/>
        <v>0</v>
      </c>
      <c r="K84" s="35">
        <f t="shared" si="55"/>
        <v>0</v>
      </c>
      <c r="L84" s="35">
        <f t="shared" si="56"/>
        <v>0</v>
      </c>
      <c r="M84" s="35">
        <f t="shared" si="57"/>
        <v>0</v>
      </c>
      <c r="N84" s="35">
        <v>2.4000000000000001E-4</v>
      </c>
      <c r="O84" s="35">
        <f t="shared" si="58"/>
        <v>3.1199999999999999E-3</v>
      </c>
      <c r="P84" s="37" t="s">
        <v>64</v>
      </c>
      <c r="Z84" s="35">
        <f t="shared" si="59"/>
        <v>0</v>
      </c>
      <c r="AB84" s="35">
        <f t="shared" si="60"/>
        <v>0</v>
      </c>
      <c r="AC84" s="35">
        <f t="shared" si="61"/>
        <v>0</v>
      </c>
      <c r="AD84" s="35">
        <f t="shared" si="62"/>
        <v>0</v>
      </c>
      <c r="AE84" s="35">
        <f t="shared" si="63"/>
        <v>0</v>
      </c>
      <c r="AF84" s="35">
        <f t="shared" si="64"/>
        <v>0</v>
      </c>
      <c r="AG84" s="35">
        <f t="shared" si="65"/>
        <v>0</v>
      </c>
      <c r="AH84" s="35">
        <f t="shared" si="66"/>
        <v>0</v>
      </c>
      <c r="AI84" s="12" t="s">
        <v>215</v>
      </c>
      <c r="AJ84" s="35">
        <f t="shared" si="67"/>
        <v>0</v>
      </c>
      <c r="AK84" s="35">
        <f t="shared" si="68"/>
        <v>0</v>
      </c>
      <c r="AL84" s="35">
        <f t="shared" si="69"/>
        <v>0</v>
      </c>
      <c r="AN84" s="35">
        <v>21</v>
      </c>
      <c r="AO84" s="35">
        <f>H84*0.549243886</f>
        <v>0</v>
      </c>
      <c r="AP84" s="35">
        <f>H84*(1-0.549243886)</f>
        <v>0</v>
      </c>
      <c r="AQ84" s="38" t="s">
        <v>65</v>
      </c>
      <c r="AV84" s="35">
        <f t="shared" si="70"/>
        <v>0</v>
      </c>
      <c r="AW84" s="35">
        <f t="shared" si="71"/>
        <v>0</v>
      </c>
      <c r="AX84" s="35">
        <f t="shared" si="72"/>
        <v>0</v>
      </c>
      <c r="AY84" s="38" t="s">
        <v>223</v>
      </c>
      <c r="AZ84" s="38" t="s">
        <v>224</v>
      </c>
      <c r="BA84" s="12" t="s">
        <v>225</v>
      </c>
      <c r="BC84" s="35">
        <f t="shared" si="73"/>
        <v>0</v>
      </c>
      <c r="BD84" s="35">
        <f t="shared" si="74"/>
        <v>0</v>
      </c>
      <c r="BE84" s="35">
        <v>0</v>
      </c>
      <c r="BF84" s="35">
        <f t="shared" si="75"/>
        <v>3.1199999999999999E-3</v>
      </c>
      <c r="BH84" s="35">
        <f t="shared" si="76"/>
        <v>0</v>
      </c>
      <c r="BI84" s="35">
        <f t="shared" si="77"/>
        <v>0</v>
      </c>
      <c r="BJ84" s="35">
        <f t="shared" si="78"/>
        <v>0</v>
      </c>
      <c r="BK84" s="38" t="s">
        <v>69</v>
      </c>
      <c r="BL84" s="35">
        <v>713</v>
      </c>
      <c r="BW84" s="35">
        <f t="shared" si="79"/>
        <v>21</v>
      </c>
      <c r="BX84" s="4" t="s">
        <v>288</v>
      </c>
    </row>
    <row r="85" spans="1:76" x14ac:dyDescent="0.25">
      <c r="A85" s="2" t="s">
        <v>289</v>
      </c>
      <c r="B85" s="3" t="s">
        <v>215</v>
      </c>
      <c r="C85" s="3" t="s">
        <v>290</v>
      </c>
      <c r="D85" s="70" t="s">
        <v>291</v>
      </c>
      <c r="E85" s="71"/>
      <c r="F85" s="3" t="s">
        <v>63</v>
      </c>
      <c r="G85" s="35">
        <v>4</v>
      </c>
      <c r="H85" s="68">
        <v>0</v>
      </c>
      <c r="I85" s="36">
        <v>21</v>
      </c>
      <c r="J85" s="35">
        <f t="shared" si="54"/>
        <v>0</v>
      </c>
      <c r="K85" s="35">
        <f t="shared" si="55"/>
        <v>0</v>
      </c>
      <c r="L85" s="35">
        <f t="shared" si="56"/>
        <v>0</v>
      </c>
      <c r="M85" s="35">
        <f t="shared" si="57"/>
        <v>0</v>
      </c>
      <c r="N85" s="35">
        <v>2.7999999999999998E-4</v>
      </c>
      <c r="O85" s="35">
        <f t="shared" si="58"/>
        <v>1.1199999999999999E-3</v>
      </c>
      <c r="P85" s="37" t="s">
        <v>64</v>
      </c>
      <c r="Z85" s="35">
        <f t="shared" si="59"/>
        <v>0</v>
      </c>
      <c r="AB85" s="35">
        <f t="shared" si="60"/>
        <v>0</v>
      </c>
      <c r="AC85" s="35">
        <f t="shared" si="61"/>
        <v>0</v>
      </c>
      <c r="AD85" s="35">
        <f t="shared" si="62"/>
        <v>0</v>
      </c>
      <c r="AE85" s="35">
        <f t="shared" si="63"/>
        <v>0</v>
      </c>
      <c r="AF85" s="35">
        <f t="shared" si="64"/>
        <v>0</v>
      </c>
      <c r="AG85" s="35">
        <f t="shared" si="65"/>
        <v>0</v>
      </c>
      <c r="AH85" s="35">
        <f t="shared" si="66"/>
        <v>0</v>
      </c>
      <c r="AI85" s="12" t="s">
        <v>215</v>
      </c>
      <c r="AJ85" s="35">
        <f t="shared" si="67"/>
        <v>0</v>
      </c>
      <c r="AK85" s="35">
        <f t="shared" si="68"/>
        <v>0</v>
      </c>
      <c r="AL85" s="35">
        <f t="shared" si="69"/>
        <v>0</v>
      </c>
      <c r="AN85" s="35">
        <v>21</v>
      </c>
      <c r="AO85" s="35">
        <f>H85*0.655610973</f>
        <v>0</v>
      </c>
      <c r="AP85" s="35">
        <f>H85*(1-0.655610973)</f>
        <v>0</v>
      </c>
      <c r="AQ85" s="38" t="s">
        <v>65</v>
      </c>
      <c r="AV85" s="35">
        <f t="shared" si="70"/>
        <v>0</v>
      </c>
      <c r="AW85" s="35">
        <f t="shared" si="71"/>
        <v>0</v>
      </c>
      <c r="AX85" s="35">
        <f t="shared" si="72"/>
        <v>0</v>
      </c>
      <c r="AY85" s="38" t="s">
        <v>223</v>
      </c>
      <c r="AZ85" s="38" t="s">
        <v>224</v>
      </c>
      <c r="BA85" s="12" t="s">
        <v>225</v>
      </c>
      <c r="BC85" s="35">
        <f t="shared" si="73"/>
        <v>0</v>
      </c>
      <c r="BD85" s="35">
        <f t="shared" si="74"/>
        <v>0</v>
      </c>
      <c r="BE85" s="35">
        <v>0</v>
      </c>
      <c r="BF85" s="35">
        <f t="shared" si="75"/>
        <v>1.1199999999999999E-3</v>
      </c>
      <c r="BH85" s="35">
        <f t="shared" si="76"/>
        <v>0</v>
      </c>
      <c r="BI85" s="35">
        <f t="shared" si="77"/>
        <v>0</v>
      </c>
      <c r="BJ85" s="35">
        <f t="shared" si="78"/>
        <v>0</v>
      </c>
      <c r="BK85" s="38" t="s">
        <v>69</v>
      </c>
      <c r="BL85" s="35">
        <v>713</v>
      </c>
      <c r="BW85" s="35">
        <f t="shared" si="79"/>
        <v>21</v>
      </c>
      <c r="BX85" s="4" t="s">
        <v>291</v>
      </c>
    </row>
    <row r="86" spans="1:76" x14ac:dyDescent="0.25">
      <c r="A86" s="2" t="s">
        <v>292</v>
      </c>
      <c r="B86" s="3" t="s">
        <v>215</v>
      </c>
      <c r="C86" s="3" t="s">
        <v>293</v>
      </c>
      <c r="D86" s="70" t="s">
        <v>294</v>
      </c>
      <c r="E86" s="71"/>
      <c r="F86" s="3" t="s">
        <v>155</v>
      </c>
      <c r="G86" s="35">
        <v>1</v>
      </c>
      <c r="H86" s="68">
        <v>0</v>
      </c>
      <c r="I86" s="36">
        <v>21</v>
      </c>
      <c r="J86" s="35">
        <f t="shared" si="54"/>
        <v>0</v>
      </c>
      <c r="K86" s="35">
        <f t="shared" si="55"/>
        <v>0</v>
      </c>
      <c r="L86" s="35">
        <f t="shared" si="56"/>
        <v>0</v>
      </c>
      <c r="M86" s="35">
        <f t="shared" si="57"/>
        <v>0</v>
      </c>
      <c r="N86" s="35">
        <v>0</v>
      </c>
      <c r="O86" s="35">
        <f t="shared" si="58"/>
        <v>0</v>
      </c>
      <c r="P86" s="37" t="s">
        <v>64</v>
      </c>
      <c r="Z86" s="35">
        <f t="shared" si="59"/>
        <v>0</v>
      </c>
      <c r="AB86" s="35">
        <f t="shared" si="60"/>
        <v>0</v>
      </c>
      <c r="AC86" s="35">
        <f t="shared" si="61"/>
        <v>0</v>
      </c>
      <c r="AD86" s="35">
        <f t="shared" si="62"/>
        <v>0</v>
      </c>
      <c r="AE86" s="35">
        <f t="shared" si="63"/>
        <v>0</v>
      </c>
      <c r="AF86" s="35">
        <f t="shared" si="64"/>
        <v>0</v>
      </c>
      <c r="AG86" s="35">
        <f t="shared" si="65"/>
        <v>0</v>
      </c>
      <c r="AH86" s="35">
        <f t="shared" si="66"/>
        <v>0</v>
      </c>
      <c r="AI86" s="12" t="s">
        <v>215</v>
      </c>
      <c r="AJ86" s="35">
        <f t="shared" si="67"/>
        <v>0</v>
      </c>
      <c r="AK86" s="35">
        <f t="shared" si="68"/>
        <v>0</v>
      </c>
      <c r="AL86" s="35">
        <f t="shared" si="69"/>
        <v>0</v>
      </c>
      <c r="AN86" s="35">
        <v>21</v>
      </c>
      <c r="AO86" s="35">
        <f>H86*1</f>
        <v>0</v>
      </c>
      <c r="AP86" s="35">
        <f>H86*(1-1)</f>
        <v>0</v>
      </c>
      <c r="AQ86" s="38" t="s">
        <v>65</v>
      </c>
      <c r="AV86" s="35">
        <f t="shared" si="70"/>
        <v>0</v>
      </c>
      <c r="AW86" s="35">
        <f t="shared" si="71"/>
        <v>0</v>
      </c>
      <c r="AX86" s="35">
        <f t="shared" si="72"/>
        <v>0</v>
      </c>
      <c r="AY86" s="38" t="s">
        <v>223</v>
      </c>
      <c r="AZ86" s="38" t="s">
        <v>224</v>
      </c>
      <c r="BA86" s="12" t="s">
        <v>225</v>
      </c>
      <c r="BC86" s="35">
        <f t="shared" si="73"/>
        <v>0</v>
      </c>
      <c r="BD86" s="35">
        <f t="shared" si="74"/>
        <v>0</v>
      </c>
      <c r="BE86" s="35">
        <v>0</v>
      </c>
      <c r="BF86" s="35">
        <f t="shared" si="75"/>
        <v>0</v>
      </c>
      <c r="BH86" s="35">
        <f t="shared" si="76"/>
        <v>0</v>
      </c>
      <c r="BI86" s="35">
        <f t="shared" si="77"/>
        <v>0</v>
      </c>
      <c r="BJ86" s="35">
        <f t="shared" si="78"/>
        <v>0</v>
      </c>
      <c r="BK86" s="38" t="s">
        <v>156</v>
      </c>
      <c r="BL86" s="35">
        <v>713</v>
      </c>
      <c r="BW86" s="35">
        <f t="shared" si="79"/>
        <v>21</v>
      </c>
      <c r="BX86" s="4" t="s">
        <v>294</v>
      </c>
    </row>
    <row r="87" spans="1:76" x14ac:dyDescent="0.25">
      <c r="A87" s="31" t="s">
        <v>55</v>
      </c>
      <c r="B87" s="32" t="s">
        <v>215</v>
      </c>
      <c r="C87" s="32" t="s">
        <v>295</v>
      </c>
      <c r="D87" s="128" t="s">
        <v>296</v>
      </c>
      <c r="E87" s="129"/>
      <c r="F87" s="33" t="s">
        <v>4</v>
      </c>
      <c r="G87" s="33" t="s">
        <v>4</v>
      </c>
      <c r="H87" s="33" t="s">
        <v>4</v>
      </c>
      <c r="I87" s="33" t="s">
        <v>4</v>
      </c>
      <c r="J87" s="1">
        <f>SUM(J88:J90)</f>
        <v>0</v>
      </c>
      <c r="K87" s="1">
        <f>SUM(K88:K90)</f>
        <v>0</v>
      </c>
      <c r="L87" s="1">
        <f>SUM(L88:L90)</f>
        <v>0</v>
      </c>
      <c r="M87" s="1">
        <f>SUM(M88:M90)</f>
        <v>0</v>
      </c>
      <c r="N87" s="12" t="s">
        <v>55</v>
      </c>
      <c r="O87" s="1">
        <f>SUM(O88:O90)</f>
        <v>1.396E-2</v>
      </c>
      <c r="P87" s="34" t="s">
        <v>55</v>
      </c>
      <c r="AI87" s="12" t="s">
        <v>215</v>
      </c>
      <c r="AS87" s="1">
        <f>SUM(AJ88:AJ90)</f>
        <v>0</v>
      </c>
      <c r="AT87" s="1">
        <f>SUM(AK88:AK90)</f>
        <v>0</v>
      </c>
      <c r="AU87" s="1">
        <f>SUM(AL88:AL90)</f>
        <v>0</v>
      </c>
    </row>
    <row r="88" spans="1:76" x14ac:dyDescent="0.25">
      <c r="A88" s="2" t="s">
        <v>297</v>
      </c>
      <c r="B88" s="3" t="s">
        <v>215</v>
      </c>
      <c r="C88" s="3" t="s">
        <v>298</v>
      </c>
      <c r="D88" s="70" t="s">
        <v>299</v>
      </c>
      <c r="E88" s="71"/>
      <c r="F88" s="3" t="s">
        <v>63</v>
      </c>
      <c r="G88" s="35">
        <v>10</v>
      </c>
      <c r="H88" s="68">
        <v>0</v>
      </c>
      <c r="I88" s="36">
        <v>21</v>
      </c>
      <c r="J88" s="35">
        <f>ROUND(G88*AO88,2)</f>
        <v>0</v>
      </c>
      <c r="K88" s="35">
        <f>ROUND(G88*AP88,2)</f>
        <v>0</v>
      </c>
      <c r="L88" s="35">
        <f>ROUND(G88*H88,2)</f>
        <v>0</v>
      </c>
      <c r="M88" s="35">
        <f>L88*(1+BW88/100)</f>
        <v>0</v>
      </c>
      <c r="N88" s="35">
        <v>3.4000000000000002E-4</v>
      </c>
      <c r="O88" s="35">
        <f>G88*N88</f>
        <v>3.4000000000000002E-3</v>
      </c>
      <c r="P88" s="37" t="s">
        <v>64</v>
      </c>
      <c r="Z88" s="35">
        <f>ROUND(IF(AQ88="5",BJ88,0),2)</f>
        <v>0</v>
      </c>
      <c r="AB88" s="35">
        <f>ROUND(IF(AQ88="1",BH88,0),2)</f>
        <v>0</v>
      </c>
      <c r="AC88" s="35">
        <f>ROUND(IF(AQ88="1",BI88,0),2)</f>
        <v>0</v>
      </c>
      <c r="AD88" s="35">
        <f>ROUND(IF(AQ88="7",BH88,0),2)</f>
        <v>0</v>
      </c>
      <c r="AE88" s="35">
        <f>ROUND(IF(AQ88="7",BI88,0),2)</f>
        <v>0</v>
      </c>
      <c r="AF88" s="35">
        <f>ROUND(IF(AQ88="2",BH88,0),2)</f>
        <v>0</v>
      </c>
      <c r="AG88" s="35">
        <f>ROUND(IF(AQ88="2",BI88,0),2)</f>
        <v>0</v>
      </c>
      <c r="AH88" s="35">
        <f>ROUND(IF(AQ88="0",BJ88,0),2)</f>
        <v>0</v>
      </c>
      <c r="AI88" s="12" t="s">
        <v>215</v>
      </c>
      <c r="AJ88" s="35">
        <f>IF(AN88=0,L88,0)</f>
        <v>0</v>
      </c>
      <c r="AK88" s="35">
        <f>IF(AN88=15,L88,0)</f>
        <v>0</v>
      </c>
      <c r="AL88" s="35">
        <f>IF(AN88=21,L88,0)</f>
        <v>0</v>
      </c>
      <c r="AN88" s="35">
        <v>21</v>
      </c>
      <c r="AO88" s="35">
        <f>H88*0.306450617</f>
        <v>0</v>
      </c>
      <c r="AP88" s="35">
        <f>H88*(1-0.306450617)</f>
        <v>0</v>
      </c>
      <c r="AQ88" s="38" t="s">
        <v>65</v>
      </c>
      <c r="AV88" s="35">
        <f>ROUND(AW88+AX88,2)</f>
        <v>0</v>
      </c>
      <c r="AW88" s="35">
        <f>ROUND(G88*AO88,2)</f>
        <v>0</v>
      </c>
      <c r="AX88" s="35">
        <f>ROUND(G88*AP88,2)</f>
        <v>0</v>
      </c>
      <c r="AY88" s="38" t="s">
        <v>300</v>
      </c>
      <c r="AZ88" s="38" t="s">
        <v>301</v>
      </c>
      <c r="BA88" s="12" t="s">
        <v>225</v>
      </c>
      <c r="BC88" s="35">
        <f>AW88+AX88</f>
        <v>0</v>
      </c>
      <c r="BD88" s="35">
        <f>H88/(100-BE88)*100</f>
        <v>0</v>
      </c>
      <c r="BE88" s="35">
        <v>0</v>
      </c>
      <c r="BF88" s="35">
        <f>O88</f>
        <v>3.4000000000000002E-3</v>
      </c>
      <c r="BH88" s="35">
        <f>G88*AO88</f>
        <v>0</v>
      </c>
      <c r="BI88" s="35">
        <f>G88*AP88</f>
        <v>0</v>
      </c>
      <c r="BJ88" s="35">
        <f>G88*H88</f>
        <v>0</v>
      </c>
      <c r="BK88" s="38" t="s">
        <v>69</v>
      </c>
      <c r="BL88" s="35">
        <v>721</v>
      </c>
      <c r="BW88" s="35">
        <f>I88</f>
        <v>21</v>
      </c>
      <c r="BX88" s="4" t="s">
        <v>299</v>
      </c>
    </row>
    <row r="89" spans="1:76" x14ac:dyDescent="0.25">
      <c r="A89" s="2" t="s">
        <v>302</v>
      </c>
      <c r="B89" s="3" t="s">
        <v>215</v>
      </c>
      <c r="C89" s="3" t="s">
        <v>303</v>
      </c>
      <c r="D89" s="70" t="s">
        <v>304</v>
      </c>
      <c r="E89" s="71"/>
      <c r="F89" s="3" t="s">
        <v>63</v>
      </c>
      <c r="G89" s="35">
        <v>8</v>
      </c>
      <c r="H89" s="68">
        <v>0</v>
      </c>
      <c r="I89" s="36">
        <v>21</v>
      </c>
      <c r="J89" s="35">
        <f>ROUND(G89*AO89,2)</f>
        <v>0</v>
      </c>
      <c r="K89" s="35">
        <f>ROUND(G89*AP89,2)</f>
        <v>0</v>
      </c>
      <c r="L89" s="35">
        <f>ROUND(G89*H89,2)</f>
        <v>0</v>
      </c>
      <c r="M89" s="35">
        <f>L89*(1+BW89/100)</f>
        <v>0</v>
      </c>
      <c r="N89" s="35">
        <v>3.8000000000000002E-4</v>
      </c>
      <c r="O89" s="35">
        <f>G89*N89</f>
        <v>3.0400000000000002E-3</v>
      </c>
      <c r="P89" s="37" t="s">
        <v>64</v>
      </c>
      <c r="Z89" s="35">
        <f>ROUND(IF(AQ89="5",BJ89,0),2)</f>
        <v>0</v>
      </c>
      <c r="AB89" s="35">
        <f>ROUND(IF(AQ89="1",BH89,0),2)</f>
        <v>0</v>
      </c>
      <c r="AC89" s="35">
        <f>ROUND(IF(AQ89="1",BI89,0),2)</f>
        <v>0</v>
      </c>
      <c r="AD89" s="35">
        <f>ROUND(IF(AQ89="7",BH89,0),2)</f>
        <v>0</v>
      </c>
      <c r="AE89" s="35">
        <f>ROUND(IF(AQ89="7",BI89,0),2)</f>
        <v>0</v>
      </c>
      <c r="AF89" s="35">
        <f>ROUND(IF(AQ89="2",BH89,0),2)</f>
        <v>0</v>
      </c>
      <c r="AG89" s="35">
        <f>ROUND(IF(AQ89="2",BI89,0),2)</f>
        <v>0</v>
      </c>
      <c r="AH89" s="35">
        <f>ROUND(IF(AQ89="0",BJ89,0),2)</f>
        <v>0</v>
      </c>
      <c r="AI89" s="12" t="s">
        <v>215</v>
      </c>
      <c r="AJ89" s="35">
        <f>IF(AN89=0,L89,0)</f>
        <v>0</v>
      </c>
      <c r="AK89" s="35">
        <f>IF(AN89=15,L89,0)</f>
        <v>0</v>
      </c>
      <c r="AL89" s="35">
        <f>IF(AN89=21,L89,0)</f>
        <v>0</v>
      </c>
      <c r="AN89" s="35">
        <v>21</v>
      </c>
      <c r="AO89" s="35">
        <f>H89*0.259176277</f>
        <v>0</v>
      </c>
      <c r="AP89" s="35">
        <f>H89*(1-0.259176277)</f>
        <v>0</v>
      </c>
      <c r="AQ89" s="38" t="s">
        <v>65</v>
      </c>
      <c r="AV89" s="35">
        <f>ROUND(AW89+AX89,2)</f>
        <v>0</v>
      </c>
      <c r="AW89" s="35">
        <f>ROUND(G89*AO89,2)</f>
        <v>0</v>
      </c>
      <c r="AX89" s="35">
        <f>ROUND(G89*AP89,2)</f>
        <v>0</v>
      </c>
      <c r="AY89" s="38" t="s">
        <v>300</v>
      </c>
      <c r="AZ89" s="38" t="s">
        <v>301</v>
      </c>
      <c r="BA89" s="12" t="s">
        <v>225</v>
      </c>
      <c r="BC89" s="35">
        <f>AW89+AX89</f>
        <v>0</v>
      </c>
      <c r="BD89" s="35">
        <f>H89/(100-BE89)*100</f>
        <v>0</v>
      </c>
      <c r="BE89" s="35">
        <v>0</v>
      </c>
      <c r="BF89" s="35">
        <f>O89</f>
        <v>3.0400000000000002E-3</v>
      </c>
      <c r="BH89" s="35">
        <f>G89*AO89</f>
        <v>0</v>
      </c>
      <c r="BI89" s="35">
        <f>G89*AP89</f>
        <v>0</v>
      </c>
      <c r="BJ89" s="35">
        <f>G89*H89</f>
        <v>0</v>
      </c>
      <c r="BK89" s="38" t="s">
        <v>69</v>
      </c>
      <c r="BL89" s="35">
        <v>721</v>
      </c>
      <c r="BW89" s="35">
        <f>I89</f>
        <v>21</v>
      </c>
      <c r="BX89" s="4" t="s">
        <v>304</v>
      </c>
    </row>
    <row r="90" spans="1:76" x14ac:dyDescent="0.25">
      <c r="A90" s="2" t="s">
        <v>305</v>
      </c>
      <c r="B90" s="3" t="s">
        <v>215</v>
      </c>
      <c r="C90" s="3" t="s">
        <v>306</v>
      </c>
      <c r="D90" s="70" t="s">
        <v>307</v>
      </c>
      <c r="E90" s="71"/>
      <c r="F90" s="3" t="s">
        <v>63</v>
      </c>
      <c r="G90" s="35">
        <v>16</v>
      </c>
      <c r="H90" s="68">
        <v>0</v>
      </c>
      <c r="I90" s="36">
        <v>21</v>
      </c>
      <c r="J90" s="35">
        <f>ROUND(G90*AO90,2)</f>
        <v>0</v>
      </c>
      <c r="K90" s="35">
        <f>ROUND(G90*AP90,2)</f>
        <v>0</v>
      </c>
      <c r="L90" s="35">
        <f>ROUND(G90*H90,2)</f>
        <v>0</v>
      </c>
      <c r="M90" s="35">
        <f>L90*(1+BW90/100)</f>
        <v>0</v>
      </c>
      <c r="N90" s="35">
        <v>4.6999999999999999E-4</v>
      </c>
      <c r="O90" s="35">
        <f>G90*N90</f>
        <v>7.5199999999999998E-3</v>
      </c>
      <c r="P90" s="37" t="s">
        <v>64</v>
      </c>
      <c r="Z90" s="35">
        <f>ROUND(IF(AQ90="5",BJ90,0),2)</f>
        <v>0</v>
      </c>
      <c r="AB90" s="35">
        <f>ROUND(IF(AQ90="1",BH90,0),2)</f>
        <v>0</v>
      </c>
      <c r="AC90" s="35">
        <f>ROUND(IF(AQ90="1",BI90,0),2)</f>
        <v>0</v>
      </c>
      <c r="AD90" s="35">
        <f>ROUND(IF(AQ90="7",BH90,0),2)</f>
        <v>0</v>
      </c>
      <c r="AE90" s="35">
        <f>ROUND(IF(AQ90="7",BI90,0),2)</f>
        <v>0</v>
      </c>
      <c r="AF90" s="35">
        <f>ROUND(IF(AQ90="2",BH90,0),2)</f>
        <v>0</v>
      </c>
      <c r="AG90" s="35">
        <f>ROUND(IF(AQ90="2",BI90,0),2)</f>
        <v>0</v>
      </c>
      <c r="AH90" s="35">
        <f>ROUND(IF(AQ90="0",BJ90,0),2)</f>
        <v>0</v>
      </c>
      <c r="AI90" s="12" t="s">
        <v>215</v>
      </c>
      <c r="AJ90" s="35">
        <f>IF(AN90=0,L90,0)</f>
        <v>0</v>
      </c>
      <c r="AK90" s="35">
        <f>IF(AN90=15,L90,0)</f>
        <v>0</v>
      </c>
      <c r="AL90" s="35">
        <f>IF(AN90=21,L90,0)</f>
        <v>0</v>
      </c>
      <c r="AN90" s="35">
        <v>21</v>
      </c>
      <c r="AO90" s="35">
        <f>H90*0.268268645</f>
        <v>0</v>
      </c>
      <c r="AP90" s="35">
        <f>H90*(1-0.268268645)</f>
        <v>0</v>
      </c>
      <c r="AQ90" s="38" t="s">
        <v>65</v>
      </c>
      <c r="AV90" s="35">
        <f>ROUND(AW90+AX90,2)</f>
        <v>0</v>
      </c>
      <c r="AW90" s="35">
        <f>ROUND(G90*AO90,2)</f>
        <v>0</v>
      </c>
      <c r="AX90" s="35">
        <f>ROUND(G90*AP90,2)</f>
        <v>0</v>
      </c>
      <c r="AY90" s="38" t="s">
        <v>300</v>
      </c>
      <c r="AZ90" s="38" t="s">
        <v>301</v>
      </c>
      <c r="BA90" s="12" t="s">
        <v>225</v>
      </c>
      <c r="BC90" s="35">
        <f>AW90+AX90</f>
        <v>0</v>
      </c>
      <c r="BD90" s="35">
        <f>H90/(100-BE90)*100</f>
        <v>0</v>
      </c>
      <c r="BE90" s="35">
        <v>0</v>
      </c>
      <c r="BF90" s="35">
        <f>O90</f>
        <v>7.5199999999999998E-3</v>
      </c>
      <c r="BH90" s="35">
        <f>G90*AO90</f>
        <v>0</v>
      </c>
      <c r="BI90" s="35">
        <f>G90*AP90</f>
        <v>0</v>
      </c>
      <c r="BJ90" s="35">
        <f>G90*H90</f>
        <v>0</v>
      </c>
      <c r="BK90" s="38" t="s">
        <v>69</v>
      </c>
      <c r="BL90" s="35">
        <v>721</v>
      </c>
      <c r="BW90" s="35">
        <f>I90</f>
        <v>21</v>
      </c>
      <c r="BX90" s="4" t="s">
        <v>307</v>
      </c>
    </row>
    <row r="91" spans="1:76" x14ac:dyDescent="0.25">
      <c r="A91" s="31" t="s">
        <v>55</v>
      </c>
      <c r="B91" s="32" t="s">
        <v>215</v>
      </c>
      <c r="C91" s="32" t="s">
        <v>308</v>
      </c>
      <c r="D91" s="128" t="s">
        <v>309</v>
      </c>
      <c r="E91" s="129"/>
      <c r="F91" s="33" t="s">
        <v>4</v>
      </c>
      <c r="G91" s="33" t="s">
        <v>4</v>
      </c>
      <c r="H91" s="33" t="s">
        <v>4</v>
      </c>
      <c r="I91" s="33" t="s">
        <v>4</v>
      </c>
      <c r="J91" s="1">
        <f>SUM(J92:J107)</f>
        <v>0</v>
      </c>
      <c r="K91" s="1">
        <f>SUM(K92:K107)</f>
        <v>0</v>
      </c>
      <c r="L91" s="1">
        <f>SUM(L92:L107)</f>
        <v>0</v>
      </c>
      <c r="M91" s="1">
        <f>SUM(M92:M107)</f>
        <v>0</v>
      </c>
      <c r="N91" s="12" t="s">
        <v>55</v>
      </c>
      <c r="O91" s="1">
        <f>SUM(O92:O107)</f>
        <v>1.00207</v>
      </c>
      <c r="P91" s="34" t="s">
        <v>55</v>
      </c>
      <c r="AI91" s="12" t="s">
        <v>215</v>
      </c>
      <c r="AS91" s="1">
        <f>SUM(AJ92:AJ107)</f>
        <v>0</v>
      </c>
      <c r="AT91" s="1">
        <f>SUM(AK92:AK107)</f>
        <v>0</v>
      </c>
      <c r="AU91" s="1">
        <f>SUM(AL92:AL107)</f>
        <v>0</v>
      </c>
    </row>
    <row r="92" spans="1:76" x14ac:dyDescent="0.25">
      <c r="A92" s="2" t="s">
        <v>310</v>
      </c>
      <c r="B92" s="3" t="s">
        <v>215</v>
      </c>
      <c r="C92" s="3" t="s">
        <v>311</v>
      </c>
      <c r="D92" s="70" t="s">
        <v>312</v>
      </c>
      <c r="E92" s="71"/>
      <c r="F92" s="3" t="s">
        <v>63</v>
      </c>
      <c r="G92" s="35">
        <v>30</v>
      </c>
      <c r="H92" s="68">
        <v>0</v>
      </c>
      <c r="I92" s="36">
        <v>21</v>
      </c>
      <c r="J92" s="35">
        <f t="shared" ref="J92:J107" si="84">ROUND(G92*AO92,2)</f>
        <v>0</v>
      </c>
      <c r="K92" s="35">
        <f t="shared" ref="K92:K107" si="85">ROUND(G92*AP92,2)</f>
        <v>0</v>
      </c>
      <c r="L92" s="35">
        <f t="shared" ref="L92:L107" si="86">ROUND(G92*H92,2)</f>
        <v>0</v>
      </c>
      <c r="M92" s="35">
        <f t="shared" ref="M92:M107" si="87">L92*(1+BW92/100)</f>
        <v>0</v>
      </c>
      <c r="N92" s="35">
        <v>5.1799999999999997E-3</v>
      </c>
      <c r="O92" s="35">
        <f t="shared" ref="O92:O107" si="88">G92*N92</f>
        <v>0.15539999999999998</v>
      </c>
      <c r="P92" s="37" t="s">
        <v>64</v>
      </c>
      <c r="Z92" s="35">
        <f t="shared" ref="Z92:Z107" si="89">ROUND(IF(AQ92="5",BJ92,0),2)</f>
        <v>0</v>
      </c>
      <c r="AB92" s="35">
        <f t="shared" ref="AB92:AB107" si="90">ROUND(IF(AQ92="1",BH92,0),2)</f>
        <v>0</v>
      </c>
      <c r="AC92" s="35">
        <f t="shared" ref="AC92:AC107" si="91">ROUND(IF(AQ92="1",BI92,0),2)</f>
        <v>0</v>
      </c>
      <c r="AD92" s="35">
        <f t="shared" ref="AD92:AD107" si="92">ROUND(IF(AQ92="7",BH92,0),2)</f>
        <v>0</v>
      </c>
      <c r="AE92" s="35">
        <f t="shared" ref="AE92:AE107" si="93">ROUND(IF(AQ92="7",BI92,0),2)</f>
        <v>0</v>
      </c>
      <c r="AF92" s="35">
        <f t="shared" ref="AF92:AF107" si="94">ROUND(IF(AQ92="2",BH92,0),2)</f>
        <v>0</v>
      </c>
      <c r="AG92" s="35">
        <f t="shared" ref="AG92:AG107" si="95">ROUND(IF(AQ92="2",BI92,0),2)</f>
        <v>0</v>
      </c>
      <c r="AH92" s="35">
        <f t="shared" ref="AH92:AH107" si="96">ROUND(IF(AQ92="0",BJ92,0),2)</f>
        <v>0</v>
      </c>
      <c r="AI92" s="12" t="s">
        <v>215</v>
      </c>
      <c r="AJ92" s="35">
        <f t="shared" ref="AJ92:AJ107" si="97">IF(AN92=0,L92,0)</f>
        <v>0</v>
      </c>
      <c r="AK92" s="35">
        <f t="shared" ref="AK92:AK107" si="98">IF(AN92=15,L92,0)</f>
        <v>0</v>
      </c>
      <c r="AL92" s="35">
        <f t="shared" ref="AL92:AL107" si="99">IF(AN92=21,L92,0)</f>
        <v>0</v>
      </c>
      <c r="AN92" s="35">
        <v>21</v>
      </c>
      <c r="AO92" s="35">
        <f>H92*0.237681159</f>
        <v>0</v>
      </c>
      <c r="AP92" s="35">
        <f>H92*(1-0.237681159)</f>
        <v>0</v>
      </c>
      <c r="AQ92" s="38" t="s">
        <v>65</v>
      </c>
      <c r="AV92" s="35">
        <f t="shared" ref="AV92:AV107" si="100">ROUND(AW92+AX92,2)</f>
        <v>0</v>
      </c>
      <c r="AW92" s="35">
        <f t="shared" ref="AW92:AW107" si="101">ROUND(G92*AO92,2)</f>
        <v>0</v>
      </c>
      <c r="AX92" s="35">
        <f t="shared" ref="AX92:AX107" si="102">ROUND(G92*AP92,2)</f>
        <v>0</v>
      </c>
      <c r="AY92" s="38" t="s">
        <v>313</v>
      </c>
      <c r="AZ92" s="38" t="s">
        <v>301</v>
      </c>
      <c r="BA92" s="12" t="s">
        <v>225</v>
      </c>
      <c r="BC92" s="35">
        <f t="shared" ref="BC92:BC107" si="103">AW92+AX92</f>
        <v>0</v>
      </c>
      <c r="BD92" s="35">
        <f t="shared" ref="BD92:BD107" si="104">H92/(100-BE92)*100</f>
        <v>0</v>
      </c>
      <c r="BE92" s="35">
        <v>0</v>
      </c>
      <c r="BF92" s="35">
        <f t="shared" ref="BF92:BF107" si="105">O92</f>
        <v>0.15539999999999998</v>
      </c>
      <c r="BH92" s="35">
        <f t="shared" ref="BH92:BH107" si="106">G92*AO92</f>
        <v>0</v>
      </c>
      <c r="BI92" s="35">
        <f t="shared" ref="BI92:BI107" si="107">G92*AP92</f>
        <v>0</v>
      </c>
      <c r="BJ92" s="35">
        <f t="shared" ref="BJ92:BJ107" si="108">G92*H92</f>
        <v>0</v>
      </c>
      <c r="BK92" s="38" t="s">
        <v>69</v>
      </c>
      <c r="BL92" s="35">
        <v>722</v>
      </c>
      <c r="BW92" s="35">
        <f t="shared" ref="BW92:BW107" si="109">I92</f>
        <v>21</v>
      </c>
      <c r="BX92" s="4" t="s">
        <v>312</v>
      </c>
    </row>
    <row r="93" spans="1:76" x14ac:dyDescent="0.25">
      <c r="A93" s="2" t="s">
        <v>314</v>
      </c>
      <c r="B93" s="3" t="s">
        <v>215</v>
      </c>
      <c r="C93" s="3" t="s">
        <v>315</v>
      </c>
      <c r="D93" s="70" t="s">
        <v>316</v>
      </c>
      <c r="E93" s="71"/>
      <c r="F93" s="3" t="s">
        <v>63</v>
      </c>
      <c r="G93" s="35">
        <v>18</v>
      </c>
      <c r="H93" s="68">
        <v>0</v>
      </c>
      <c r="I93" s="36">
        <v>21</v>
      </c>
      <c r="J93" s="35">
        <f t="shared" si="84"/>
        <v>0</v>
      </c>
      <c r="K93" s="35">
        <f t="shared" si="85"/>
        <v>0</v>
      </c>
      <c r="L93" s="35">
        <f t="shared" si="86"/>
        <v>0</v>
      </c>
      <c r="M93" s="35">
        <f t="shared" si="87"/>
        <v>0</v>
      </c>
      <c r="N93" s="35">
        <v>5.3499999999999997E-3</v>
      </c>
      <c r="O93" s="35">
        <f t="shared" si="88"/>
        <v>9.6299999999999997E-2</v>
      </c>
      <c r="P93" s="37" t="s">
        <v>64</v>
      </c>
      <c r="Z93" s="35">
        <f t="shared" si="89"/>
        <v>0</v>
      </c>
      <c r="AB93" s="35">
        <f t="shared" si="90"/>
        <v>0</v>
      </c>
      <c r="AC93" s="35">
        <f t="shared" si="91"/>
        <v>0</v>
      </c>
      <c r="AD93" s="35">
        <f t="shared" si="92"/>
        <v>0</v>
      </c>
      <c r="AE93" s="35">
        <f t="shared" si="93"/>
        <v>0</v>
      </c>
      <c r="AF93" s="35">
        <f t="shared" si="94"/>
        <v>0</v>
      </c>
      <c r="AG93" s="35">
        <f t="shared" si="95"/>
        <v>0</v>
      </c>
      <c r="AH93" s="35">
        <f t="shared" si="96"/>
        <v>0</v>
      </c>
      <c r="AI93" s="12" t="s">
        <v>215</v>
      </c>
      <c r="AJ93" s="35">
        <f t="shared" si="97"/>
        <v>0</v>
      </c>
      <c r="AK93" s="35">
        <f t="shared" si="98"/>
        <v>0</v>
      </c>
      <c r="AL93" s="35">
        <f t="shared" si="99"/>
        <v>0</v>
      </c>
      <c r="AN93" s="35">
        <v>21</v>
      </c>
      <c r="AO93" s="35">
        <f>H93*0.312160121</f>
        <v>0</v>
      </c>
      <c r="AP93" s="35">
        <f>H93*(1-0.312160121)</f>
        <v>0</v>
      </c>
      <c r="AQ93" s="38" t="s">
        <v>65</v>
      </c>
      <c r="AV93" s="35">
        <f t="shared" si="100"/>
        <v>0</v>
      </c>
      <c r="AW93" s="35">
        <f t="shared" si="101"/>
        <v>0</v>
      </c>
      <c r="AX93" s="35">
        <f t="shared" si="102"/>
        <v>0</v>
      </c>
      <c r="AY93" s="38" t="s">
        <v>313</v>
      </c>
      <c r="AZ93" s="38" t="s">
        <v>301</v>
      </c>
      <c r="BA93" s="12" t="s">
        <v>225</v>
      </c>
      <c r="BC93" s="35">
        <f t="shared" si="103"/>
        <v>0</v>
      </c>
      <c r="BD93" s="35">
        <f t="shared" si="104"/>
        <v>0</v>
      </c>
      <c r="BE93" s="35">
        <v>0</v>
      </c>
      <c r="BF93" s="35">
        <f t="shared" si="105"/>
        <v>9.6299999999999997E-2</v>
      </c>
      <c r="BH93" s="35">
        <f t="shared" si="106"/>
        <v>0</v>
      </c>
      <c r="BI93" s="35">
        <f t="shared" si="107"/>
        <v>0</v>
      </c>
      <c r="BJ93" s="35">
        <f t="shared" si="108"/>
        <v>0</v>
      </c>
      <c r="BK93" s="38" t="s">
        <v>69</v>
      </c>
      <c r="BL93" s="35">
        <v>722</v>
      </c>
      <c r="BW93" s="35">
        <f t="shared" si="109"/>
        <v>21</v>
      </c>
      <c r="BX93" s="4" t="s">
        <v>316</v>
      </c>
    </row>
    <row r="94" spans="1:76" x14ac:dyDescent="0.25">
      <c r="A94" s="2" t="s">
        <v>317</v>
      </c>
      <c r="B94" s="3" t="s">
        <v>215</v>
      </c>
      <c r="C94" s="3" t="s">
        <v>318</v>
      </c>
      <c r="D94" s="70" t="s">
        <v>319</v>
      </c>
      <c r="E94" s="71"/>
      <c r="F94" s="3" t="s">
        <v>63</v>
      </c>
      <c r="G94" s="35">
        <v>46</v>
      </c>
      <c r="H94" s="68">
        <v>0</v>
      </c>
      <c r="I94" s="36">
        <v>21</v>
      </c>
      <c r="J94" s="35">
        <f t="shared" si="84"/>
        <v>0</v>
      </c>
      <c r="K94" s="35">
        <f t="shared" si="85"/>
        <v>0</v>
      </c>
      <c r="L94" s="35">
        <f t="shared" si="86"/>
        <v>0</v>
      </c>
      <c r="M94" s="35">
        <f t="shared" si="87"/>
        <v>0</v>
      </c>
      <c r="N94" s="35">
        <v>5.6299999999999996E-3</v>
      </c>
      <c r="O94" s="35">
        <f t="shared" si="88"/>
        <v>0.25897999999999999</v>
      </c>
      <c r="P94" s="37" t="s">
        <v>64</v>
      </c>
      <c r="Z94" s="35">
        <f t="shared" si="89"/>
        <v>0</v>
      </c>
      <c r="AB94" s="35">
        <f t="shared" si="90"/>
        <v>0</v>
      </c>
      <c r="AC94" s="35">
        <f t="shared" si="91"/>
        <v>0</v>
      </c>
      <c r="AD94" s="35">
        <f t="shared" si="92"/>
        <v>0</v>
      </c>
      <c r="AE94" s="35">
        <f t="shared" si="93"/>
        <v>0</v>
      </c>
      <c r="AF94" s="35">
        <f t="shared" si="94"/>
        <v>0</v>
      </c>
      <c r="AG94" s="35">
        <f t="shared" si="95"/>
        <v>0</v>
      </c>
      <c r="AH94" s="35">
        <f t="shared" si="96"/>
        <v>0</v>
      </c>
      <c r="AI94" s="12" t="s">
        <v>215</v>
      </c>
      <c r="AJ94" s="35">
        <f t="shared" si="97"/>
        <v>0</v>
      </c>
      <c r="AK94" s="35">
        <f t="shared" si="98"/>
        <v>0</v>
      </c>
      <c r="AL94" s="35">
        <f t="shared" si="99"/>
        <v>0</v>
      </c>
      <c r="AN94" s="35">
        <v>21</v>
      </c>
      <c r="AO94" s="35">
        <f>H94*0.43881449</f>
        <v>0</v>
      </c>
      <c r="AP94" s="35">
        <f>H94*(1-0.43881449)</f>
        <v>0</v>
      </c>
      <c r="AQ94" s="38" t="s">
        <v>65</v>
      </c>
      <c r="AV94" s="35">
        <f t="shared" si="100"/>
        <v>0</v>
      </c>
      <c r="AW94" s="35">
        <f t="shared" si="101"/>
        <v>0</v>
      </c>
      <c r="AX94" s="35">
        <f t="shared" si="102"/>
        <v>0</v>
      </c>
      <c r="AY94" s="38" t="s">
        <v>313</v>
      </c>
      <c r="AZ94" s="38" t="s">
        <v>301</v>
      </c>
      <c r="BA94" s="12" t="s">
        <v>225</v>
      </c>
      <c r="BC94" s="35">
        <f t="shared" si="103"/>
        <v>0</v>
      </c>
      <c r="BD94" s="35">
        <f t="shared" si="104"/>
        <v>0</v>
      </c>
      <c r="BE94" s="35">
        <v>0</v>
      </c>
      <c r="BF94" s="35">
        <f t="shared" si="105"/>
        <v>0.25897999999999999</v>
      </c>
      <c r="BH94" s="35">
        <f t="shared" si="106"/>
        <v>0</v>
      </c>
      <c r="BI94" s="35">
        <f t="shared" si="107"/>
        <v>0</v>
      </c>
      <c r="BJ94" s="35">
        <f t="shared" si="108"/>
        <v>0</v>
      </c>
      <c r="BK94" s="38" t="s">
        <v>69</v>
      </c>
      <c r="BL94" s="35">
        <v>722</v>
      </c>
      <c r="BW94" s="35">
        <f t="shared" si="109"/>
        <v>21</v>
      </c>
      <c r="BX94" s="4" t="s">
        <v>319</v>
      </c>
    </row>
    <row r="95" spans="1:76" x14ac:dyDescent="0.25">
      <c r="A95" s="2" t="s">
        <v>320</v>
      </c>
      <c r="B95" s="3" t="s">
        <v>215</v>
      </c>
      <c r="C95" s="3" t="s">
        <v>321</v>
      </c>
      <c r="D95" s="70" t="s">
        <v>322</v>
      </c>
      <c r="E95" s="71"/>
      <c r="F95" s="3" t="s">
        <v>63</v>
      </c>
      <c r="G95" s="35">
        <v>55</v>
      </c>
      <c r="H95" s="68">
        <v>0</v>
      </c>
      <c r="I95" s="36">
        <v>21</v>
      </c>
      <c r="J95" s="35">
        <f t="shared" si="84"/>
        <v>0</v>
      </c>
      <c r="K95" s="35">
        <f t="shared" si="85"/>
        <v>0</v>
      </c>
      <c r="L95" s="35">
        <f t="shared" si="86"/>
        <v>0</v>
      </c>
      <c r="M95" s="35">
        <f t="shared" si="87"/>
        <v>0</v>
      </c>
      <c r="N95" s="35">
        <v>5.94E-3</v>
      </c>
      <c r="O95" s="35">
        <f t="shared" si="88"/>
        <v>0.32669999999999999</v>
      </c>
      <c r="P95" s="37" t="s">
        <v>64</v>
      </c>
      <c r="Z95" s="35">
        <f t="shared" si="89"/>
        <v>0</v>
      </c>
      <c r="AB95" s="35">
        <f t="shared" si="90"/>
        <v>0</v>
      </c>
      <c r="AC95" s="35">
        <f t="shared" si="91"/>
        <v>0</v>
      </c>
      <c r="AD95" s="35">
        <f t="shared" si="92"/>
        <v>0</v>
      </c>
      <c r="AE95" s="35">
        <f t="shared" si="93"/>
        <v>0</v>
      </c>
      <c r="AF95" s="35">
        <f t="shared" si="94"/>
        <v>0</v>
      </c>
      <c r="AG95" s="35">
        <f t="shared" si="95"/>
        <v>0</v>
      </c>
      <c r="AH95" s="35">
        <f t="shared" si="96"/>
        <v>0</v>
      </c>
      <c r="AI95" s="12" t="s">
        <v>215</v>
      </c>
      <c r="AJ95" s="35">
        <f t="shared" si="97"/>
        <v>0</v>
      </c>
      <c r="AK95" s="35">
        <f t="shared" si="98"/>
        <v>0</v>
      </c>
      <c r="AL95" s="35">
        <f t="shared" si="99"/>
        <v>0</v>
      </c>
      <c r="AN95" s="35">
        <v>21</v>
      </c>
      <c r="AO95" s="35">
        <f>H95*0.413820537</f>
        <v>0</v>
      </c>
      <c r="AP95" s="35">
        <f>H95*(1-0.413820537)</f>
        <v>0</v>
      </c>
      <c r="AQ95" s="38" t="s">
        <v>65</v>
      </c>
      <c r="AV95" s="35">
        <f t="shared" si="100"/>
        <v>0</v>
      </c>
      <c r="AW95" s="35">
        <f t="shared" si="101"/>
        <v>0</v>
      </c>
      <c r="AX95" s="35">
        <f t="shared" si="102"/>
        <v>0</v>
      </c>
      <c r="AY95" s="38" t="s">
        <v>313</v>
      </c>
      <c r="AZ95" s="38" t="s">
        <v>301</v>
      </c>
      <c r="BA95" s="12" t="s">
        <v>225</v>
      </c>
      <c r="BC95" s="35">
        <f t="shared" si="103"/>
        <v>0</v>
      </c>
      <c r="BD95" s="35">
        <f t="shared" si="104"/>
        <v>0</v>
      </c>
      <c r="BE95" s="35">
        <v>0</v>
      </c>
      <c r="BF95" s="35">
        <f t="shared" si="105"/>
        <v>0.32669999999999999</v>
      </c>
      <c r="BH95" s="35">
        <f t="shared" si="106"/>
        <v>0</v>
      </c>
      <c r="BI95" s="35">
        <f t="shared" si="107"/>
        <v>0</v>
      </c>
      <c r="BJ95" s="35">
        <f t="shared" si="108"/>
        <v>0</v>
      </c>
      <c r="BK95" s="38" t="s">
        <v>69</v>
      </c>
      <c r="BL95" s="35">
        <v>722</v>
      </c>
      <c r="BW95" s="35">
        <f t="shared" si="109"/>
        <v>21</v>
      </c>
      <c r="BX95" s="4" t="s">
        <v>322</v>
      </c>
    </row>
    <row r="96" spans="1:76" x14ac:dyDescent="0.25">
      <c r="A96" s="2" t="s">
        <v>323</v>
      </c>
      <c r="B96" s="3" t="s">
        <v>215</v>
      </c>
      <c r="C96" s="3" t="s">
        <v>324</v>
      </c>
      <c r="D96" s="70" t="s">
        <v>325</v>
      </c>
      <c r="E96" s="71"/>
      <c r="F96" s="3" t="s">
        <v>63</v>
      </c>
      <c r="G96" s="35">
        <v>22</v>
      </c>
      <c r="H96" s="68">
        <v>0</v>
      </c>
      <c r="I96" s="36">
        <v>21</v>
      </c>
      <c r="J96" s="35">
        <f t="shared" si="84"/>
        <v>0</v>
      </c>
      <c r="K96" s="35">
        <f t="shared" si="85"/>
        <v>0</v>
      </c>
      <c r="L96" s="35">
        <f t="shared" si="86"/>
        <v>0</v>
      </c>
      <c r="M96" s="35">
        <f t="shared" si="87"/>
        <v>0</v>
      </c>
      <c r="N96" s="35">
        <v>6.5399999999999998E-3</v>
      </c>
      <c r="O96" s="35">
        <f t="shared" si="88"/>
        <v>0.14388000000000001</v>
      </c>
      <c r="P96" s="37" t="s">
        <v>64</v>
      </c>
      <c r="Z96" s="35">
        <f t="shared" si="89"/>
        <v>0</v>
      </c>
      <c r="AB96" s="35">
        <f t="shared" si="90"/>
        <v>0</v>
      </c>
      <c r="AC96" s="35">
        <f t="shared" si="91"/>
        <v>0</v>
      </c>
      <c r="AD96" s="35">
        <f t="shared" si="92"/>
        <v>0</v>
      </c>
      <c r="AE96" s="35">
        <f t="shared" si="93"/>
        <v>0</v>
      </c>
      <c r="AF96" s="35">
        <f t="shared" si="94"/>
        <v>0</v>
      </c>
      <c r="AG96" s="35">
        <f t="shared" si="95"/>
        <v>0</v>
      </c>
      <c r="AH96" s="35">
        <f t="shared" si="96"/>
        <v>0</v>
      </c>
      <c r="AI96" s="12" t="s">
        <v>215</v>
      </c>
      <c r="AJ96" s="35">
        <f t="shared" si="97"/>
        <v>0</v>
      </c>
      <c r="AK96" s="35">
        <f t="shared" si="98"/>
        <v>0</v>
      </c>
      <c r="AL96" s="35">
        <f t="shared" si="99"/>
        <v>0</v>
      </c>
      <c r="AN96" s="35">
        <v>21</v>
      </c>
      <c r="AO96" s="35">
        <f>H96*0.515349685</f>
        <v>0</v>
      </c>
      <c r="AP96" s="35">
        <f>H96*(1-0.515349685)</f>
        <v>0</v>
      </c>
      <c r="AQ96" s="38" t="s">
        <v>65</v>
      </c>
      <c r="AV96" s="35">
        <f t="shared" si="100"/>
        <v>0</v>
      </c>
      <c r="AW96" s="35">
        <f t="shared" si="101"/>
        <v>0</v>
      </c>
      <c r="AX96" s="35">
        <f t="shared" si="102"/>
        <v>0</v>
      </c>
      <c r="AY96" s="38" t="s">
        <v>313</v>
      </c>
      <c r="AZ96" s="38" t="s">
        <v>301</v>
      </c>
      <c r="BA96" s="12" t="s">
        <v>225</v>
      </c>
      <c r="BC96" s="35">
        <f t="shared" si="103"/>
        <v>0</v>
      </c>
      <c r="BD96" s="35">
        <f t="shared" si="104"/>
        <v>0</v>
      </c>
      <c r="BE96" s="35">
        <v>0</v>
      </c>
      <c r="BF96" s="35">
        <f t="shared" si="105"/>
        <v>0.14388000000000001</v>
      </c>
      <c r="BH96" s="35">
        <f t="shared" si="106"/>
        <v>0</v>
      </c>
      <c r="BI96" s="35">
        <f t="shared" si="107"/>
        <v>0</v>
      </c>
      <c r="BJ96" s="35">
        <f t="shared" si="108"/>
        <v>0</v>
      </c>
      <c r="BK96" s="38" t="s">
        <v>69</v>
      </c>
      <c r="BL96" s="35">
        <v>722</v>
      </c>
      <c r="BW96" s="35">
        <f t="shared" si="109"/>
        <v>21</v>
      </c>
      <c r="BX96" s="4" t="s">
        <v>325</v>
      </c>
    </row>
    <row r="97" spans="1:76" x14ac:dyDescent="0.25">
      <c r="A97" s="2" t="s">
        <v>326</v>
      </c>
      <c r="B97" s="3" t="s">
        <v>215</v>
      </c>
      <c r="C97" s="3" t="s">
        <v>327</v>
      </c>
      <c r="D97" s="70" t="s">
        <v>328</v>
      </c>
      <c r="E97" s="71"/>
      <c r="F97" s="3" t="s">
        <v>63</v>
      </c>
      <c r="G97" s="35">
        <v>3</v>
      </c>
      <c r="H97" s="68">
        <v>0</v>
      </c>
      <c r="I97" s="36">
        <v>21</v>
      </c>
      <c r="J97" s="35">
        <f t="shared" si="84"/>
        <v>0</v>
      </c>
      <c r="K97" s="35">
        <f t="shared" si="85"/>
        <v>0</v>
      </c>
      <c r="L97" s="35">
        <f t="shared" si="86"/>
        <v>0</v>
      </c>
      <c r="M97" s="35">
        <f t="shared" si="87"/>
        <v>0</v>
      </c>
      <c r="N97" s="35">
        <v>4.79E-3</v>
      </c>
      <c r="O97" s="35">
        <f t="shared" si="88"/>
        <v>1.4370000000000001E-2</v>
      </c>
      <c r="P97" s="37" t="s">
        <v>64</v>
      </c>
      <c r="Z97" s="35">
        <f t="shared" si="89"/>
        <v>0</v>
      </c>
      <c r="AB97" s="35">
        <f t="shared" si="90"/>
        <v>0</v>
      </c>
      <c r="AC97" s="35">
        <f t="shared" si="91"/>
        <v>0</v>
      </c>
      <c r="AD97" s="35">
        <f t="shared" si="92"/>
        <v>0</v>
      </c>
      <c r="AE97" s="35">
        <f t="shared" si="93"/>
        <v>0</v>
      </c>
      <c r="AF97" s="35">
        <f t="shared" si="94"/>
        <v>0</v>
      </c>
      <c r="AG97" s="35">
        <f t="shared" si="95"/>
        <v>0</v>
      </c>
      <c r="AH97" s="35">
        <f t="shared" si="96"/>
        <v>0</v>
      </c>
      <c r="AI97" s="12" t="s">
        <v>215</v>
      </c>
      <c r="AJ97" s="35">
        <f t="shared" si="97"/>
        <v>0</v>
      </c>
      <c r="AK97" s="35">
        <f t="shared" si="98"/>
        <v>0</v>
      </c>
      <c r="AL97" s="35">
        <f t="shared" si="99"/>
        <v>0</v>
      </c>
      <c r="AN97" s="35">
        <v>21</v>
      </c>
      <c r="AO97" s="35">
        <f>H97*0.552950408</f>
        <v>0</v>
      </c>
      <c r="AP97" s="35">
        <f>H97*(1-0.552950408)</f>
        <v>0</v>
      </c>
      <c r="AQ97" s="38" t="s">
        <v>65</v>
      </c>
      <c r="AV97" s="35">
        <f t="shared" si="100"/>
        <v>0</v>
      </c>
      <c r="AW97" s="35">
        <f t="shared" si="101"/>
        <v>0</v>
      </c>
      <c r="AX97" s="35">
        <f t="shared" si="102"/>
        <v>0</v>
      </c>
      <c r="AY97" s="38" t="s">
        <v>313</v>
      </c>
      <c r="AZ97" s="38" t="s">
        <v>301</v>
      </c>
      <c r="BA97" s="12" t="s">
        <v>225</v>
      </c>
      <c r="BC97" s="35">
        <f t="shared" si="103"/>
        <v>0</v>
      </c>
      <c r="BD97" s="35">
        <f t="shared" si="104"/>
        <v>0</v>
      </c>
      <c r="BE97" s="35">
        <v>0</v>
      </c>
      <c r="BF97" s="35">
        <f t="shared" si="105"/>
        <v>1.4370000000000001E-2</v>
      </c>
      <c r="BH97" s="35">
        <f t="shared" si="106"/>
        <v>0</v>
      </c>
      <c r="BI97" s="35">
        <f t="shared" si="107"/>
        <v>0</v>
      </c>
      <c r="BJ97" s="35">
        <f t="shared" si="108"/>
        <v>0</v>
      </c>
      <c r="BK97" s="38" t="s">
        <v>69</v>
      </c>
      <c r="BL97" s="35">
        <v>722</v>
      </c>
      <c r="BW97" s="35">
        <f t="shared" si="109"/>
        <v>21</v>
      </c>
      <c r="BX97" s="4" t="s">
        <v>328</v>
      </c>
    </row>
    <row r="98" spans="1:76" ht="25.5" x14ac:dyDescent="0.25">
      <c r="A98" s="2" t="s">
        <v>329</v>
      </c>
      <c r="B98" s="3" t="s">
        <v>215</v>
      </c>
      <c r="C98" s="3" t="s">
        <v>330</v>
      </c>
      <c r="D98" s="70" t="s">
        <v>331</v>
      </c>
      <c r="E98" s="71"/>
      <c r="F98" s="3" t="s">
        <v>85</v>
      </c>
      <c r="G98" s="35">
        <v>1</v>
      </c>
      <c r="H98" s="68">
        <v>0</v>
      </c>
      <c r="I98" s="36">
        <v>21</v>
      </c>
      <c r="J98" s="35">
        <f t="shared" si="84"/>
        <v>0</v>
      </c>
      <c r="K98" s="35">
        <f t="shared" si="85"/>
        <v>0</v>
      </c>
      <c r="L98" s="35">
        <f t="shared" si="86"/>
        <v>0</v>
      </c>
      <c r="M98" s="35">
        <f t="shared" si="87"/>
        <v>0</v>
      </c>
      <c r="N98" s="35">
        <v>6.4400000000000004E-3</v>
      </c>
      <c r="O98" s="35">
        <f t="shared" si="88"/>
        <v>6.4400000000000004E-3</v>
      </c>
      <c r="P98" s="37" t="s">
        <v>64</v>
      </c>
      <c r="Z98" s="35">
        <f t="shared" si="89"/>
        <v>0</v>
      </c>
      <c r="AB98" s="35">
        <f t="shared" si="90"/>
        <v>0</v>
      </c>
      <c r="AC98" s="35">
        <f t="shared" si="91"/>
        <v>0</v>
      </c>
      <c r="AD98" s="35">
        <f t="shared" si="92"/>
        <v>0</v>
      </c>
      <c r="AE98" s="35">
        <f t="shared" si="93"/>
        <v>0</v>
      </c>
      <c r="AF98" s="35">
        <f t="shared" si="94"/>
        <v>0</v>
      </c>
      <c r="AG98" s="35">
        <f t="shared" si="95"/>
        <v>0</v>
      </c>
      <c r="AH98" s="35">
        <f t="shared" si="96"/>
        <v>0</v>
      </c>
      <c r="AI98" s="12" t="s">
        <v>215</v>
      </c>
      <c r="AJ98" s="35">
        <f t="shared" si="97"/>
        <v>0</v>
      </c>
      <c r="AK98" s="35">
        <f t="shared" si="98"/>
        <v>0</v>
      </c>
      <c r="AL98" s="35">
        <f t="shared" si="99"/>
        <v>0</v>
      </c>
      <c r="AN98" s="35">
        <v>21</v>
      </c>
      <c r="AO98" s="35">
        <f>H98*0.927648618</f>
        <v>0</v>
      </c>
      <c r="AP98" s="35">
        <f>H98*(1-0.927648618)</f>
        <v>0</v>
      </c>
      <c r="AQ98" s="38" t="s">
        <v>65</v>
      </c>
      <c r="AV98" s="35">
        <f t="shared" si="100"/>
        <v>0</v>
      </c>
      <c r="AW98" s="35">
        <f t="shared" si="101"/>
        <v>0</v>
      </c>
      <c r="AX98" s="35">
        <f t="shared" si="102"/>
        <v>0</v>
      </c>
      <c r="AY98" s="38" t="s">
        <v>313</v>
      </c>
      <c r="AZ98" s="38" t="s">
        <v>301</v>
      </c>
      <c r="BA98" s="12" t="s">
        <v>225</v>
      </c>
      <c r="BC98" s="35">
        <f t="shared" si="103"/>
        <v>0</v>
      </c>
      <c r="BD98" s="35">
        <f t="shared" si="104"/>
        <v>0</v>
      </c>
      <c r="BE98" s="35">
        <v>0</v>
      </c>
      <c r="BF98" s="35">
        <f t="shared" si="105"/>
        <v>6.4400000000000004E-3</v>
      </c>
      <c r="BH98" s="35">
        <f t="shared" si="106"/>
        <v>0</v>
      </c>
      <c r="BI98" s="35">
        <f t="shared" si="107"/>
        <v>0</v>
      </c>
      <c r="BJ98" s="35">
        <f t="shared" si="108"/>
        <v>0</v>
      </c>
      <c r="BK98" s="38" t="s">
        <v>69</v>
      </c>
      <c r="BL98" s="35">
        <v>722</v>
      </c>
      <c r="BW98" s="35">
        <f t="shared" si="109"/>
        <v>21</v>
      </c>
      <c r="BX98" s="4" t="s">
        <v>331</v>
      </c>
    </row>
    <row r="99" spans="1:76" x14ac:dyDescent="0.25">
      <c r="A99" s="2" t="s">
        <v>332</v>
      </c>
      <c r="B99" s="3" t="s">
        <v>215</v>
      </c>
      <c r="C99" s="3" t="s">
        <v>333</v>
      </c>
      <c r="D99" s="70" t="s">
        <v>334</v>
      </c>
      <c r="E99" s="71"/>
      <c r="F99" s="3" t="s">
        <v>85</v>
      </c>
      <c r="G99" s="35">
        <v>10</v>
      </c>
      <c r="H99" s="68">
        <v>0</v>
      </c>
      <c r="I99" s="36">
        <v>21</v>
      </c>
      <c r="J99" s="35">
        <f t="shared" si="84"/>
        <v>0</v>
      </c>
      <c r="K99" s="35">
        <f t="shared" si="85"/>
        <v>0</v>
      </c>
      <c r="L99" s="35">
        <f t="shared" si="86"/>
        <v>0</v>
      </c>
      <c r="M99" s="35">
        <f t="shared" si="87"/>
        <v>0</v>
      </c>
      <c r="N99" s="35">
        <v>0</v>
      </c>
      <c r="O99" s="35">
        <f t="shared" si="88"/>
        <v>0</v>
      </c>
      <c r="P99" s="37" t="s">
        <v>64</v>
      </c>
      <c r="Z99" s="35">
        <f t="shared" si="89"/>
        <v>0</v>
      </c>
      <c r="AB99" s="35">
        <f t="shared" si="90"/>
        <v>0</v>
      </c>
      <c r="AC99" s="35">
        <f t="shared" si="91"/>
        <v>0</v>
      </c>
      <c r="AD99" s="35">
        <f t="shared" si="92"/>
        <v>0</v>
      </c>
      <c r="AE99" s="35">
        <f t="shared" si="93"/>
        <v>0</v>
      </c>
      <c r="AF99" s="35">
        <f t="shared" si="94"/>
        <v>0</v>
      </c>
      <c r="AG99" s="35">
        <f t="shared" si="95"/>
        <v>0</v>
      </c>
      <c r="AH99" s="35">
        <f t="shared" si="96"/>
        <v>0</v>
      </c>
      <c r="AI99" s="12" t="s">
        <v>215</v>
      </c>
      <c r="AJ99" s="35">
        <f t="shared" si="97"/>
        <v>0</v>
      </c>
      <c r="AK99" s="35">
        <f t="shared" si="98"/>
        <v>0</v>
      </c>
      <c r="AL99" s="35">
        <f t="shared" si="99"/>
        <v>0</v>
      </c>
      <c r="AN99" s="35">
        <v>21</v>
      </c>
      <c r="AO99" s="35">
        <f>H99*0.037824279</f>
        <v>0</v>
      </c>
      <c r="AP99" s="35">
        <f>H99*(1-0.037824279)</f>
        <v>0</v>
      </c>
      <c r="AQ99" s="38" t="s">
        <v>65</v>
      </c>
      <c r="AV99" s="35">
        <f t="shared" si="100"/>
        <v>0</v>
      </c>
      <c r="AW99" s="35">
        <f t="shared" si="101"/>
        <v>0</v>
      </c>
      <c r="AX99" s="35">
        <f t="shared" si="102"/>
        <v>0</v>
      </c>
      <c r="AY99" s="38" t="s">
        <v>313</v>
      </c>
      <c r="AZ99" s="38" t="s">
        <v>301</v>
      </c>
      <c r="BA99" s="12" t="s">
        <v>225</v>
      </c>
      <c r="BC99" s="35">
        <f t="shared" si="103"/>
        <v>0</v>
      </c>
      <c r="BD99" s="35">
        <f t="shared" si="104"/>
        <v>0</v>
      </c>
      <c r="BE99" s="35">
        <v>0</v>
      </c>
      <c r="BF99" s="35">
        <f t="shared" si="105"/>
        <v>0</v>
      </c>
      <c r="BH99" s="35">
        <f t="shared" si="106"/>
        <v>0</v>
      </c>
      <c r="BI99" s="35">
        <f t="shared" si="107"/>
        <v>0</v>
      </c>
      <c r="BJ99" s="35">
        <f t="shared" si="108"/>
        <v>0</v>
      </c>
      <c r="BK99" s="38" t="s">
        <v>69</v>
      </c>
      <c r="BL99" s="35">
        <v>722</v>
      </c>
      <c r="BW99" s="35">
        <f t="shared" si="109"/>
        <v>21</v>
      </c>
      <c r="BX99" s="4" t="s">
        <v>334</v>
      </c>
    </row>
    <row r="100" spans="1:76" x14ac:dyDescent="0.25">
      <c r="A100" s="2" t="s">
        <v>335</v>
      </c>
      <c r="B100" s="3" t="s">
        <v>215</v>
      </c>
      <c r="C100" s="3" t="s">
        <v>336</v>
      </c>
      <c r="D100" s="70" t="s">
        <v>337</v>
      </c>
      <c r="E100" s="71"/>
      <c r="F100" s="3" t="s">
        <v>85</v>
      </c>
      <c r="G100" s="35">
        <v>14</v>
      </c>
      <c r="H100" s="68">
        <v>0</v>
      </c>
      <c r="I100" s="36">
        <v>21</v>
      </c>
      <c r="J100" s="35">
        <f t="shared" si="84"/>
        <v>0</v>
      </c>
      <c r="K100" s="35">
        <f t="shared" si="85"/>
        <v>0</v>
      </c>
      <c r="L100" s="35">
        <f t="shared" si="86"/>
        <v>0</v>
      </c>
      <c r="M100" s="35">
        <f t="shared" si="87"/>
        <v>0</v>
      </c>
      <c r="N100" s="35">
        <v>0</v>
      </c>
      <c r="O100" s="35">
        <f t="shared" si="88"/>
        <v>0</v>
      </c>
      <c r="P100" s="37" t="s">
        <v>64</v>
      </c>
      <c r="Z100" s="35">
        <f t="shared" si="89"/>
        <v>0</v>
      </c>
      <c r="AB100" s="35">
        <f t="shared" si="90"/>
        <v>0</v>
      </c>
      <c r="AC100" s="35">
        <f t="shared" si="91"/>
        <v>0</v>
      </c>
      <c r="AD100" s="35">
        <f t="shared" si="92"/>
        <v>0</v>
      </c>
      <c r="AE100" s="35">
        <f t="shared" si="93"/>
        <v>0</v>
      </c>
      <c r="AF100" s="35">
        <f t="shared" si="94"/>
        <v>0</v>
      </c>
      <c r="AG100" s="35">
        <f t="shared" si="95"/>
        <v>0</v>
      </c>
      <c r="AH100" s="35">
        <f t="shared" si="96"/>
        <v>0</v>
      </c>
      <c r="AI100" s="12" t="s">
        <v>215</v>
      </c>
      <c r="AJ100" s="35">
        <f t="shared" si="97"/>
        <v>0</v>
      </c>
      <c r="AK100" s="35">
        <f t="shared" si="98"/>
        <v>0</v>
      </c>
      <c r="AL100" s="35">
        <f t="shared" si="99"/>
        <v>0</v>
      </c>
      <c r="AN100" s="35">
        <v>21</v>
      </c>
      <c r="AO100" s="35">
        <f>H100*0.057259714</f>
        <v>0</v>
      </c>
      <c r="AP100" s="35">
        <f>H100*(1-0.057259714)</f>
        <v>0</v>
      </c>
      <c r="AQ100" s="38" t="s">
        <v>65</v>
      </c>
      <c r="AV100" s="35">
        <f t="shared" si="100"/>
        <v>0</v>
      </c>
      <c r="AW100" s="35">
        <f t="shared" si="101"/>
        <v>0</v>
      </c>
      <c r="AX100" s="35">
        <f t="shared" si="102"/>
        <v>0</v>
      </c>
      <c r="AY100" s="38" t="s">
        <v>313</v>
      </c>
      <c r="AZ100" s="38" t="s">
        <v>301</v>
      </c>
      <c r="BA100" s="12" t="s">
        <v>225</v>
      </c>
      <c r="BC100" s="35">
        <f t="shared" si="103"/>
        <v>0</v>
      </c>
      <c r="BD100" s="35">
        <f t="shared" si="104"/>
        <v>0</v>
      </c>
      <c r="BE100" s="35">
        <v>0</v>
      </c>
      <c r="BF100" s="35">
        <f t="shared" si="105"/>
        <v>0</v>
      </c>
      <c r="BH100" s="35">
        <f t="shared" si="106"/>
        <v>0</v>
      </c>
      <c r="BI100" s="35">
        <f t="shared" si="107"/>
        <v>0</v>
      </c>
      <c r="BJ100" s="35">
        <f t="shared" si="108"/>
        <v>0</v>
      </c>
      <c r="BK100" s="38" t="s">
        <v>69</v>
      </c>
      <c r="BL100" s="35">
        <v>722</v>
      </c>
      <c r="BW100" s="35">
        <f t="shared" si="109"/>
        <v>21</v>
      </c>
      <c r="BX100" s="4" t="s">
        <v>337</v>
      </c>
    </row>
    <row r="101" spans="1:76" x14ac:dyDescent="0.25">
      <c r="A101" s="2" t="s">
        <v>338</v>
      </c>
      <c r="B101" s="3" t="s">
        <v>215</v>
      </c>
      <c r="C101" s="3" t="s">
        <v>339</v>
      </c>
      <c r="D101" s="70" t="s">
        <v>340</v>
      </c>
      <c r="E101" s="71"/>
      <c r="F101" s="3" t="s">
        <v>85</v>
      </c>
      <c r="G101" s="35">
        <v>24</v>
      </c>
      <c r="H101" s="68">
        <v>0</v>
      </c>
      <c r="I101" s="36">
        <v>21</v>
      </c>
      <c r="J101" s="35">
        <f t="shared" si="84"/>
        <v>0</v>
      </c>
      <c r="K101" s="35">
        <f t="shared" si="85"/>
        <v>0</v>
      </c>
      <c r="L101" s="35">
        <f t="shared" si="86"/>
        <v>0</v>
      </c>
      <c r="M101" s="35">
        <f t="shared" si="87"/>
        <v>0</v>
      </c>
      <c r="N101" s="35">
        <v>0</v>
      </c>
      <c r="O101" s="35">
        <f t="shared" si="88"/>
        <v>0</v>
      </c>
      <c r="P101" s="37" t="s">
        <v>64</v>
      </c>
      <c r="Z101" s="35">
        <f t="shared" si="89"/>
        <v>0</v>
      </c>
      <c r="AB101" s="35">
        <f t="shared" si="90"/>
        <v>0</v>
      </c>
      <c r="AC101" s="35">
        <f t="shared" si="91"/>
        <v>0</v>
      </c>
      <c r="AD101" s="35">
        <f t="shared" si="92"/>
        <v>0</v>
      </c>
      <c r="AE101" s="35">
        <f t="shared" si="93"/>
        <v>0</v>
      </c>
      <c r="AF101" s="35">
        <f t="shared" si="94"/>
        <v>0</v>
      </c>
      <c r="AG101" s="35">
        <f t="shared" si="95"/>
        <v>0</v>
      </c>
      <c r="AH101" s="35">
        <f t="shared" si="96"/>
        <v>0</v>
      </c>
      <c r="AI101" s="12" t="s">
        <v>215</v>
      </c>
      <c r="AJ101" s="35">
        <f t="shared" si="97"/>
        <v>0</v>
      </c>
      <c r="AK101" s="35">
        <f t="shared" si="98"/>
        <v>0</v>
      </c>
      <c r="AL101" s="35">
        <f t="shared" si="99"/>
        <v>0</v>
      </c>
      <c r="AN101" s="35">
        <v>21</v>
      </c>
      <c r="AO101" s="35">
        <f>H101*0.060111996</f>
        <v>0</v>
      </c>
      <c r="AP101" s="35">
        <f>H101*(1-0.060111996)</f>
        <v>0</v>
      </c>
      <c r="AQ101" s="38" t="s">
        <v>65</v>
      </c>
      <c r="AV101" s="35">
        <f t="shared" si="100"/>
        <v>0</v>
      </c>
      <c r="AW101" s="35">
        <f t="shared" si="101"/>
        <v>0</v>
      </c>
      <c r="AX101" s="35">
        <f t="shared" si="102"/>
        <v>0</v>
      </c>
      <c r="AY101" s="38" t="s">
        <v>313</v>
      </c>
      <c r="AZ101" s="38" t="s">
        <v>301</v>
      </c>
      <c r="BA101" s="12" t="s">
        <v>225</v>
      </c>
      <c r="BC101" s="35">
        <f t="shared" si="103"/>
        <v>0</v>
      </c>
      <c r="BD101" s="35">
        <f t="shared" si="104"/>
        <v>0</v>
      </c>
      <c r="BE101" s="35">
        <v>0</v>
      </c>
      <c r="BF101" s="35">
        <f t="shared" si="105"/>
        <v>0</v>
      </c>
      <c r="BH101" s="35">
        <f t="shared" si="106"/>
        <v>0</v>
      </c>
      <c r="BI101" s="35">
        <f t="shared" si="107"/>
        <v>0</v>
      </c>
      <c r="BJ101" s="35">
        <f t="shared" si="108"/>
        <v>0</v>
      </c>
      <c r="BK101" s="38" t="s">
        <v>69</v>
      </c>
      <c r="BL101" s="35">
        <v>722</v>
      </c>
      <c r="BW101" s="35">
        <f t="shared" si="109"/>
        <v>21</v>
      </c>
      <c r="BX101" s="4" t="s">
        <v>340</v>
      </c>
    </row>
    <row r="102" spans="1:76" x14ac:dyDescent="0.25">
      <c r="A102" s="2" t="s">
        <v>341</v>
      </c>
      <c r="B102" s="3" t="s">
        <v>215</v>
      </c>
      <c r="C102" s="3" t="s">
        <v>342</v>
      </c>
      <c r="D102" s="70" t="s">
        <v>343</v>
      </c>
      <c r="E102" s="71"/>
      <c r="F102" s="3" t="s">
        <v>85</v>
      </c>
      <c r="G102" s="35">
        <v>12</v>
      </c>
      <c r="H102" s="68">
        <v>0</v>
      </c>
      <c r="I102" s="36">
        <v>21</v>
      </c>
      <c r="J102" s="35">
        <f t="shared" si="84"/>
        <v>0</v>
      </c>
      <c r="K102" s="35">
        <f t="shared" si="85"/>
        <v>0</v>
      </c>
      <c r="L102" s="35">
        <f t="shared" si="86"/>
        <v>0</v>
      </c>
      <c r="M102" s="35">
        <f t="shared" si="87"/>
        <v>0</v>
      </c>
      <c r="N102" s="35">
        <v>0</v>
      </c>
      <c r="O102" s="35">
        <f t="shared" si="88"/>
        <v>0</v>
      </c>
      <c r="P102" s="37" t="s">
        <v>64</v>
      </c>
      <c r="Z102" s="35">
        <f t="shared" si="89"/>
        <v>0</v>
      </c>
      <c r="AB102" s="35">
        <f t="shared" si="90"/>
        <v>0</v>
      </c>
      <c r="AC102" s="35">
        <f t="shared" si="91"/>
        <v>0</v>
      </c>
      <c r="AD102" s="35">
        <f t="shared" si="92"/>
        <v>0</v>
      </c>
      <c r="AE102" s="35">
        <f t="shared" si="93"/>
        <v>0</v>
      </c>
      <c r="AF102" s="35">
        <f t="shared" si="94"/>
        <v>0</v>
      </c>
      <c r="AG102" s="35">
        <f t="shared" si="95"/>
        <v>0</v>
      </c>
      <c r="AH102" s="35">
        <f t="shared" si="96"/>
        <v>0</v>
      </c>
      <c r="AI102" s="12" t="s">
        <v>215</v>
      </c>
      <c r="AJ102" s="35">
        <f t="shared" si="97"/>
        <v>0</v>
      </c>
      <c r="AK102" s="35">
        <f t="shared" si="98"/>
        <v>0</v>
      </c>
      <c r="AL102" s="35">
        <f t="shared" si="99"/>
        <v>0</v>
      </c>
      <c r="AN102" s="35">
        <v>21</v>
      </c>
      <c r="AO102" s="35">
        <f>H102*0.083876923</f>
        <v>0</v>
      </c>
      <c r="AP102" s="35">
        <f>H102*(1-0.083876923)</f>
        <v>0</v>
      </c>
      <c r="AQ102" s="38" t="s">
        <v>65</v>
      </c>
      <c r="AV102" s="35">
        <f t="shared" si="100"/>
        <v>0</v>
      </c>
      <c r="AW102" s="35">
        <f t="shared" si="101"/>
        <v>0</v>
      </c>
      <c r="AX102" s="35">
        <f t="shared" si="102"/>
        <v>0</v>
      </c>
      <c r="AY102" s="38" t="s">
        <v>313</v>
      </c>
      <c r="AZ102" s="38" t="s">
        <v>301</v>
      </c>
      <c r="BA102" s="12" t="s">
        <v>225</v>
      </c>
      <c r="BC102" s="35">
        <f t="shared" si="103"/>
        <v>0</v>
      </c>
      <c r="BD102" s="35">
        <f t="shared" si="104"/>
        <v>0</v>
      </c>
      <c r="BE102" s="35">
        <v>0</v>
      </c>
      <c r="BF102" s="35">
        <f t="shared" si="105"/>
        <v>0</v>
      </c>
      <c r="BH102" s="35">
        <f t="shared" si="106"/>
        <v>0</v>
      </c>
      <c r="BI102" s="35">
        <f t="shared" si="107"/>
        <v>0</v>
      </c>
      <c r="BJ102" s="35">
        <f t="shared" si="108"/>
        <v>0</v>
      </c>
      <c r="BK102" s="38" t="s">
        <v>69</v>
      </c>
      <c r="BL102" s="35">
        <v>722</v>
      </c>
      <c r="BW102" s="35">
        <f t="shared" si="109"/>
        <v>21</v>
      </c>
      <c r="BX102" s="4" t="s">
        <v>343</v>
      </c>
    </row>
    <row r="103" spans="1:76" x14ac:dyDescent="0.25">
      <c r="A103" s="2" t="s">
        <v>344</v>
      </c>
      <c r="B103" s="3" t="s">
        <v>215</v>
      </c>
      <c r="C103" s="3" t="s">
        <v>345</v>
      </c>
      <c r="D103" s="70" t="s">
        <v>346</v>
      </c>
      <c r="E103" s="71"/>
      <c r="F103" s="3" t="s">
        <v>85</v>
      </c>
      <c r="G103" s="35">
        <v>10</v>
      </c>
      <c r="H103" s="68">
        <v>0</v>
      </c>
      <c r="I103" s="36">
        <v>21</v>
      </c>
      <c r="J103" s="35">
        <f t="shared" si="84"/>
        <v>0</v>
      </c>
      <c r="K103" s="35">
        <f t="shared" si="85"/>
        <v>0</v>
      </c>
      <c r="L103" s="35">
        <f t="shared" si="86"/>
        <v>0</v>
      </c>
      <c r="M103" s="35">
        <f t="shared" si="87"/>
        <v>0</v>
      </c>
      <c r="N103" s="35">
        <v>0</v>
      </c>
      <c r="O103" s="35">
        <f t="shared" si="88"/>
        <v>0</v>
      </c>
      <c r="P103" s="37" t="s">
        <v>64</v>
      </c>
      <c r="Z103" s="35">
        <f t="shared" si="89"/>
        <v>0</v>
      </c>
      <c r="AB103" s="35">
        <f t="shared" si="90"/>
        <v>0</v>
      </c>
      <c r="AC103" s="35">
        <f t="shared" si="91"/>
        <v>0</v>
      </c>
      <c r="AD103" s="35">
        <f t="shared" si="92"/>
        <v>0</v>
      </c>
      <c r="AE103" s="35">
        <f t="shared" si="93"/>
        <v>0</v>
      </c>
      <c r="AF103" s="35">
        <f t="shared" si="94"/>
        <v>0</v>
      </c>
      <c r="AG103" s="35">
        <f t="shared" si="95"/>
        <v>0</v>
      </c>
      <c r="AH103" s="35">
        <f t="shared" si="96"/>
        <v>0</v>
      </c>
      <c r="AI103" s="12" t="s">
        <v>215</v>
      </c>
      <c r="AJ103" s="35">
        <f t="shared" si="97"/>
        <v>0</v>
      </c>
      <c r="AK103" s="35">
        <f t="shared" si="98"/>
        <v>0</v>
      </c>
      <c r="AL103" s="35">
        <f t="shared" si="99"/>
        <v>0</v>
      </c>
      <c r="AN103" s="35">
        <v>21</v>
      </c>
      <c r="AO103" s="35">
        <f>H103*1</f>
        <v>0</v>
      </c>
      <c r="AP103" s="35">
        <f>H103*(1-1)</f>
        <v>0</v>
      </c>
      <c r="AQ103" s="38" t="s">
        <v>65</v>
      </c>
      <c r="AV103" s="35">
        <f t="shared" si="100"/>
        <v>0</v>
      </c>
      <c r="AW103" s="35">
        <f t="shared" si="101"/>
        <v>0</v>
      </c>
      <c r="AX103" s="35">
        <f t="shared" si="102"/>
        <v>0</v>
      </c>
      <c r="AY103" s="38" t="s">
        <v>313</v>
      </c>
      <c r="AZ103" s="38" t="s">
        <v>301</v>
      </c>
      <c r="BA103" s="12" t="s">
        <v>225</v>
      </c>
      <c r="BC103" s="35">
        <f t="shared" si="103"/>
        <v>0</v>
      </c>
      <c r="BD103" s="35">
        <f t="shared" si="104"/>
        <v>0</v>
      </c>
      <c r="BE103" s="35">
        <v>0</v>
      </c>
      <c r="BF103" s="35">
        <f t="shared" si="105"/>
        <v>0</v>
      </c>
      <c r="BH103" s="35">
        <f t="shared" si="106"/>
        <v>0</v>
      </c>
      <c r="BI103" s="35">
        <f t="shared" si="107"/>
        <v>0</v>
      </c>
      <c r="BJ103" s="35">
        <f t="shared" si="108"/>
        <v>0</v>
      </c>
      <c r="BK103" s="38" t="s">
        <v>156</v>
      </c>
      <c r="BL103" s="35">
        <v>722</v>
      </c>
      <c r="BW103" s="35">
        <f t="shared" si="109"/>
        <v>21</v>
      </c>
      <c r="BX103" s="4" t="s">
        <v>346</v>
      </c>
    </row>
    <row r="104" spans="1:76" x14ac:dyDescent="0.25">
      <c r="A104" s="2" t="s">
        <v>347</v>
      </c>
      <c r="B104" s="3" t="s">
        <v>215</v>
      </c>
      <c r="C104" s="3" t="s">
        <v>348</v>
      </c>
      <c r="D104" s="70" t="s">
        <v>349</v>
      </c>
      <c r="E104" s="71"/>
      <c r="F104" s="3" t="s">
        <v>85</v>
      </c>
      <c r="G104" s="35">
        <v>14</v>
      </c>
      <c r="H104" s="68">
        <v>0</v>
      </c>
      <c r="I104" s="36">
        <v>21</v>
      </c>
      <c r="J104" s="35">
        <f t="shared" si="84"/>
        <v>0</v>
      </c>
      <c r="K104" s="35">
        <f t="shared" si="85"/>
        <v>0</v>
      </c>
      <c r="L104" s="35">
        <f t="shared" si="86"/>
        <v>0</v>
      </c>
      <c r="M104" s="35">
        <f t="shared" si="87"/>
        <v>0</v>
      </c>
      <c r="N104" s="35">
        <v>0</v>
      </c>
      <c r="O104" s="35">
        <f t="shared" si="88"/>
        <v>0</v>
      </c>
      <c r="P104" s="37" t="s">
        <v>64</v>
      </c>
      <c r="Z104" s="35">
        <f t="shared" si="89"/>
        <v>0</v>
      </c>
      <c r="AB104" s="35">
        <f t="shared" si="90"/>
        <v>0</v>
      </c>
      <c r="AC104" s="35">
        <f t="shared" si="91"/>
        <v>0</v>
      </c>
      <c r="AD104" s="35">
        <f t="shared" si="92"/>
        <v>0</v>
      </c>
      <c r="AE104" s="35">
        <f t="shared" si="93"/>
        <v>0</v>
      </c>
      <c r="AF104" s="35">
        <f t="shared" si="94"/>
        <v>0</v>
      </c>
      <c r="AG104" s="35">
        <f t="shared" si="95"/>
        <v>0</v>
      </c>
      <c r="AH104" s="35">
        <f t="shared" si="96"/>
        <v>0</v>
      </c>
      <c r="AI104" s="12" t="s">
        <v>215</v>
      </c>
      <c r="AJ104" s="35">
        <f t="shared" si="97"/>
        <v>0</v>
      </c>
      <c r="AK104" s="35">
        <f t="shared" si="98"/>
        <v>0</v>
      </c>
      <c r="AL104" s="35">
        <f t="shared" si="99"/>
        <v>0</v>
      </c>
      <c r="AN104" s="35">
        <v>21</v>
      </c>
      <c r="AO104" s="35">
        <f>H104*1</f>
        <v>0</v>
      </c>
      <c r="AP104" s="35">
        <f>H104*(1-1)</f>
        <v>0</v>
      </c>
      <c r="AQ104" s="38" t="s">
        <v>65</v>
      </c>
      <c r="AV104" s="35">
        <f t="shared" si="100"/>
        <v>0</v>
      </c>
      <c r="AW104" s="35">
        <f t="shared" si="101"/>
        <v>0</v>
      </c>
      <c r="AX104" s="35">
        <f t="shared" si="102"/>
        <v>0</v>
      </c>
      <c r="AY104" s="38" t="s">
        <v>313</v>
      </c>
      <c r="AZ104" s="38" t="s">
        <v>301</v>
      </c>
      <c r="BA104" s="12" t="s">
        <v>225</v>
      </c>
      <c r="BC104" s="35">
        <f t="shared" si="103"/>
        <v>0</v>
      </c>
      <c r="BD104" s="35">
        <f t="shared" si="104"/>
        <v>0</v>
      </c>
      <c r="BE104" s="35">
        <v>0</v>
      </c>
      <c r="BF104" s="35">
        <f t="shared" si="105"/>
        <v>0</v>
      </c>
      <c r="BH104" s="35">
        <f t="shared" si="106"/>
        <v>0</v>
      </c>
      <c r="BI104" s="35">
        <f t="shared" si="107"/>
        <v>0</v>
      </c>
      <c r="BJ104" s="35">
        <f t="shared" si="108"/>
        <v>0</v>
      </c>
      <c r="BK104" s="38" t="s">
        <v>156</v>
      </c>
      <c r="BL104" s="35">
        <v>722</v>
      </c>
      <c r="BW104" s="35">
        <f t="shared" si="109"/>
        <v>21</v>
      </c>
      <c r="BX104" s="4" t="s">
        <v>349</v>
      </c>
    </row>
    <row r="105" spans="1:76" x14ac:dyDescent="0.25">
      <c r="A105" s="2" t="s">
        <v>350</v>
      </c>
      <c r="B105" s="3" t="s">
        <v>215</v>
      </c>
      <c r="C105" s="3" t="s">
        <v>351</v>
      </c>
      <c r="D105" s="70" t="s">
        <v>352</v>
      </c>
      <c r="E105" s="71"/>
      <c r="F105" s="3" t="s">
        <v>85</v>
      </c>
      <c r="G105" s="35">
        <v>24</v>
      </c>
      <c r="H105" s="68">
        <v>0</v>
      </c>
      <c r="I105" s="36">
        <v>21</v>
      </c>
      <c r="J105" s="35">
        <f t="shared" si="84"/>
        <v>0</v>
      </c>
      <c r="K105" s="35">
        <f t="shared" si="85"/>
        <v>0</v>
      </c>
      <c r="L105" s="35">
        <f t="shared" si="86"/>
        <v>0</v>
      </c>
      <c r="M105" s="35">
        <f t="shared" si="87"/>
        <v>0</v>
      </c>
      <c r="N105" s="35">
        <v>0</v>
      </c>
      <c r="O105" s="35">
        <f t="shared" si="88"/>
        <v>0</v>
      </c>
      <c r="P105" s="37" t="s">
        <v>64</v>
      </c>
      <c r="Z105" s="35">
        <f t="shared" si="89"/>
        <v>0</v>
      </c>
      <c r="AB105" s="35">
        <f t="shared" si="90"/>
        <v>0</v>
      </c>
      <c r="AC105" s="35">
        <f t="shared" si="91"/>
        <v>0</v>
      </c>
      <c r="AD105" s="35">
        <f t="shared" si="92"/>
        <v>0</v>
      </c>
      <c r="AE105" s="35">
        <f t="shared" si="93"/>
        <v>0</v>
      </c>
      <c r="AF105" s="35">
        <f t="shared" si="94"/>
        <v>0</v>
      </c>
      <c r="AG105" s="35">
        <f t="shared" si="95"/>
        <v>0</v>
      </c>
      <c r="AH105" s="35">
        <f t="shared" si="96"/>
        <v>0</v>
      </c>
      <c r="AI105" s="12" t="s">
        <v>215</v>
      </c>
      <c r="AJ105" s="35">
        <f t="shared" si="97"/>
        <v>0</v>
      </c>
      <c r="AK105" s="35">
        <f t="shared" si="98"/>
        <v>0</v>
      </c>
      <c r="AL105" s="35">
        <f t="shared" si="99"/>
        <v>0</v>
      </c>
      <c r="AN105" s="35">
        <v>21</v>
      </c>
      <c r="AO105" s="35">
        <f>H105*1</f>
        <v>0</v>
      </c>
      <c r="AP105" s="35">
        <f>H105*(1-1)</f>
        <v>0</v>
      </c>
      <c r="AQ105" s="38" t="s">
        <v>65</v>
      </c>
      <c r="AV105" s="35">
        <f t="shared" si="100"/>
        <v>0</v>
      </c>
      <c r="AW105" s="35">
        <f t="shared" si="101"/>
        <v>0</v>
      </c>
      <c r="AX105" s="35">
        <f t="shared" si="102"/>
        <v>0</v>
      </c>
      <c r="AY105" s="38" t="s">
        <v>313</v>
      </c>
      <c r="AZ105" s="38" t="s">
        <v>301</v>
      </c>
      <c r="BA105" s="12" t="s">
        <v>225</v>
      </c>
      <c r="BC105" s="35">
        <f t="shared" si="103"/>
        <v>0</v>
      </c>
      <c r="BD105" s="35">
        <f t="shared" si="104"/>
        <v>0</v>
      </c>
      <c r="BE105" s="35">
        <v>0</v>
      </c>
      <c r="BF105" s="35">
        <f t="shared" si="105"/>
        <v>0</v>
      </c>
      <c r="BH105" s="35">
        <f t="shared" si="106"/>
        <v>0</v>
      </c>
      <c r="BI105" s="35">
        <f t="shared" si="107"/>
        <v>0</v>
      </c>
      <c r="BJ105" s="35">
        <f t="shared" si="108"/>
        <v>0</v>
      </c>
      <c r="BK105" s="38" t="s">
        <v>156</v>
      </c>
      <c r="BL105" s="35">
        <v>722</v>
      </c>
      <c r="BW105" s="35">
        <f t="shared" si="109"/>
        <v>21</v>
      </c>
      <c r="BX105" s="4" t="s">
        <v>352</v>
      </c>
    </row>
    <row r="106" spans="1:76" x14ac:dyDescent="0.25">
      <c r="A106" s="2" t="s">
        <v>353</v>
      </c>
      <c r="B106" s="3" t="s">
        <v>215</v>
      </c>
      <c r="C106" s="3" t="s">
        <v>354</v>
      </c>
      <c r="D106" s="70" t="s">
        <v>355</v>
      </c>
      <c r="E106" s="71"/>
      <c r="F106" s="3" t="s">
        <v>85</v>
      </c>
      <c r="G106" s="35">
        <v>12</v>
      </c>
      <c r="H106" s="68">
        <v>0</v>
      </c>
      <c r="I106" s="36">
        <v>21</v>
      </c>
      <c r="J106" s="35">
        <f t="shared" si="84"/>
        <v>0</v>
      </c>
      <c r="K106" s="35">
        <f t="shared" si="85"/>
        <v>0</v>
      </c>
      <c r="L106" s="35">
        <f t="shared" si="86"/>
        <v>0</v>
      </c>
      <c r="M106" s="35">
        <f t="shared" si="87"/>
        <v>0</v>
      </c>
      <c r="N106" s="35">
        <v>0</v>
      </c>
      <c r="O106" s="35">
        <f t="shared" si="88"/>
        <v>0</v>
      </c>
      <c r="P106" s="37" t="s">
        <v>64</v>
      </c>
      <c r="Z106" s="35">
        <f t="shared" si="89"/>
        <v>0</v>
      </c>
      <c r="AB106" s="35">
        <f t="shared" si="90"/>
        <v>0</v>
      </c>
      <c r="AC106" s="35">
        <f t="shared" si="91"/>
        <v>0</v>
      </c>
      <c r="AD106" s="35">
        <f t="shared" si="92"/>
        <v>0</v>
      </c>
      <c r="AE106" s="35">
        <f t="shared" si="93"/>
        <v>0</v>
      </c>
      <c r="AF106" s="35">
        <f t="shared" si="94"/>
        <v>0</v>
      </c>
      <c r="AG106" s="35">
        <f t="shared" si="95"/>
        <v>0</v>
      </c>
      <c r="AH106" s="35">
        <f t="shared" si="96"/>
        <v>0</v>
      </c>
      <c r="AI106" s="12" t="s">
        <v>215</v>
      </c>
      <c r="AJ106" s="35">
        <f t="shared" si="97"/>
        <v>0</v>
      </c>
      <c r="AK106" s="35">
        <f t="shared" si="98"/>
        <v>0</v>
      </c>
      <c r="AL106" s="35">
        <f t="shared" si="99"/>
        <v>0</v>
      </c>
      <c r="AN106" s="35">
        <v>21</v>
      </c>
      <c r="AO106" s="35">
        <f>H106*1</f>
        <v>0</v>
      </c>
      <c r="AP106" s="35">
        <f>H106*(1-1)</f>
        <v>0</v>
      </c>
      <c r="AQ106" s="38" t="s">
        <v>65</v>
      </c>
      <c r="AV106" s="35">
        <f t="shared" si="100"/>
        <v>0</v>
      </c>
      <c r="AW106" s="35">
        <f t="shared" si="101"/>
        <v>0</v>
      </c>
      <c r="AX106" s="35">
        <f t="shared" si="102"/>
        <v>0</v>
      </c>
      <c r="AY106" s="38" t="s">
        <v>313</v>
      </c>
      <c r="AZ106" s="38" t="s">
        <v>301</v>
      </c>
      <c r="BA106" s="12" t="s">
        <v>225</v>
      </c>
      <c r="BC106" s="35">
        <f t="shared" si="103"/>
        <v>0</v>
      </c>
      <c r="BD106" s="35">
        <f t="shared" si="104"/>
        <v>0</v>
      </c>
      <c r="BE106" s="35">
        <v>0</v>
      </c>
      <c r="BF106" s="35">
        <f t="shared" si="105"/>
        <v>0</v>
      </c>
      <c r="BH106" s="35">
        <f t="shared" si="106"/>
        <v>0</v>
      </c>
      <c r="BI106" s="35">
        <f t="shared" si="107"/>
        <v>0</v>
      </c>
      <c r="BJ106" s="35">
        <f t="shared" si="108"/>
        <v>0</v>
      </c>
      <c r="BK106" s="38" t="s">
        <v>156</v>
      </c>
      <c r="BL106" s="35">
        <v>722</v>
      </c>
      <c r="BW106" s="35">
        <f t="shared" si="109"/>
        <v>21</v>
      </c>
      <c r="BX106" s="4" t="s">
        <v>355</v>
      </c>
    </row>
    <row r="107" spans="1:76" x14ac:dyDescent="0.25">
      <c r="A107" s="2" t="s">
        <v>356</v>
      </c>
      <c r="B107" s="3" t="s">
        <v>215</v>
      </c>
      <c r="C107" s="3" t="s">
        <v>293</v>
      </c>
      <c r="D107" s="70" t="s">
        <v>357</v>
      </c>
      <c r="E107" s="71"/>
      <c r="F107" s="3" t="s">
        <v>155</v>
      </c>
      <c r="G107" s="35">
        <v>1</v>
      </c>
      <c r="H107" s="68">
        <v>0</v>
      </c>
      <c r="I107" s="36">
        <v>21</v>
      </c>
      <c r="J107" s="35">
        <f t="shared" si="84"/>
        <v>0</v>
      </c>
      <c r="K107" s="35">
        <f t="shared" si="85"/>
        <v>0</v>
      </c>
      <c r="L107" s="35">
        <f t="shared" si="86"/>
        <v>0</v>
      </c>
      <c r="M107" s="35">
        <f t="shared" si="87"/>
        <v>0</v>
      </c>
      <c r="N107" s="35">
        <v>0</v>
      </c>
      <c r="O107" s="35">
        <f t="shared" si="88"/>
        <v>0</v>
      </c>
      <c r="P107" s="37" t="s">
        <v>64</v>
      </c>
      <c r="Z107" s="35">
        <f t="shared" si="89"/>
        <v>0</v>
      </c>
      <c r="AB107" s="35">
        <f t="shared" si="90"/>
        <v>0</v>
      </c>
      <c r="AC107" s="35">
        <f t="shared" si="91"/>
        <v>0</v>
      </c>
      <c r="AD107" s="35">
        <f t="shared" si="92"/>
        <v>0</v>
      </c>
      <c r="AE107" s="35">
        <f t="shared" si="93"/>
        <v>0</v>
      </c>
      <c r="AF107" s="35">
        <f t="shared" si="94"/>
        <v>0</v>
      </c>
      <c r="AG107" s="35">
        <f t="shared" si="95"/>
        <v>0</v>
      </c>
      <c r="AH107" s="35">
        <f t="shared" si="96"/>
        <v>0</v>
      </c>
      <c r="AI107" s="12" t="s">
        <v>215</v>
      </c>
      <c r="AJ107" s="35">
        <f t="shared" si="97"/>
        <v>0</v>
      </c>
      <c r="AK107" s="35">
        <f t="shared" si="98"/>
        <v>0</v>
      </c>
      <c r="AL107" s="35">
        <f t="shared" si="99"/>
        <v>0</v>
      </c>
      <c r="AN107" s="35">
        <v>21</v>
      </c>
      <c r="AO107" s="35">
        <f>H107*1</f>
        <v>0</v>
      </c>
      <c r="AP107" s="35">
        <f>H107*(1-1)</f>
        <v>0</v>
      </c>
      <c r="AQ107" s="38" t="s">
        <v>65</v>
      </c>
      <c r="AV107" s="35">
        <f t="shared" si="100"/>
        <v>0</v>
      </c>
      <c r="AW107" s="35">
        <f t="shared" si="101"/>
        <v>0</v>
      </c>
      <c r="AX107" s="35">
        <f t="shared" si="102"/>
        <v>0</v>
      </c>
      <c r="AY107" s="38" t="s">
        <v>313</v>
      </c>
      <c r="AZ107" s="38" t="s">
        <v>301</v>
      </c>
      <c r="BA107" s="12" t="s">
        <v>225</v>
      </c>
      <c r="BC107" s="35">
        <f t="shared" si="103"/>
        <v>0</v>
      </c>
      <c r="BD107" s="35">
        <f t="shared" si="104"/>
        <v>0</v>
      </c>
      <c r="BE107" s="35">
        <v>0</v>
      </c>
      <c r="BF107" s="35">
        <f t="shared" si="105"/>
        <v>0</v>
      </c>
      <c r="BH107" s="35">
        <f t="shared" si="106"/>
        <v>0</v>
      </c>
      <c r="BI107" s="35">
        <f t="shared" si="107"/>
        <v>0</v>
      </c>
      <c r="BJ107" s="35">
        <f t="shared" si="108"/>
        <v>0</v>
      </c>
      <c r="BK107" s="38" t="s">
        <v>156</v>
      </c>
      <c r="BL107" s="35">
        <v>722</v>
      </c>
      <c r="BW107" s="35">
        <f t="shared" si="109"/>
        <v>21</v>
      </c>
      <c r="BX107" s="4" t="s">
        <v>357</v>
      </c>
    </row>
    <row r="108" spans="1:76" x14ac:dyDescent="0.25">
      <c r="A108" s="31" t="s">
        <v>55</v>
      </c>
      <c r="B108" s="32" t="s">
        <v>215</v>
      </c>
      <c r="C108" s="32" t="s">
        <v>358</v>
      </c>
      <c r="D108" s="128" t="s">
        <v>359</v>
      </c>
      <c r="E108" s="129"/>
      <c r="F108" s="33" t="s">
        <v>4</v>
      </c>
      <c r="G108" s="33" t="s">
        <v>4</v>
      </c>
      <c r="H108" s="33" t="s">
        <v>4</v>
      </c>
      <c r="I108" s="33" t="s">
        <v>4</v>
      </c>
      <c r="J108" s="1">
        <f>SUM(J109:J121)</f>
        <v>0</v>
      </c>
      <c r="K108" s="1">
        <f>SUM(K109:K121)</f>
        <v>0</v>
      </c>
      <c r="L108" s="1">
        <f>SUM(L109:L121)</f>
        <v>0</v>
      </c>
      <c r="M108" s="1">
        <f>SUM(M109:M121)</f>
        <v>0</v>
      </c>
      <c r="N108" s="12" t="s">
        <v>55</v>
      </c>
      <c r="O108" s="1">
        <f>SUM(O109:O121)</f>
        <v>7.1909099999999988</v>
      </c>
      <c r="P108" s="34" t="s">
        <v>55</v>
      </c>
      <c r="AI108" s="12" t="s">
        <v>215</v>
      </c>
      <c r="AS108" s="1">
        <f>SUM(AJ109:AJ121)</f>
        <v>0</v>
      </c>
      <c r="AT108" s="1">
        <f>SUM(AK109:AK121)</f>
        <v>0</v>
      </c>
      <c r="AU108" s="1">
        <f>SUM(AL109:AL121)</f>
        <v>0</v>
      </c>
    </row>
    <row r="109" spans="1:76" x14ac:dyDescent="0.25">
      <c r="A109" s="2" t="s">
        <v>360</v>
      </c>
      <c r="B109" s="3" t="s">
        <v>215</v>
      </c>
      <c r="C109" s="3" t="s">
        <v>361</v>
      </c>
      <c r="D109" s="70" t="s">
        <v>362</v>
      </c>
      <c r="E109" s="71"/>
      <c r="F109" s="3" t="s">
        <v>85</v>
      </c>
      <c r="G109" s="35">
        <v>3</v>
      </c>
      <c r="H109" s="68">
        <v>0</v>
      </c>
      <c r="I109" s="36">
        <v>21</v>
      </c>
      <c r="J109" s="35">
        <f t="shared" ref="J109:J121" si="110">ROUND(G109*AO109,2)</f>
        <v>0</v>
      </c>
      <c r="K109" s="35">
        <f t="shared" ref="K109:K121" si="111">ROUND(G109*AP109,2)</f>
        <v>0</v>
      </c>
      <c r="L109" s="35">
        <f t="shared" ref="L109:L121" si="112">ROUND(G109*H109,2)</f>
        <v>0</v>
      </c>
      <c r="M109" s="35">
        <f t="shared" ref="M109:M121" si="113">L109*(1+BW109/100)</f>
        <v>0</v>
      </c>
      <c r="N109" s="35">
        <v>7.5259999999999994E-2</v>
      </c>
      <c r="O109" s="35">
        <f t="shared" ref="O109:O121" si="114">G109*N109</f>
        <v>0.22577999999999998</v>
      </c>
      <c r="P109" s="37" t="s">
        <v>64</v>
      </c>
      <c r="Z109" s="35">
        <f t="shared" ref="Z109:Z121" si="115">ROUND(IF(AQ109="5",BJ109,0),2)</f>
        <v>0</v>
      </c>
      <c r="AB109" s="35">
        <f t="shared" ref="AB109:AB121" si="116">ROUND(IF(AQ109="1",BH109,0),2)</f>
        <v>0</v>
      </c>
      <c r="AC109" s="35">
        <f t="shared" ref="AC109:AC121" si="117">ROUND(IF(AQ109="1",BI109,0),2)</f>
        <v>0</v>
      </c>
      <c r="AD109" s="35">
        <f t="shared" ref="AD109:AD121" si="118">ROUND(IF(AQ109="7",BH109,0),2)</f>
        <v>0</v>
      </c>
      <c r="AE109" s="35">
        <f t="shared" ref="AE109:AE121" si="119">ROUND(IF(AQ109="7",BI109,0),2)</f>
        <v>0</v>
      </c>
      <c r="AF109" s="35">
        <f t="shared" ref="AF109:AF121" si="120">ROUND(IF(AQ109="2",BH109,0),2)</f>
        <v>0</v>
      </c>
      <c r="AG109" s="35">
        <f t="shared" ref="AG109:AG121" si="121">ROUND(IF(AQ109="2",BI109,0),2)</f>
        <v>0</v>
      </c>
      <c r="AH109" s="35">
        <f t="shared" ref="AH109:AH121" si="122">ROUND(IF(AQ109="0",BJ109,0),2)</f>
        <v>0</v>
      </c>
      <c r="AI109" s="12" t="s">
        <v>215</v>
      </c>
      <c r="AJ109" s="35">
        <f t="shared" ref="AJ109:AJ121" si="123">IF(AN109=0,L109,0)</f>
        <v>0</v>
      </c>
      <c r="AK109" s="35">
        <f t="shared" ref="AK109:AK121" si="124">IF(AN109=15,L109,0)</f>
        <v>0</v>
      </c>
      <c r="AL109" s="35">
        <f t="shared" ref="AL109:AL121" si="125">IF(AN109=21,L109,0)</f>
        <v>0</v>
      </c>
      <c r="AN109" s="35">
        <v>21</v>
      </c>
      <c r="AO109" s="35">
        <f>H109*0.059037386</f>
        <v>0</v>
      </c>
      <c r="AP109" s="35">
        <f>H109*(1-0.059037386)</f>
        <v>0</v>
      </c>
      <c r="AQ109" s="38" t="s">
        <v>65</v>
      </c>
      <c r="AV109" s="35">
        <f t="shared" ref="AV109:AV121" si="126">ROUND(AW109+AX109,2)</f>
        <v>0</v>
      </c>
      <c r="AW109" s="35">
        <f t="shared" ref="AW109:AW121" si="127">ROUND(G109*AO109,2)</f>
        <v>0</v>
      </c>
      <c r="AX109" s="35">
        <f t="shared" ref="AX109:AX121" si="128">ROUND(G109*AP109,2)</f>
        <v>0</v>
      </c>
      <c r="AY109" s="38" t="s">
        <v>363</v>
      </c>
      <c r="AZ109" s="38" t="s">
        <v>364</v>
      </c>
      <c r="BA109" s="12" t="s">
        <v>225</v>
      </c>
      <c r="BC109" s="35">
        <f t="shared" ref="BC109:BC121" si="129">AW109+AX109</f>
        <v>0</v>
      </c>
      <c r="BD109" s="35">
        <f t="shared" ref="BD109:BD121" si="130">H109/(100-BE109)*100</f>
        <v>0</v>
      </c>
      <c r="BE109" s="35">
        <v>0</v>
      </c>
      <c r="BF109" s="35">
        <f t="shared" ref="BF109:BF121" si="131">O109</f>
        <v>0.22577999999999998</v>
      </c>
      <c r="BH109" s="35">
        <f t="shared" ref="BH109:BH121" si="132">G109*AO109</f>
        <v>0</v>
      </c>
      <c r="BI109" s="35">
        <f t="shared" ref="BI109:BI121" si="133">G109*AP109</f>
        <v>0</v>
      </c>
      <c r="BJ109" s="35">
        <f t="shared" ref="BJ109:BJ121" si="134">G109*H109</f>
        <v>0</v>
      </c>
      <c r="BK109" s="38" t="s">
        <v>69</v>
      </c>
      <c r="BL109" s="35">
        <v>731</v>
      </c>
      <c r="BW109" s="35">
        <f t="shared" ref="BW109:BW121" si="135">I109</f>
        <v>21</v>
      </c>
      <c r="BX109" s="4" t="s">
        <v>362</v>
      </c>
    </row>
    <row r="110" spans="1:76" x14ac:dyDescent="0.25">
      <c r="A110" s="2" t="s">
        <v>365</v>
      </c>
      <c r="B110" s="3" t="s">
        <v>215</v>
      </c>
      <c r="C110" s="3" t="s">
        <v>366</v>
      </c>
      <c r="D110" s="70" t="s">
        <v>367</v>
      </c>
      <c r="E110" s="71"/>
      <c r="F110" s="3" t="s">
        <v>85</v>
      </c>
      <c r="G110" s="35">
        <v>1</v>
      </c>
      <c r="H110" s="68">
        <v>0</v>
      </c>
      <c r="I110" s="36">
        <v>21</v>
      </c>
      <c r="J110" s="35">
        <f t="shared" si="110"/>
        <v>0</v>
      </c>
      <c r="K110" s="35">
        <f t="shared" si="111"/>
        <v>0</v>
      </c>
      <c r="L110" s="35">
        <f t="shared" si="112"/>
        <v>0</v>
      </c>
      <c r="M110" s="35">
        <f t="shared" si="113"/>
        <v>0</v>
      </c>
      <c r="N110" s="35">
        <v>2.1742300000000001</v>
      </c>
      <c r="O110" s="35">
        <f t="shared" si="114"/>
        <v>2.1742300000000001</v>
      </c>
      <c r="P110" s="37" t="s">
        <v>64</v>
      </c>
      <c r="Z110" s="35">
        <f t="shared" si="115"/>
        <v>0</v>
      </c>
      <c r="AB110" s="35">
        <f t="shared" si="116"/>
        <v>0</v>
      </c>
      <c r="AC110" s="35">
        <f t="shared" si="117"/>
        <v>0</v>
      </c>
      <c r="AD110" s="35">
        <f t="shared" si="118"/>
        <v>0</v>
      </c>
      <c r="AE110" s="35">
        <f t="shared" si="119"/>
        <v>0</v>
      </c>
      <c r="AF110" s="35">
        <f t="shared" si="120"/>
        <v>0</v>
      </c>
      <c r="AG110" s="35">
        <f t="shared" si="121"/>
        <v>0</v>
      </c>
      <c r="AH110" s="35">
        <f t="shared" si="122"/>
        <v>0</v>
      </c>
      <c r="AI110" s="12" t="s">
        <v>215</v>
      </c>
      <c r="AJ110" s="35">
        <f t="shared" si="123"/>
        <v>0</v>
      </c>
      <c r="AK110" s="35">
        <f t="shared" si="124"/>
        <v>0</v>
      </c>
      <c r="AL110" s="35">
        <f t="shared" si="125"/>
        <v>0</v>
      </c>
      <c r="AN110" s="35">
        <v>21</v>
      </c>
      <c r="AO110" s="35">
        <f>H110*0.111190444</f>
        <v>0</v>
      </c>
      <c r="AP110" s="35">
        <f>H110*(1-0.111190444)</f>
        <v>0</v>
      </c>
      <c r="AQ110" s="38" t="s">
        <v>65</v>
      </c>
      <c r="AV110" s="35">
        <f t="shared" si="126"/>
        <v>0</v>
      </c>
      <c r="AW110" s="35">
        <f t="shared" si="127"/>
        <v>0</v>
      </c>
      <c r="AX110" s="35">
        <f t="shared" si="128"/>
        <v>0</v>
      </c>
      <c r="AY110" s="38" t="s">
        <v>363</v>
      </c>
      <c r="AZ110" s="38" t="s">
        <v>364</v>
      </c>
      <c r="BA110" s="12" t="s">
        <v>225</v>
      </c>
      <c r="BC110" s="35">
        <f t="shared" si="129"/>
        <v>0</v>
      </c>
      <c r="BD110" s="35">
        <f t="shared" si="130"/>
        <v>0</v>
      </c>
      <c r="BE110" s="35">
        <v>0</v>
      </c>
      <c r="BF110" s="35">
        <f t="shared" si="131"/>
        <v>2.1742300000000001</v>
      </c>
      <c r="BH110" s="35">
        <f t="shared" si="132"/>
        <v>0</v>
      </c>
      <c r="BI110" s="35">
        <f t="shared" si="133"/>
        <v>0</v>
      </c>
      <c r="BJ110" s="35">
        <f t="shared" si="134"/>
        <v>0</v>
      </c>
      <c r="BK110" s="38" t="s">
        <v>69</v>
      </c>
      <c r="BL110" s="35">
        <v>731</v>
      </c>
      <c r="BW110" s="35">
        <f t="shared" si="135"/>
        <v>21</v>
      </c>
      <c r="BX110" s="4" t="s">
        <v>367</v>
      </c>
    </row>
    <row r="111" spans="1:76" x14ac:dyDescent="0.25">
      <c r="A111" s="2" t="s">
        <v>368</v>
      </c>
      <c r="B111" s="3" t="s">
        <v>215</v>
      </c>
      <c r="C111" s="3" t="s">
        <v>369</v>
      </c>
      <c r="D111" s="70" t="s">
        <v>370</v>
      </c>
      <c r="E111" s="71"/>
      <c r="F111" s="3" t="s">
        <v>85</v>
      </c>
      <c r="G111" s="35">
        <v>2</v>
      </c>
      <c r="H111" s="68">
        <v>0</v>
      </c>
      <c r="I111" s="36">
        <v>21</v>
      </c>
      <c r="J111" s="35">
        <f t="shared" si="110"/>
        <v>0</v>
      </c>
      <c r="K111" s="35">
        <f t="shared" si="111"/>
        <v>0</v>
      </c>
      <c r="L111" s="35">
        <f t="shared" si="112"/>
        <v>0</v>
      </c>
      <c r="M111" s="35">
        <f t="shared" si="113"/>
        <v>0</v>
      </c>
      <c r="N111" s="35">
        <v>2.3742299999999998</v>
      </c>
      <c r="O111" s="35">
        <f t="shared" si="114"/>
        <v>4.7484599999999997</v>
      </c>
      <c r="P111" s="37" t="s">
        <v>64</v>
      </c>
      <c r="Z111" s="35">
        <f t="shared" si="115"/>
        <v>0</v>
      </c>
      <c r="AB111" s="35">
        <f t="shared" si="116"/>
        <v>0</v>
      </c>
      <c r="AC111" s="35">
        <f t="shared" si="117"/>
        <v>0</v>
      </c>
      <c r="AD111" s="35">
        <f t="shared" si="118"/>
        <v>0</v>
      </c>
      <c r="AE111" s="35">
        <f t="shared" si="119"/>
        <v>0</v>
      </c>
      <c r="AF111" s="35">
        <f t="shared" si="120"/>
        <v>0</v>
      </c>
      <c r="AG111" s="35">
        <f t="shared" si="121"/>
        <v>0</v>
      </c>
      <c r="AH111" s="35">
        <f t="shared" si="122"/>
        <v>0</v>
      </c>
      <c r="AI111" s="12" t="s">
        <v>215</v>
      </c>
      <c r="AJ111" s="35">
        <f t="shared" si="123"/>
        <v>0</v>
      </c>
      <c r="AK111" s="35">
        <f t="shared" si="124"/>
        <v>0</v>
      </c>
      <c r="AL111" s="35">
        <f t="shared" si="125"/>
        <v>0</v>
      </c>
      <c r="AN111" s="35">
        <v>21</v>
      </c>
      <c r="AO111" s="35">
        <f>H111*0.053025368</f>
        <v>0</v>
      </c>
      <c r="AP111" s="35">
        <f>H111*(1-0.053025368)</f>
        <v>0</v>
      </c>
      <c r="AQ111" s="38" t="s">
        <v>65</v>
      </c>
      <c r="AV111" s="35">
        <f t="shared" si="126"/>
        <v>0</v>
      </c>
      <c r="AW111" s="35">
        <f t="shared" si="127"/>
        <v>0</v>
      </c>
      <c r="AX111" s="35">
        <f t="shared" si="128"/>
        <v>0</v>
      </c>
      <c r="AY111" s="38" t="s">
        <v>363</v>
      </c>
      <c r="AZ111" s="38" t="s">
        <v>364</v>
      </c>
      <c r="BA111" s="12" t="s">
        <v>225</v>
      </c>
      <c r="BC111" s="35">
        <f t="shared" si="129"/>
        <v>0</v>
      </c>
      <c r="BD111" s="35">
        <f t="shared" si="130"/>
        <v>0</v>
      </c>
      <c r="BE111" s="35">
        <v>0</v>
      </c>
      <c r="BF111" s="35">
        <f t="shared" si="131"/>
        <v>4.7484599999999997</v>
      </c>
      <c r="BH111" s="35">
        <f t="shared" si="132"/>
        <v>0</v>
      </c>
      <c r="BI111" s="35">
        <f t="shared" si="133"/>
        <v>0</v>
      </c>
      <c r="BJ111" s="35">
        <f t="shared" si="134"/>
        <v>0</v>
      </c>
      <c r="BK111" s="38" t="s">
        <v>69</v>
      </c>
      <c r="BL111" s="35">
        <v>731</v>
      </c>
      <c r="BW111" s="35">
        <f t="shared" si="135"/>
        <v>21</v>
      </c>
      <c r="BX111" s="4" t="s">
        <v>370</v>
      </c>
    </row>
    <row r="112" spans="1:76" x14ac:dyDescent="0.25">
      <c r="A112" s="2" t="s">
        <v>371</v>
      </c>
      <c r="B112" s="3" t="s">
        <v>215</v>
      </c>
      <c r="C112" s="3" t="s">
        <v>372</v>
      </c>
      <c r="D112" s="70" t="s">
        <v>373</v>
      </c>
      <c r="E112" s="71"/>
      <c r="F112" s="3" t="s">
        <v>85</v>
      </c>
      <c r="G112" s="35">
        <v>1</v>
      </c>
      <c r="H112" s="68">
        <v>0</v>
      </c>
      <c r="I112" s="36">
        <v>21</v>
      </c>
      <c r="J112" s="35">
        <f t="shared" si="110"/>
        <v>0</v>
      </c>
      <c r="K112" s="35">
        <f t="shared" si="111"/>
        <v>0</v>
      </c>
      <c r="L112" s="35">
        <f t="shared" si="112"/>
        <v>0</v>
      </c>
      <c r="M112" s="35">
        <f t="shared" si="113"/>
        <v>0</v>
      </c>
      <c r="N112" s="35">
        <v>9.1599999999999997E-3</v>
      </c>
      <c r="O112" s="35">
        <f t="shared" si="114"/>
        <v>9.1599999999999997E-3</v>
      </c>
      <c r="P112" s="37" t="s">
        <v>64</v>
      </c>
      <c r="Z112" s="35">
        <f t="shared" si="115"/>
        <v>0</v>
      </c>
      <c r="AB112" s="35">
        <f t="shared" si="116"/>
        <v>0</v>
      </c>
      <c r="AC112" s="35">
        <f t="shared" si="117"/>
        <v>0</v>
      </c>
      <c r="AD112" s="35">
        <f t="shared" si="118"/>
        <v>0</v>
      </c>
      <c r="AE112" s="35">
        <f t="shared" si="119"/>
        <v>0</v>
      </c>
      <c r="AF112" s="35">
        <f t="shared" si="120"/>
        <v>0</v>
      </c>
      <c r="AG112" s="35">
        <f t="shared" si="121"/>
        <v>0</v>
      </c>
      <c r="AH112" s="35">
        <f t="shared" si="122"/>
        <v>0</v>
      </c>
      <c r="AI112" s="12" t="s">
        <v>215</v>
      </c>
      <c r="AJ112" s="35">
        <f t="shared" si="123"/>
        <v>0</v>
      </c>
      <c r="AK112" s="35">
        <f t="shared" si="124"/>
        <v>0</v>
      </c>
      <c r="AL112" s="35">
        <f t="shared" si="125"/>
        <v>0</v>
      </c>
      <c r="AN112" s="35">
        <v>21</v>
      </c>
      <c r="AO112" s="35">
        <f>H112*0.260763975</f>
        <v>0</v>
      </c>
      <c r="AP112" s="35">
        <f>H112*(1-0.260763975)</f>
        <v>0</v>
      </c>
      <c r="AQ112" s="38" t="s">
        <v>65</v>
      </c>
      <c r="AV112" s="35">
        <f t="shared" si="126"/>
        <v>0</v>
      </c>
      <c r="AW112" s="35">
        <f t="shared" si="127"/>
        <v>0</v>
      </c>
      <c r="AX112" s="35">
        <f t="shared" si="128"/>
        <v>0</v>
      </c>
      <c r="AY112" s="38" t="s">
        <v>363</v>
      </c>
      <c r="AZ112" s="38" t="s">
        <v>364</v>
      </c>
      <c r="BA112" s="12" t="s">
        <v>225</v>
      </c>
      <c r="BC112" s="35">
        <f t="shared" si="129"/>
        <v>0</v>
      </c>
      <c r="BD112" s="35">
        <f t="shared" si="130"/>
        <v>0</v>
      </c>
      <c r="BE112" s="35">
        <v>0</v>
      </c>
      <c r="BF112" s="35">
        <f t="shared" si="131"/>
        <v>9.1599999999999997E-3</v>
      </c>
      <c r="BH112" s="35">
        <f t="shared" si="132"/>
        <v>0</v>
      </c>
      <c r="BI112" s="35">
        <f t="shared" si="133"/>
        <v>0</v>
      </c>
      <c r="BJ112" s="35">
        <f t="shared" si="134"/>
        <v>0</v>
      </c>
      <c r="BK112" s="38" t="s">
        <v>69</v>
      </c>
      <c r="BL112" s="35">
        <v>731</v>
      </c>
      <c r="BW112" s="35">
        <f t="shared" si="135"/>
        <v>21</v>
      </c>
      <c r="BX112" s="4" t="s">
        <v>373</v>
      </c>
    </row>
    <row r="113" spans="1:76" x14ac:dyDescent="0.25">
      <c r="A113" s="2" t="s">
        <v>174</v>
      </c>
      <c r="B113" s="3" t="s">
        <v>215</v>
      </c>
      <c r="C113" s="3" t="s">
        <v>374</v>
      </c>
      <c r="D113" s="70" t="s">
        <v>375</v>
      </c>
      <c r="E113" s="71"/>
      <c r="F113" s="3" t="s">
        <v>85</v>
      </c>
      <c r="G113" s="35">
        <v>2</v>
      </c>
      <c r="H113" s="68">
        <v>0</v>
      </c>
      <c r="I113" s="36">
        <v>21</v>
      </c>
      <c r="J113" s="35">
        <f t="shared" si="110"/>
        <v>0</v>
      </c>
      <c r="K113" s="35">
        <f t="shared" si="111"/>
        <v>0</v>
      </c>
      <c r="L113" s="35">
        <f t="shared" si="112"/>
        <v>0</v>
      </c>
      <c r="M113" s="35">
        <f t="shared" si="113"/>
        <v>0</v>
      </c>
      <c r="N113" s="35">
        <v>1.524E-2</v>
      </c>
      <c r="O113" s="35">
        <f t="shared" si="114"/>
        <v>3.048E-2</v>
      </c>
      <c r="P113" s="37" t="s">
        <v>64</v>
      </c>
      <c r="Z113" s="35">
        <f t="shared" si="115"/>
        <v>0</v>
      </c>
      <c r="AB113" s="35">
        <f t="shared" si="116"/>
        <v>0</v>
      </c>
      <c r="AC113" s="35">
        <f t="shared" si="117"/>
        <v>0</v>
      </c>
      <c r="AD113" s="35">
        <f t="shared" si="118"/>
        <v>0</v>
      </c>
      <c r="AE113" s="35">
        <f t="shared" si="119"/>
        <v>0</v>
      </c>
      <c r="AF113" s="35">
        <f t="shared" si="120"/>
        <v>0</v>
      </c>
      <c r="AG113" s="35">
        <f t="shared" si="121"/>
        <v>0</v>
      </c>
      <c r="AH113" s="35">
        <f t="shared" si="122"/>
        <v>0</v>
      </c>
      <c r="AI113" s="12" t="s">
        <v>215</v>
      </c>
      <c r="AJ113" s="35">
        <f t="shared" si="123"/>
        <v>0</v>
      </c>
      <c r="AK113" s="35">
        <f t="shared" si="124"/>
        <v>0</v>
      </c>
      <c r="AL113" s="35">
        <f t="shared" si="125"/>
        <v>0</v>
      </c>
      <c r="AN113" s="35">
        <v>21</v>
      </c>
      <c r="AO113" s="35">
        <f>H113*0.220041908</f>
        <v>0</v>
      </c>
      <c r="AP113" s="35">
        <f>H113*(1-0.220041908)</f>
        <v>0</v>
      </c>
      <c r="AQ113" s="38" t="s">
        <v>65</v>
      </c>
      <c r="AV113" s="35">
        <f t="shared" si="126"/>
        <v>0</v>
      </c>
      <c r="AW113" s="35">
        <f t="shared" si="127"/>
        <v>0</v>
      </c>
      <c r="AX113" s="35">
        <f t="shared" si="128"/>
        <v>0</v>
      </c>
      <c r="AY113" s="38" t="s">
        <v>363</v>
      </c>
      <c r="AZ113" s="38" t="s">
        <v>364</v>
      </c>
      <c r="BA113" s="12" t="s">
        <v>225</v>
      </c>
      <c r="BC113" s="35">
        <f t="shared" si="129"/>
        <v>0</v>
      </c>
      <c r="BD113" s="35">
        <f t="shared" si="130"/>
        <v>0</v>
      </c>
      <c r="BE113" s="35">
        <v>0</v>
      </c>
      <c r="BF113" s="35">
        <f t="shared" si="131"/>
        <v>3.048E-2</v>
      </c>
      <c r="BH113" s="35">
        <f t="shared" si="132"/>
        <v>0</v>
      </c>
      <c r="BI113" s="35">
        <f t="shared" si="133"/>
        <v>0</v>
      </c>
      <c r="BJ113" s="35">
        <f t="shared" si="134"/>
        <v>0</v>
      </c>
      <c r="BK113" s="38" t="s">
        <v>69</v>
      </c>
      <c r="BL113" s="35">
        <v>731</v>
      </c>
      <c r="BW113" s="35">
        <f t="shared" si="135"/>
        <v>21</v>
      </c>
      <c r="BX113" s="4" t="s">
        <v>375</v>
      </c>
    </row>
    <row r="114" spans="1:76" x14ac:dyDescent="0.25">
      <c r="A114" s="2" t="s">
        <v>376</v>
      </c>
      <c r="B114" s="3" t="s">
        <v>215</v>
      </c>
      <c r="C114" s="3" t="s">
        <v>377</v>
      </c>
      <c r="D114" s="70" t="s">
        <v>378</v>
      </c>
      <c r="E114" s="71"/>
      <c r="F114" s="3" t="s">
        <v>85</v>
      </c>
      <c r="G114" s="35">
        <v>3</v>
      </c>
      <c r="H114" s="68">
        <v>0</v>
      </c>
      <c r="I114" s="36">
        <v>21</v>
      </c>
      <c r="J114" s="35">
        <f t="shared" si="110"/>
        <v>0</v>
      </c>
      <c r="K114" s="35">
        <f t="shared" si="111"/>
        <v>0</v>
      </c>
      <c r="L114" s="35">
        <f t="shared" si="112"/>
        <v>0</v>
      </c>
      <c r="M114" s="35">
        <f t="shared" si="113"/>
        <v>0</v>
      </c>
      <c r="N114" s="35">
        <v>0</v>
      </c>
      <c r="O114" s="35">
        <f t="shared" si="114"/>
        <v>0</v>
      </c>
      <c r="P114" s="37" t="s">
        <v>64</v>
      </c>
      <c r="Z114" s="35">
        <f t="shared" si="115"/>
        <v>0</v>
      </c>
      <c r="AB114" s="35">
        <f t="shared" si="116"/>
        <v>0</v>
      </c>
      <c r="AC114" s="35">
        <f t="shared" si="117"/>
        <v>0</v>
      </c>
      <c r="AD114" s="35">
        <f t="shared" si="118"/>
        <v>0</v>
      </c>
      <c r="AE114" s="35">
        <f t="shared" si="119"/>
        <v>0</v>
      </c>
      <c r="AF114" s="35">
        <f t="shared" si="120"/>
        <v>0</v>
      </c>
      <c r="AG114" s="35">
        <f t="shared" si="121"/>
        <v>0</v>
      </c>
      <c r="AH114" s="35">
        <f t="shared" si="122"/>
        <v>0</v>
      </c>
      <c r="AI114" s="12" t="s">
        <v>215</v>
      </c>
      <c r="AJ114" s="35">
        <f t="shared" si="123"/>
        <v>0</v>
      </c>
      <c r="AK114" s="35">
        <f t="shared" si="124"/>
        <v>0</v>
      </c>
      <c r="AL114" s="35">
        <f t="shared" si="125"/>
        <v>0</v>
      </c>
      <c r="AN114" s="35">
        <v>21</v>
      </c>
      <c r="AO114" s="35">
        <f>H114*0</f>
        <v>0</v>
      </c>
      <c r="AP114" s="35">
        <f>H114*(1-0)</f>
        <v>0</v>
      </c>
      <c r="AQ114" s="38" t="s">
        <v>65</v>
      </c>
      <c r="AV114" s="35">
        <f t="shared" si="126"/>
        <v>0</v>
      </c>
      <c r="AW114" s="35">
        <f t="shared" si="127"/>
        <v>0</v>
      </c>
      <c r="AX114" s="35">
        <f t="shared" si="128"/>
        <v>0</v>
      </c>
      <c r="AY114" s="38" t="s">
        <v>363</v>
      </c>
      <c r="AZ114" s="38" t="s">
        <v>364</v>
      </c>
      <c r="BA114" s="12" t="s">
        <v>225</v>
      </c>
      <c r="BC114" s="35">
        <f t="shared" si="129"/>
        <v>0</v>
      </c>
      <c r="BD114" s="35">
        <f t="shared" si="130"/>
        <v>0</v>
      </c>
      <c r="BE114" s="35">
        <v>0</v>
      </c>
      <c r="BF114" s="35">
        <f t="shared" si="131"/>
        <v>0</v>
      </c>
      <c r="BH114" s="35">
        <f t="shared" si="132"/>
        <v>0</v>
      </c>
      <c r="BI114" s="35">
        <f t="shared" si="133"/>
        <v>0</v>
      </c>
      <c r="BJ114" s="35">
        <f t="shared" si="134"/>
        <v>0</v>
      </c>
      <c r="BK114" s="38" t="s">
        <v>69</v>
      </c>
      <c r="BL114" s="35">
        <v>731</v>
      </c>
      <c r="BW114" s="35">
        <f t="shared" si="135"/>
        <v>21</v>
      </c>
      <c r="BX114" s="4" t="s">
        <v>378</v>
      </c>
    </row>
    <row r="115" spans="1:76" x14ac:dyDescent="0.25">
      <c r="A115" s="2" t="s">
        <v>379</v>
      </c>
      <c r="B115" s="3" t="s">
        <v>215</v>
      </c>
      <c r="C115" s="3" t="s">
        <v>380</v>
      </c>
      <c r="D115" s="70" t="s">
        <v>381</v>
      </c>
      <c r="E115" s="71"/>
      <c r="F115" s="3" t="s">
        <v>130</v>
      </c>
      <c r="G115" s="35">
        <v>5</v>
      </c>
      <c r="H115" s="68">
        <v>0</v>
      </c>
      <c r="I115" s="36">
        <v>21</v>
      </c>
      <c r="J115" s="35">
        <f t="shared" si="110"/>
        <v>0</v>
      </c>
      <c r="K115" s="35">
        <f t="shared" si="111"/>
        <v>0</v>
      </c>
      <c r="L115" s="35">
        <f t="shared" si="112"/>
        <v>0</v>
      </c>
      <c r="M115" s="35">
        <f t="shared" si="113"/>
        <v>0</v>
      </c>
      <c r="N115" s="35">
        <v>5.5999999999999995E-4</v>
      </c>
      <c r="O115" s="35">
        <f t="shared" si="114"/>
        <v>2.7999999999999995E-3</v>
      </c>
      <c r="P115" s="37" t="s">
        <v>64</v>
      </c>
      <c r="Z115" s="35">
        <f t="shared" si="115"/>
        <v>0</v>
      </c>
      <c r="AB115" s="35">
        <f t="shared" si="116"/>
        <v>0</v>
      </c>
      <c r="AC115" s="35">
        <f t="shared" si="117"/>
        <v>0</v>
      </c>
      <c r="AD115" s="35">
        <f t="shared" si="118"/>
        <v>0</v>
      </c>
      <c r="AE115" s="35">
        <f t="shared" si="119"/>
        <v>0</v>
      </c>
      <c r="AF115" s="35">
        <f t="shared" si="120"/>
        <v>0</v>
      </c>
      <c r="AG115" s="35">
        <f t="shared" si="121"/>
        <v>0</v>
      </c>
      <c r="AH115" s="35">
        <f t="shared" si="122"/>
        <v>0</v>
      </c>
      <c r="AI115" s="12" t="s">
        <v>215</v>
      </c>
      <c r="AJ115" s="35">
        <f t="shared" si="123"/>
        <v>0</v>
      </c>
      <c r="AK115" s="35">
        <f t="shared" si="124"/>
        <v>0</v>
      </c>
      <c r="AL115" s="35">
        <f t="shared" si="125"/>
        <v>0</v>
      </c>
      <c r="AN115" s="35">
        <v>21</v>
      </c>
      <c r="AO115" s="35">
        <f>H115*0.015266954</f>
        <v>0</v>
      </c>
      <c r="AP115" s="35">
        <f>H115*(1-0.015266954)</f>
        <v>0</v>
      </c>
      <c r="AQ115" s="38" t="s">
        <v>65</v>
      </c>
      <c r="AV115" s="35">
        <f t="shared" si="126"/>
        <v>0</v>
      </c>
      <c r="AW115" s="35">
        <f t="shared" si="127"/>
        <v>0</v>
      </c>
      <c r="AX115" s="35">
        <f t="shared" si="128"/>
        <v>0</v>
      </c>
      <c r="AY115" s="38" t="s">
        <v>363</v>
      </c>
      <c r="AZ115" s="38" t="s">
        <v>364</v>
      </c>
      <c r="BA115" s="12" t="s">
        <v>225</v>
      </c>
      <c r="BC115" s="35">
        <f t="shared" si="129"/>
        <v>0</v>
      </c>
      <c r="BD115" s="35">
        <f t="shared" si="130"/>
        <v>0</v>
      </c>
      <c r="BE115" s="35">
        <v>0</v>
      </c>
      <c r="BF115" s="35">
        <f t="shared" si="131"/>
        <v>2.7999999999999995E-3</v>
      </c>
      <c r="BH115" s="35">
        <f t="shared" si="132"/>
        <v>0</v>
      </c>
      <c r="BI115" s="35">
        <f t="shared" si="133"/>
        <v>0</v>
      </c>
      <c r="BJ115" s="35">
        <f t="shared" si="134"/>
        <v>0</v>
      </c>
      <c r="BK115" s="38" t="s">
        <v>69</v>
      </c>
      <c r="BL115" s="35">
        <v>731</v>
      </c>
      <c r="BW115" s="35">
        <f t="shared" si="135"/>
        <v>21</v>
      </c>
      <c r="BX115" s="4" t="s">
        <v>381</v>
      </c>
    </row>
    <row r="116" spans="1:76" ht="25.5" x14ac:dyDescent="0.25">
      <c r="A116" s="2" t="s">
        <v>382</v>
      </c>
      <c r="B116" s="3" t="s">
        <v>215</v>
      </c>
      <c r="C116" s="3" t="s">
        <v>383</v>
      </c>
      <c r="D116" s="70" t="s">
        <v>384</v>
      </c>
      <c r="E116" s="71"/>
      <c r="F116" s="3" t="s">
        <v>85</v>
      </c>
      <c r="G116" s="35">
        <v>1</v>
      </c>
      <c r="H116" s="68">
        <v>0</v>
      </c>
      <c r="I116" s="36">
        <v>21</v>
      </c>
      <c r="J116" s="35">
        <f t="shared" si="110"/>
        <v>0</v>
      </c>
      <c r="K116" s="35">
        <f t="shared" si="111"/>
        <v>0</v>
      </c>
      <c r="L116" s="35">
        <f t="shared" si="112"/>
        <v>0</v>
      </c>
      <c r="M116" s="35">
        <f t="shared" si="113"/>
        <v>0</v>
      </c>
      <c r="N116" s="35">
        <v>0</v>
      </c>
      <c r="O116" s="35">
        <f t="shared" si="114"/>
        <v>0</v>
      </c>
      <c r="P116" s="37" t="s">
        <v>64</v>
      </c>
      <c r="Z116" s="35">
        <f t="shared" si="115"/>
        <v>0</v>
      </c>
      <c r="AB116" s="35">
        <f t="shared" si="116"/>
        <v>0</v>
      </c>
      <c r="AC116" s="35">
        <f t="shared" si="117"/>
        <v>0</v>
      </c>
      <c r="AD116" s="35">
        <f t="shared" si="118"/>
        <v>0</v>
      </c>
      <c r="AE116" s="35">
        <f t="shared" si="119"/>
        <v>0</v>
      </c>
      <c r="AF116" s="35">
        <f t="shared" si="120"/>
        <v>0</v>
      </c>
      <c r="AG116" s="35">
        <f t="shared" si="121"/>
        <v>0</v>
      </c>
      <c r="AH116" s="35">
        <f t="shared" si="122"/>
        <v>0</v>
      </c>
      <c r="AI116" s="12" t="s">
        <v>215</v>
      </c>
      <c r="AJ116" s="35">
        <f t="shared" si="123"/>
        <v>0</v>
      </c>
      <c r="AK116" s="35">
        <f t="shared" si="124"/>
        <v>0</v>
      </c>
      <c r="AL116" s="35">
        <f t="shared" si="125"/>
        <v>0</v>
      </c>
      <c r="AN116" s="35">
        <v>21</v>
      </c>
      <c r="AO116" s="35">
        <f>H116*0.135667396</f>
        <v>0</v>
      </c>
      <c r="AP116" s="35">
        <f>H116*(1-0.135667396)</f>
        <v>0</v>
      </c>
      <c r="AQ116" s="38" t="s">
        <v>65</v>
      </c>
      <c r="AV116" s="35">
        <f t="shared" si="126"/>
        <v>0</v>
      </c>
      <c r="AW116" s="35">
        <f t="shared" si="127"/>
        <v>0</v>
      </c>
      <c r="AX116" s="35">
        <f t="shared" si="128"/>
        <v>0</v>
      </c>
      <c r="AY116" s="38" t="s">
        <v>363</v>
      </c>
      <c r="AZ116" s="38" t="s">
        <v>364</v>
      </c>
      <c r="BA116" s="12" t="s">
        <v>225</v>
      </c>
      <c r="BC116" s="35">
        <f t="shared" si="129"/>
        <v>0</v>
      </c>
      <c r="BD116" s="35">
        <f t="shared" si="130"/>
        <v>0</v>
      </c>
      <c r="BE116" s="35">
        <v>0</v>
      </c>
      <c r="BF116" s="35">
        <f t="shared" si="131"/>
        <v>0</v>
      </c>
      <c r="BH116" s="35">
        <f t="shared" si="132"/>
        <v>0</v>
      </c>
      <c r="BI116" s="35">
        <f t="shared" si="133"/>
        <v>0</v>
      </c>
      <c r="BJ116" s="35">
        <f t="shared" si="134"/>
        <v>0</v>
      </c>
      <c r="BK116" s="38" t="s">
        <v>69</v>
      </c>
      <c r="BL116" s="35">
        <v>731</v>
      </c>
      <c r="BW116" s="35">
        <f t="shared" si="135"/>
        <v>21</v>
      </c>
      <c r="BX116" s="4" t="s">
        <v>384</v>
      </c>
    </row>
    <row r="117" spans="1:76" x14ac:dyDescent="0.25">
      <c r="A117" s="2" t="s">
        <v>385</v>
      </c>
      <c r="B117" s="3" t="s">
        <v>215</v>
      </c>
      <c r="C117" s="3" t="s">
        <v>386</v>
      </c>
      <c r="D117" s="70" t="s">
        <v>387</v>
      </c>
      <c r="E117" s="71"/>
      <c r="F117" s="3" t="s">
        <v>85</v>
      </c>
      <c r="G117" s="35">
        <v>5</v>
      </c>
      <c r="H117" s="68">
        <v>0</v>
      </c>
      <c r="I117" s="36">
        <v>21</v>
      </c>
      <c r="J117" s="35">
        <f t="shared" si="110"/>
        <v>0</v>
      </c>
      <c r="K117" s="35">
        <f t="shared" si="111"/>
        <v>0</v>
      </c>
      <c r="L117" s="35">
        <f t="shared" si="112"/>
        <v>0</v>
      </c>
      <c r="M117" s="35">
        <f t="shared" si="113"/>
        <v>0</v>
      </c>
      <c r="N117" s="35">
        <v>0</v>
      </c>
      <c r="O117" s="35">
        <f t="shared" si="114"/>
        <v>0</v>
      </c>
      <c r="P117" s="37" t="s">
        <v>64</v>
      </c>
      <c r="Z117" s="35">
        <f t="shared" si="115"/>
        <v>0</v>
      </c>
      <c r="AB117" s="35">
        <f t="shared" si="116"/>
        <v>0</v>
      </c>
      <c r="AC117" s="35">
        <f t="shared" si="117"/>
        <v>0</v>
      </c>
      <c r="AD117" s="35">
        <f t="shared" si="118"/>
        <v>0</v>
      </c>
      <c r="AE117" s="35">
        <f t="shared" si="119"/>
        <v>0</v>
      </c>
      <c r="AF117" s="35">
        <f t="shared" si="120"/>
        <v>0</v>
      </c>
      <c r="AG117" s="35">
        <f t="shared" si="121"/>
        <v>0</v>
      </c>
      <c r="AH117" s="35">
        <f t="shared" si="122"/>
        <v>0</v>
      </c>
      <c r="AI117" s="12" t="s">
        <v>215</v>
      </c>
      <c r="AJ117" s="35">
        <f t="shared" si="123"/>
        <v>0</v>
      </c>
      <c r="AK117" s="35">
        <f t="shared" si="124"/>
        <v>0</v>
      </c>
      <c r="AL117" s="35">
        <f t="shared" si="125"/>
        <v>0</v>
      </c>
      <c r="AN117" s="35">
        <v>21</v>
      </c>
      <c r="AO117" s="35">
        <f>H117*0</f>
        <v>0</v>
      </c>
      <c r="AP117" s="35">
        <f>H117*(1-0)</f>
        <v>0</v>
      </c>
      <c r="AQ117" s="38" t="s">
        <v>65</v>
      </c>
      <c r="AV117" s="35">
        <f t="shared" si="126"/>
        <v>0</v>
      </c>
      <c r="AW117" s="35">
        <f t="shared" si="127"/>
        <v>0</v>
      </c>
      <c r="AX117" s="35">
        <f t="shared" si="128"/>
        <v>0</v>
      </c>
      <c r="AY117" s="38" t="s">
        <v>363</v>
      </c>
      <c r="AZ117" s="38" t="s">
        <v>364</v>
      </c>
      <c r="BA117" s="12" t="s">
        <v>225</v>
      </c>
      <c r="BC117" s="35">
        <f t="shared" si="129"/>
        <v>0</v>
      </c>
      <c r="BD117" s="35">
        <f t="shared" si="130"/>
        <v>0</v>
      </c>
      <c r="BE117" s="35">
        <v>0</v>
      </c>
      <c r="BF117" s="35">
        <f t="shared" si="131"/>
        <v>0</v>
      </c>
      <c r="BH117" s="35">
        <f t="shared" si="132"/>
        <v>0</v>
      </c>
      <c r="BI117" s="35">
        <f t="shared" si="133"/>
        <v>0</v>
      </c>
      <c r="BJ117" s="35">
        <f t="shared" si="134"/>
        <v>0</v>
      </c>
      <c r="BK117" s="38" t="s">
        <v>69</v>
      </c>
      <c r="BL117" s="35">
        <v>731</v>
      </c>
      <c r="BW117" s="35">
        <f t="shared" si="135"/>
        <v>21</v>
      </c>
      <c r="BX117" s="4" t="s">
        <v>387</v>
      </c>
    </row>
    <row r="118" spans="1:76" x14ac:dyDescent="0.25">
      <c r="A118" s="2" t="s">
        <v>388</v>
      </c>
      <c r="B118" s="3" t="s">
        <v>215</v>
      </c>
      <c r="C118" s="3" t="s">
        <v>389</v>
      </c>
      <c r="D118" s="70" t="s">
        <v>390</v>
      </c>
      <c r="E118" s="71"/>
      <c r="F118" s="3" t="s">
        <v>155</v>
      </c>
      <c r="G118" s="35">
        <v>1</v>
      </c>
      <c r="H118" s="68">
        <v>0</v>
      </c>
      <c r="I118" s="36">
        <v>21</v>
      </c>
      <c r="J118" s="35">
        <f t="shared" si="110"/>
        <v>0</v>
      </c>
      <c r="K118" s="35">
        <f t="shared" si="111"/>
        <v>0</v>
      </c>
      <c r="L118" s="35">
        <f t="shared" si="112"/>
        <v>0</v>
      </c>
      <c r="M118" s="35">
        <f t="shared" si="113"/>
        <v>0</v>
      </c>
      <c r="N118" s="35">
        <v>0</v>
      </c>
      <c r="O118" s="35">
        <f t="shared" si="114"/>
        <v>0</v>
      </c>
      <c r="P118" s="37" t="s">
        <v>64</v>
      </c>
      <c r="Z118" s="35">
        <f t="shared" si="115"/>
        <v>0</v>
      </c>
      <c r="AB118" s="35">
        <f t="shared" si="116"/>
        <v>0</v>
      </c>
      <c r="AC118" s="35">
        <f t="shared" si="117"/>
        <v>0</v>
      </c>
      <c r="AD118" s="35">
        <f t="shared" si="118"/>
        <v>0</v>
      </c>
      <c r="AE118" s="35">
        <f t="shared" si="119"/>
        <v>0</v>
      </c>
      <c r="AF118" s="35">
        <f t="shared" si="120"/>
        <v>0</v>
      </c>
      <c r="AG118" s="35">
        <f t="shared" si="121"/>
        <v>0</v>
      </c>
      <c r="AH118" s="35">
        <f t="shared" si="122"/>
        <v>0</v>
      </c>
      <c r="AI118" s="12" t="s">
        <v>215</v>
      </c>
      <c r="AJ118" s="35">
        <f t="shared" si="123"/>
        <v>0</v>
      </c>
      <c r="AK118" s="35">
        <f t="shared" si="124"/>
        <v>0</v>
      </c>
      <c r="AL118" s="35">
        <f t="shared" si="125"/>
        <v>0</v>
      </c>
      <c r="AN118" s="35">
        <v>21</v>
      </c>
      <c r="AO118" s="35">
        <f>H118*1</f>
        <v>0</v>
      </c>
      <c r="AP118" s="35">
        <f>H118*(1-1)</f>
        <v>0</v>
      </c>
      <c r="AQ118" s="38" t="s">
        <v>65</v>
      </c>
      <c r="AV118" s="35">
        <f t="shared" si="126"/>
        <v>0</v>
      </c>
      <c r="AW118" s="35">
        <f t="shared" si="127"/>
        <v>0</v>
      </c>
      <c r="AX118" s="35">
        <f t="shared" si="128"/>
        <v>0</v>
      </c>
      <c r="AY118" s="38" t="s">
        <v>363</v>
      </c>
      <c r="AZ118" s="38" t="s">
        <v>364</v>
      </c>
      <c r="BA118" s="12" t="s">
        <v>225</v>
      </c>
      <c r="BC118" s="35">
        <f t="shared" si="129"/>
        <v>0</v>
      </c>
      <c r="BD118" s="35">
        <f t="shared" si="130"/>
        <v>0</v>
      </c>
      <c r="BE118" s="35">
        <v>0</v>
      </c>
      <c r="BF118" s="35">
        <f t="shared" si="131"/>
        <v>0</v>
      </c>
      <c r="BH118" s="35">
        <f t="shared" si="132"/>
        <v>0</v>
      </c>
      <c r="BI118" s="35">
        <f t="shared" si="133"/>
        <v>0</v>
      </c>
      <c r="BJ118" s="35">
        <f t="shared" si="134"/>
        <v>0</v>
      </c>
      <c r="BK118" s="38" t="s">
        <v>156</v>
      </c>
      <c r="BL118" s="35">
        <v>731</v>
      </c>
      <c r="BW118" s="35">
        <f t="shared" si="135"/>
        <v>21</v>
      </c>
      <c r="BX118" s="4" t="s">
        <v>390</v>
      </c>
    </row>
    <row r="119" spans="1:76" x14ac:dyDescent="0.25">
      <c r="A119" s="2" t="s">
        <v>391</v>
      </c>
      <c r="B119" s="3" t="s">
        <v>215</v>
      </c>
      <c r="C119" s="3" t="s">
        <v>392</v>
      </c>
      <c r="D119" s="70" t="s">
        <v>393</v>
      </c>
      <c r="E119" s="71"/>
      <c r="F119" s="3" t="s">
        <v>155</v>
      </c>
      <c r="G119" s="35">
        <v>1</v>
      </c>
      <c r="H119" s="68">
        <v>0</v>
      </c>
      <c r="I119" s="36">
        <v>21</v>
      </c>
      <c r="J119" s="35">
        <f t="shared" si="110"/>
        <v>0</v>
      </c>
      <c r="K119" s="35">
        <f t="shared" si="111"/>
        <v>0</v>
      </c>
      <c r="L119" s="35">
        <f t="shared" si="112"/>
        <v>0</v>
      </c>
      <c r="M119" s="35">
        <f t="shared" si="113"/>
        <v>0</v>
      </c>
      <c r="N119" s="35">
        <v>0</v>
      </c>
      <c r="O119" s="35">
        <f t="shared" si="114"/>
        <v>0</v>
      </c>
      <c r="P119" s="37" t="s">
        <v>64</v>
      </c>
      <c r="Z119" s="35">
        <f t="shared" si="115"/>
        <v>0</v>
      </c>
      <c r="AB119" s="35">
        <f t="shared" si="116"/>
        <v>0</v>
      </c>
      <c r="AC119" s="35">
        <f t="shared" si="117"/>
        <v>0</v>
      </c>
      <c r="AD119" s="35">
        <f t="shared" si="118"/>
        <v>0</v>
      </c>
      <c r="AE119" s="35">
        <f t="shared" si="119"/>
        <v>0</v>
      </c>
      <c r="AF119" s="35">
        <f t="shared" si="120"/>
        <v>0</v>
      </c>
      <c r="AG119" s="35">
        <f t="shared" si="121"/>
        <v>0</v>
      </c>
      <c r="AH119" s="35">
        <f t="shared" si="122"/>
        <v>0</v>
      </c>
      <c r="AI119" s="12" t="s">
        <v>215</v>
      </c>
      <c r="AJ119" s="35">
        <f t="shared" si="123"/>
        <v>0</v>
      </c>
      <c r="AK119" s="35">
        <f t="shared" si="124"/>
        <v>0</v>
      </c>
      <c r="AL119" s="35">
        <f t="shared" si="125"/>
        <v>0</v>
      </c>
      <c r="AN119" s="35">
        <v>21</v>
      </c>
      <c r="AO119" s="35">
        <f>H119*0</f>
        <v>0</v>
      </c>
      <c r="AP119" s="35">
        <f>H119*(1-0)</f>
        <v>0</v>
      </c>
      <c r="AQ119" s="38" t="s">
        <v>65</v>
      </c>
      <c r="AV119" s="35">
        <f t="shared" si="126"/>
        <v>0</v>
      </c>
      <c r="AW119" s="35">
        <f t="shared" si="127"/>
        <v>0</v>
      </c>
      <c r="AX119" s="35">
        <f t="shared" si="128"/>
        <v>0</v>
      </c>
      <c r="AY119" s="38" t="s">
        <v>363</v>
      </c>
      <c r="AZ119" s="38" t="s">
        <v>364</v>
      </c>
      <c r="BA119" s="12" t="s">
        <v>225</v>
      </c>
      <c r="BC119" s="35">
        <f t="shared" si="129"/>
        <v>0</v>
      </c>
      <c r="BD119" s="35">
        <f t="shared" si="130"/>
        <v>0</v>
      </c>
      <c r="BE119" s="35">
        <v>0</v>
      </c>
      <c r="BF119" s="35">
        <f t="shared" si="131"/>
        <v>0</v>
      </c>
      <c r="BH119" s="35">
        <f t="shared" si="132"/>
        <v>0</v>
      </c>
      <c r="BI119" s="35">
        <f t="shared" si="133"/>
        <v>0</v>
      </c>
      <c r="BJ119" s="35">
        <f t="shared" si="134"/>
        <v>0</v>
      </c>
      <c r="BK119" s="38" t="s">
        <v>69</v>
      </c>
      <c r="BL119" s="35">
        <v>731</v>
      </c>
      <c r="BW119" s="35">
        <f t="shared" si="135"/>
        <v>21</v>
      </c>
      <c r="BX119" s="4" t="s">
        <v>393</v>
      </c>
    </row>
    <row r="120" spans="1:76" x14ac:dyDescent="0.25">
      <c r="A120" s="2" t="s">
        <v>394</v>
      </c>
      <c r="B120" s="3" t="s">
        <v>215</v>
      </c>
      <c r="C120" s="3" t="s">
        <v>395</v>
      </c>
      <c r="D120" s="70" t="s">
        <v>396</v>
      </c>
      <c r="E120" s="71"/>
      <c r="F120" s="3" t="s">
        <v>397</v>
      </c>
      <c r="G120" s="35">
        <v>1</v>
      </c>
      <c r="H120" s="68">
        <v>0</v>
      </c>
      <c r="I120" s="36">
        <v>21</v>
      </c>
      <c r="J120" s="35">
        <f t="shared" si="110"/>
        <v>0</v>
      </c>
      <c r="K120" s="35">
        <f t="shared" si="111"/>
        <v>0</v>
      </c>
      <c r="L120" s="35">
        <f t="shared" si="112"/>
        <v>0</v>
      </c>
      <c r="M120" s="35">
        <f t="shared" si="113"/>
        <v>0</v>
      </c>
      <c r="N120" s="35">
        <v>0</v>
      </c>
      <c r="O120" s="35">
        <f t="shared" si="114"/>
        <v>0</v>
      </c>
      <c r="P120" s="37" t="s">
        <v>64</v>
      </c>
      <c r="Z120" s="35">
        <f t="shared" si="115"/>
        <v>0</v>
      </c>
      <c r="AB120" s="35">
        <f t="shared" si="116"/>
        <v>0</v>
      </c>
      <c r="AC120" s="35">
        <f t="shared" si="117"/>
        <v>0</v>
      </c>
      <c r="AD120" s="35">
        <f t="shared" si="118"/>
        <v>0</v>
      </c>
      <c r="AE120" s="35">
        <f t="shared" si="119"/>
        <v>0</v>
      </c>
      <c r="AF120" s="35">
        <f t="shared" si="120"/>
        <v>0</v>
      </c>
      <c r="AG120" s="35">
        <f t="shared" si="121"/>
        <v>0</v>
      </c>
      <c r="AH120" s="35">
        <f t="shared" si="122"/>
        <v>0</v>
      </c>
      <c r="AI120" s="12" t="s">
        <v>215</v>
      </c>
      <c r="AJ120" s="35">
        <f t="shared" si="123"/>
        <v>0</v>
      </c>
      <c r="AK120" s="35">
        <f t="shared" si="124"/>
        <v>0</v>
      </c>
      <c r="AL120" s="35">
        <f t="shared" si="125"/>
        <v>0</v>
      </c>
      <c r="AN120" s="35">
        <v>21</v>
      </c>
      <c r="AO120" s="35">
        <f>H120*0</f>
        <v>0</v>
      </c>
      <c r="AP120" s="35">
        <f>H120*(1-0)</f>
        <v>0</v>
      </c>
      <c r="AQ120" s="38" t="s">
        <v>65</v>
      </c>
      <c r="AV120" s="35">
        <f t="shared" si="126"/>
        <v>0</v>
      </c>
      <c r="AW120" s="35">
        <f t="shared" si="127"/>
        <v>0</v>
      </c>
      <c r="AX120" s="35">
        <f t="shared" si="128"/>
        <v>0</v>
      </c>
      <c r="AY120" s="38" t="s">
        <v>363</v>
      </c>
      <c r="AZ120" s="38" t="s">
        <v>364</v>
      </c>
      <c r="BA120" s="12" t="s">
        <v>225</v>
      </c>
      <c r="BC120" s="35">
        <f t="shared" si="129"/>
        <v>0</v>
      </c>
      <c r="BD120" s="35">
        <f t="shared" si="130"/>
        <v>0</v>
      </c>
      <c r="BE120" s="35">
        <v>0</v>
      </c>
      <c r="BF120" s="35">
        <f t="shared" si="131"/>
        <v>0</v>
      </c>
      <c r="BH120" s="35">
        <f t="shared" si="132"/>
        <v>0</v>
      </c>
      <c r="BI120" s="35">
        <f t="shared" si="133"/>
        <v>0</v>
      </c>
      <c r="BJ120" s="35">
        <f t="shared" si="134"/>
        <v>0</v>
      </c>
      <c r="BK120" s="38" t="s">
        <v>69</v>
      </c>
      <c r="BL120" s="35">
        <v>731</v>
      </c>
      <c r="BW120" s="35">
        <f t="shared" si="135"/>
        <v>21</v>
      </c>
      <c r="BX120" s="4" t="s">
        <v>396</v>
      </c>
    </row>
    <row r="121" spans="1:76" ht="25.5" x14ac:dyDescent="0.25">
      <c r="A121" s="2" t="s">
        <v>398</v>
      </c>
      <c r="B121" s="3" t="s">
        <v>215</v>
      </c>
      <c r="C121" s="3" t="s">
        <v>399</v>
      </c>
      <c r="D121" s="70" t="s">
        <v>400</v>
      </c>
      <c r="E121" s="71"/>
      <c r="F121" s="3" t="s">
        <v>397</v>
      </c>
      <c r="G121" s="35">
        <v>1</v>
      </c>
      <c r="H121" s="68">
        <v>0</v>
      </c>
      <c r="I121" s="36">
        <v>21</v>
      </c>
      <c r="J121" s="35">
        <f t="shared" si="110"/>
        <v>0</v>
      </c>
      <c r="K121" s="35">
        <f t="shared" si="111"/>
        <v>0</v>
      </c>
      <c r="L121" s="35">
        <f t="shared" si="112"/>
        <v>0</v>
      </c>
      <c r="M121" s="35">
        <f t="shared" si="113"/>
        <v>0</v>
      </c>
      <c r="N121" s="35">
        <v>0</v>
      </c>
      <c r="O121" s="35">
        <f t="shared" si="114"/>
        <v>0</v>
      </c>
      <c r="P121" s="37" t="s">
        <v>64</v>
      </c>
      <c r="Z121" s="35">
        <f t="shared" si="115"/>
        <v>0</v>
      </c>
      <c r="AB121" s="35">
        <f t="shared" si="116"/>
        <v>0</v>
      </c>
      <c r="AC121" s="35">
        <f t="shared" si="117"/>
        <v>0</v>
      </c>
      <c r="AD121" s="35">
        <f t="shared" si="118"/>
        <v>0</v>
      </c>
      <c r="AE121" s="35">
        <f t="shared" si="119"/>
        <v>0</v>
      </c>
      <c r="AF121" s="35">
        <f t="shared" si="120"/>
        <v>0</v>
      </c>
      <c r="AG121" s="35">
        <f t="shared" si="121"/>
        <v>0</v>
      </c>
      <c r="AH121" s="35">
        <f t="shared" si="122"/>
        <v>0</v>
      </c>
      <c r="AI121" s="12" t="s">
        <v>215</v>
      </c>
      <c r="AJ121" s="35">
        <f t="shared" si="123"/>
        <v>0</v>
      </c>
      <c r="AK121" s="35">
        <f t="shared" si="124"/>
        <v>0</v>
      </c>
      <c r="AL121" s="35">
        <f t="shared" si="125"/>
        <v>0</v>
      </c>
      <c r="AN121" s="35">
        <v>21</v>
      </c>
      <c r="AO121" s="35">
        <f>H121*0</f>
        <v>0</v>
      </c>
      <c r="AP121" s="35">
        <f>H121*(1-0)</f>
        <v>0</v>
      </c>
      <c r="AQ121" s="38" t="s">
        <v>65</v>
      </c>
      <c r="AV121" s="35">
        <f t="shared" si="126"/>
        <v>0</v>
      </c>
      <c r="AW121" s="35">
        <f t="shared" si="127"/>
        <v>0</v>
      </c>
      <c r="AX121" s="35">
        <f t="shared" si="128"/>
        <v>0</v>
      </c>
      <c r="AY121" s="38" t="s">
        <v>363</v>
      </c>
      <c r="AZ121" s="38" t="s">
        <v>364</v>
      </c>
      <c r="BA121" s="12" t="s">
        <v>225</v>
      </c>
      <c r="BC121" s="35">
        <f t="shared" si="129"/>
        <v>0</v>
      </c>
      <c r="BD121" s="35">
        <f t="shared" si="130"/>
        <v>0</v>
      </c>
      <c r="BE121" s="35">
        <v>0</v>
      </c>
      <c r="BF121" s="35">
        <f t="shared" si="131"/>
        <v>0</v>
      </c>
      <c r="BH121" s="35">
        <f t="shared" si="132"/>
        <v>0</v>
      </c>
      <c r="BI121" s="35">
        <f t="shared" si="133"/>
        <v>0</v>
      </c>
      <c r="BJ121" s="35">
        <f t="shared" si="134"/>
        <v>0</v>
      </c>
      <c r="BK121" s="38" t="s">
        <v>69</v>
      </c>
      <c r="BL121" s="35">
        <v>731</v>
      </c>
      <c r="BW121" s="35">
        <f t="shared" si="135"/>
        <v>21</v>
      </c>
      <c r="BX121" s="4" t="s">
        <v>400</v>
      </c>
    </row>
    <row r="122" spans="1:76" x14ac:dyDescent="0.25">
      <c r="A122" s="31" t="s">
        <v>55</v>
      </c>
      <c r="B122" s="32" t="s">
        <v>215</v>
      </c>
      <c r="C122" s="32" t="s">
        <v>401</v>
      </c>
      <c r="D122" s="128" t="s">
        <v>402</v>
      </c>
      <c r="E122" s="129"/>
      <c r="F122" s="33" t="s">
        <v>4</v>
      </c>
      <c r="G122" s="33" t="s">
        <v>4</v>
      </c>
      <c r="H122" s="33" t="s">
        <v>4</v>
      </c>
      <c r="I122" s="33" t="s">
        <v>4</v>
      </c>
      <c r="J122" s="1">
        <f>SUM(J123:J139)</f>
        <v>0</v>
      </c>
      <c r="K122" s="1">
        <f>SUM(K123:K139)</f>
        <v>0</v>
      </c>
      <c r="L122" s="1">
        <f>SUM(L123:L139)</f>
        <v>0</v>
      </c>
      <c r="M122" s="1">
        <f>SUM(M123:M139)</f>
        <v>0</v>
      </c>
      <c r="N122" s="12" t="s">
        <v>55</v>
      </c>
      <c r="O122" s="1">
        <f>SUM(O123:O139)</f>
        <v>2.3401999999999998</v>
      </c>
      <c r="P122" s="34" t="s">
        <v>55</v>
      </c>
      <c r="AI122" s="12" t="s">
        <v>215</v>
      </c>
      <c r="AS122" s="1">
        <f>SUM(AJ123:AJ139)</f>
        <v>0</v>
      </c>
      <c r="AT122" s="1">
        <f>SUM(AK123:AK139)</f>
        <v>0</v>
      </c>
      <c r="AU122" s="1">
        <f>SUM(AL123:AL139)</f>
        <v>0</v>
      </c>
    </row>
    <row r="123" spans="1:76" x14ac:dyDescent="0.25">
      <c r="A123" s="2" t="s">
        <v>403</v>
      </c>
      <c r="B123" s="3" t="s">
        <v>215</v>
      </c>
      <c r="C123" s="3" t="s">
        <v>404</v>
      </c>
      <c r="D123" s="70" t="s">
        <v>405</v>
      </c>
      <c r="E123" s="71"/>
      <c r="F123" s="3" t="s">
        <v>130</v>
      </c>
      <c r="G123" s="35">
        <v>9</v>
      </c>
      <c r="H123" s="68">
        <v>0</v>
      </c>
      <c r="I123" s="36">
        <v>21</v>
      </c>
      <c r="J123" s="35">
        <f t="shared" ref="J123:J139" si="136">ROUND(G123*AO123,2)</f>
        <v>0</v>
      </c>
      <c r="K123" s="35">
        <f t="shared" ref="K123:K139" si="137">ROUND(G123*AP123,2)</f>
        <v>0</v>
      </c>
      <c r="L123" s="35">
        <f t="shared" ref="L123:L139" si="138">ROUND(G123*H123,2)</f>
        <v>0</v>
      </c>
      <c r="M123" s="35">
        <f t="shared" ref="M123:M139" si="139">L123*(1+BW123/100)</f>
        <v>0</v>
      </c>
      <c r="N123" s="35">
        <v>5.9000000000000003E-4</v>
      </c>
      <c r="O123" s="35">
        <f t="shared" ref="O123:O139" si="140">G123*N123</f>
        <v>5.3100000000000005E-3</v>
      </c>
      <c r="P123" s="37" t="s">
        <v>64</v>
      </c>
      <c r="Z123" s="35">
        <f t="shared" ref="Z123:Z139" si="141">ROUND(IF(AQ123="5",BJ123,0),2)</f>
        <v>0</v>
      </c>
      <c r="AB123" s="35">
        <f t="shared" ref="AB123:AB139" si="142">ROUND(IF(AQ123="1",BH123,0),2)</f>
        <v>0</v>
      </c>
      <c r="AC123" s="35">
        <f t="shared" ref="AC123:AC139" si="143">ROUND(IF(AQ123="1",BI123,0),2)</f>
        <v>0</v>
      </c>
      <c r="AD123" s="35">
        <f t="shared" ref="AD123:AD139" si="144">ROUND(IF(AQ123="7",BH123,0),2)</f>
        <v>0</v>
      </c>
      <c r="AE123" s="35">
        <f t="shared" ref="AE123:AE139" si="145">ROUND(IF(AQ123="7",BI123,0),2)</f>
        <v>0</v>
      </c>
      <c r="AF123" s="35">
        <f t="shared" ref="AF123:AF139" si="146">ROUND(IF(AQ123="2",BH123,0),2)</f>
        <v>0</v>
      </c>
      <c r="AG123" s="35">
        <f t="shared" ref="AG123:AG139" si="147">ROUND(IF(AQ123="2",BI123,0),2)</f>
        <v>0</v>
      </c>
      <c r="AH123" s="35">
        <f t="shared" ref="AH123:AH139" si="148">ROUND(IF(AQ123="0",BJ123,0),2)</f>
        <v>0</v>
      </c>
      <c r="AI123" s="12" t="s">
        <v>215</v>
      </c>
      <c r="AJ123" s="35">
        <f t="shared" ref="AJ123:AJ139" si="149">IF(AN123=0,L123,0)</f>
        <v>0</v>
      </c>
      <c r="AK123" s="35">
        <f t="shared" ref="AK123:AK139" si="150">IF(AN123=15,L123,0)</f>
        <v>0</v>
      </c>
      <c r="AL123" s="35">
        <f t="shared" ref="AL123:AL139" si="151">IF(AN123=21,L123,0)</f>
        <v>0</v>
      </c>
      <c r="AN123" s="35">
        <v>21</v>
      </c>
      <c r="AO123" s="35">
        <f>H123*0.277635659</f>
        <v>0</v>
      </c>
      <c r="AP123" s="35">
        <f>H123*(1-0.277635659)</f>
        <v>0</v>
      </c>
      <c r="AQ123" s="38" t="s">
        <v>65</v>
      </c>
      <c r="AV123" s="35">
        <f t="shared" ref="AV123:AV139" si="152">ROUND(AW123+AX123,2)</f>
        <v>0</v>
      </c>
      <c r="AW123" s="35">
        <f t="shared" ref="AW123:AW139" si="153">ROUND(G123*AO123,2)</f>
        <v>0</v>
      </c>
      <c r="AX123" s="35">
        <f t="shared" ref="AX123:AX139" si="154">ROUND(G123*AP123,2)</f>
        <v>0</v>
      </c>
      <c r="AY123" s="38" t="s">
        <v>406</v>
      </c>
      <c r="AZ123" s="38" t="s">
        <v>364</v>
      </c>
      <c r="BA123" s="12" t="s">
        <v>225</v>
      </c>
      <c r="BC123" s="35">
        <f t="shared" ref="BC123:BC139" si="155">AW123+AX123</f>
        <v>0</v>
      </c>
      <c r="BD123" s="35">
        <f t="shared" ref="BD123:BD139" si="156">H123/(100-BE123)*100</f>
        <v>0</v>
      </c>
      <c r="BE123" s="35">
        <v>0</v>
      </c>
      <c r="BF123" s="35">
        <f t="shared" ref="BF123:BF139" si="157">O123</f>
        <v>5.3100000000000005E-3</v>
      </c>
      <c r="BH123" s="35">
        <f t="shared" ref="BH123:BH139" si="158">G123*AO123</f>
        <v>0</v>
      </c>
      <c r="BI123" s="35">
        <f t="shared" ref="BI123:BI139" si="159">G123*AP123</f>
        <v>0</v>
      </c>
      <c r="BJ123" s="35">
        <f t="shared" ref="BJ123:BJ139" si="160">G123*H123</f>
        <v>0</v>
      </c>
      <c r="BK123" s="38" t="s">
        <v>69</v>
      </c>
      <c r="BL123" s="35">
        <v>732</v>
      </c>
      <c r="BW123" s="35">
        <f t="shared" ref="BW123:BW139" si="161">I123</f>
        <v>21</v>
      </c>
      <c r="BX123" s="4" t="s">
        <v>405</v>
      </c>
    </row>
    <row r="124" spans="1:76" x14ac:dyDescent="0.25">
      <c r="A124" s="2" t="s">
        <v>407</v>
      </c>
      <c r="B124" s="3" t="s">
        <v>215</v>
      </c>
      <c r="C124" s="3" t="s">
        <v>408</v>
      </c>
      <c r="D124" s="70" t="s">
        <v>409</v>
      </c>
      <c r="E124" s="71"/>
      <c r="F124" s="3" t="s">
        <v>130</v>
      </c>
      <c r="G124" s="35">
        <v>2</v>
      </c>
      <c r="H124" s="68">
        <v>0</v>
      </c>
      <c r="I124" s="36">
        <v>21</v>
      </c>
      <c r="J124" s="35">
        <f t="shared" si="136"/>
        <v>0</v>
      </c>
      <c r="K124" s="35">
        <f t="shared" si="137"/>
        <v>0</v>
      </c>
      <c r="L124" s="35">
        <f t="shared" si="138"/>
        <v>0</v>
      </c>
      <c r="M124" s="35">
        <f t="shared" si="139"/>
        <v>0</v>
      </c>
      <c r="N124" s="35">
        <v>9.3200000000000002E-3</v>
      </c>
      <c r="O124" s="35">
        <f t="shared" si="140"/>
        <v>1.864E-2</v>
      </c>
      <c r="P124" s="37" t="s">
        <v>64</v>
      </c>
      <c r="Z124" s="35">
        <f t="shared" si="141"/>
        <v>0</v>
      </c>
      <c r="AB124" s="35">
        <f t="shared" si="142"/>
        <v>0</v>
      </c>
      <c r="AC124" s="35">
        <f t="shared" si="143"/>
        <v>0</v>
      </c>
      <c r="AD124" s="35">
        <f t="shared" si="144"/>
        <v>0</v>
      </c>
      <c r="AE124" s="35">
        <f t="shared" si="145"/>
        <v>0</v>
      </c>
      <c r="AF124" s="35">
        <f t="shared" si="146"/>
        <v>0</v>
      </c>
      <c r="AG124" s="35">
        <f t="shared" si="147"/>
        <v>0</v>
      </c>
      <c r="AH124" s="35">
        <f t="shared" si="148"/>
        <v>0</v>
      </c>
      <c r="AI124" s="12" t="s">
        <v>215</v>
      </c>
      <c r="AJ124" s="35">
        <f t="shared" si="149"/>
        <v>0</v>
      </c>
      <c r="AK124" s="35">
        <f t="shared" si="150"/>
        <v>0</v>
      </c>
      <c r="AL124" s="35">
        <f t="shared" si="151"/>
        <v>0</v>
      </c>
      <c r="AN124" s="35">
        <v>21</v>
      </c>
      <c r="AO124" s="35">
        <f>H124*0.511565601</f>
        <v>0</v>
      </c>
      <c r="AP124" s="35">
        <f>H124*(1-0.511565601)</f>
        <v>0</v>
      </c>
      <c r="AQ124" s="38" t="s">
        <v>65</v>
      </c>
      <c r="AV124" s="35">
        <f t="shared" si="152"/>
        <v>0</v>
      </c>
      <c r="AW124" s="35">
        <f t="shared" si="153"/>
        <v>0</v>
      </c>
      <c r="AX124" s="35">
        <f t="shared" si="154"/>
        <v>0</v>
      </c>
      <c r="AY124" s="38" t="s">
        <v>406</v>
      </c>
      <c r="AZ124" s="38" t="s">
        <v>364</v>
      </c>
      <c r="BA124" s="12" t="s">
        <v>225</v>
      </c>
      <c r="BC124" s="35">
        <f t="shared" si="155"/>
        <v>0</v>
      </c>
      <c r="BD124" s="35">
        <f t="shared" si="156"/>
        <v>0</v>
      </c>
      <c r="BE124" s="35">
        <v>0</v>
      </c>
      <c r="BF124" s="35">
        <f t="shared" si="157"/>
        <v>1.864E-2</v>
      </c>
      <c r="BH124" s="35">
        <f t="shared" si="158"/>
        <v>0</v>
      </c>
      <c r="BI124" s="35">
        <f t="shared" si="159"/>
        <v>0</v>
      </c>
      <c r="BJ124" s="35">
        <f t="shared" si="160"/>
        <v>0</v>
      </c>
      <c r="BK124" s="38" t="s">
        <v>69</v>
      </c>
      <c r="BL124" s="35">
        <v>732</v>
      </c>
      <c r="BW124" s="35">
        <f t="shared" si="161"/>
        <v>21</v>
      </c>
      <c r="BX124" s="4" t="s">
        <v>409</v>
      </c>
    </row>
    <row r="125" spans="1:76" x14ac:dyDescent="0.25">
      <c r="A125" s="2" t="s">
        <v>410</v>
      </c>
      <c r="B125" s="3" t="s">
        <v>215</v>
      </c>
      <c r="C125" s="3" t="s">
        <v>411</v>
      </c>
      <c r="D125" s="70" t="s">
        <v>412</v>
      </c>
      <c r="E125" s="71"/>
      <c r="F125" s="3" t="s">
        <v>130</v>
      </c>
      <c r="G125" s="35">
        <v>2</v>
      </c>
      <c r="H125" s="68">
        <v>0</v>
      </c>
      <c r="I125" s="36">
        <v>21</v>
      </c>
      <c r="J125" s="35">
        <f t="shared" si="136"/>
        <v>0</v>
      </c>
      <c r="K125" s="35">
        <f t="shared" si="137"/>
        <v>0</v>
      </c>
      <c r="L125" s="35">
        <f t="shared" si="138"/>
        <v>0</v>
      </c>
      <c r="M125" s="35">
        <f t="shared" si="139"/>
        <v>0</v>
      </c>
      <c r="N125" s="35">
        <v>9.3200000000000002E-3</v>
      </c>
      <c r="O125" s="35">
        <f t="shared" si="140"/>
        <v>1.864E-2</v>
      </c>
      <c r="P125" s="37" t="s">
        <v>64</v>
      </c>
      <c r="Z125" s="35">
        <f t="shared" si="141"/>
        <v>0</v>
      </c>
      <c r="AB125" s="35">
        <f t="shared" si="142"/>
        <v>0</v>
      </c>
      <c r="AC125" s="35">
        <f t="shared" si="143"/>
        <v>0</v>
      </c>
      <c r="AD125" s="35">
        <f t="shared" si="144"/>
        <v>0</v>
      </c>
      <c r="AE125" s="35">
        <f t="shared" si="145"/>
        <v>0</v>
      </c>
      <c r="AF125" s="35">
        <f t="shared" si="146"/>
        <v>0</v>
      </c>
      <c r="AG125" s="35">
        <f t="shared" si="147"/>
        <v>0</v>
      </c>
      <c r="AH125" s="35">
        <f t="shared" si="148"/>
        <v>0</v>
      </c>
      <c r="AI125" s="12" t="s">
        <v>215</v>
      </c>
      <c r="AJ125" s="35">
        <f t="shared" si="149"/>
        <v>0</v>
      </c>
      <c r="AK125" s="35">
        <f t="shared" si="150"/>
        <v>0</v>
      </c>
      <c r="AL125" s="35">
        <f t="shared" si="151"/>
        <v>0</v>
      </c>
      <c r="AN125" s="35">
        <v>21</v>
      </c>
      <c r="AO125" s="35">
        <f>H125*0.525790396</f>
        <v>0</v>
      </c>
      <c r="AP125" s="35">
        <f>H125*(1-0.525790396)</f>
        <v>0</v>
      </c>
      <c r="AQ125" s="38" t="s">
        <v>65</v>
      </c>
      <c r="AV125" s="35">
        <f t="shared" si="152"/>
        <v>0</v>
      </c>
      <c r="AW125" s="35">
        <f t="shared" si="153"/>
        <v>0</v>
      </c>
      <c r="AX125" s="35">
        <f t="shared" si="154"/>
        <v>0</v>
      </c>
      <c r="AY125" s="38" t="s">
        <v>406</v>
      </c>
      <c r="AZ125" s="38" t="s">
        <v>364</v>
      </c>
      <c r="BA125" s="12" t="s">
        <v>225</v>
      </c>
      <c r="BC125" s="35">
        <f t="shared" si="155"/>
        <v>0</v>
      </c>
      <c r="BD125" s="35">
        <f t="shared" si="156"/>
        <v>0</v>
      </c>
      <c r="BE125" s="35">
        <v>0</v>
      </c>
      <c r="BF125" s="35">
        <f t="shared" si="157"/>
        <v>1.864E-2</v>
      </c>
      <c r="BH125" s="35">
        <f t="shared" si="158"/>
        <v>0</v>
      </c>
      <c r="BI125" s="35">
        <f t="shared" si="159"/>
        <v>0</v>
      </c>
      <c r="BJ125" s="35">
        <f t="shared" si="160"/>
        <v>0</v>
      </c>
      <c r="BK125" s="38" t="s">
        <v>69</v>
      </c>
      <c r="BL125" s="35">
        <v>732</v>
      </c>
      <c r="BW125" s="35">
        <f t="shared" si="161"/>
        <v>21</v>
      </c>
      <c r="BX125" s="4" t="s">
        <v>412</v>
      </c>
    </row>
    <row r="126" spans="1:76" x14ac:dyDescent="0.25">
      <c r="A126" s="2" t="s">
        <v>413</v>
      </c>
      <c r="B126" s="3" t="s">
        <v>215</v>
      </c>
      <c r="C126" s="3" t="s">
        <v>414</v>
      </c>
      <c r="D126" s="70" t="s">
        <v>415</v>
      </c>
      <c r="E126" s="71"/>
      <c r="F126" s="3" t="s">
        <v>85</v>
      </c>
      <c r="G126" s="35">
        <v>2</v>
      </c>
      <c r="H126" s="68">
        <v>0</v>
      </c>
      <c r="I126" s="36">
        <v>21</v>
      </c>
      <c r="J126" s="35">
        <f t="shared" si="136"/>
        <v>0</v>
      </c>
      <c r="K126" s="35">
        <f t="shared" si="137"/>
        <v>0</v>
      </c>
      <c r="L126" s="35">
        <f t="shared" si="138"/>
        <v>0</v>
      </c>
      <c r="M126" s="35">
        <f t="shared" si="139"/>
        <v>0</v>
      </c>
      <c r="N126" s="35">
        <v>6.8529999999999994E-2</v>
      </c>
      <c r="O126" s="35">
        <f t="shared" si="140"/>
        <v>0.13705999999999999</v>
      </c>
      <c r="P126" s="37" t="s">
        <v>64</v>
      </c>
      <c r="Z126" s="35">
        <f t="shared" si="141"/>
        <v>0</v>
      </c>
      <c r="AB126" s="35">
        <f t="shared" si="142"/>
        <v>0</v>
      </c>
      <c r="AC126" s="35">
        <f t="shared" si="143"/>
        <v>0</v>
      </c>
      <c r="AD126" s="35">
        <f t="shared" si="144"/>
        <v>0</v>
      </c>
      <c r="AE126" s="35">
        <f t="shared" si="145"/>
        <v>0</v>
      </c>
      <c r="AF126" s="35">
        <f t="shared" si="146"/>
        <v>0</v>
      </c>
      <c r="AG126" s="35">
        <f t="shared" si="147"/>
        <v>0</v>
      </c>
      <c r="AH126" s="35">
        <f t="shared" si="148"/>
        <v>0</v>
      </c>
      <c r="AI126" s="12" t="s">
        <v>215</v>
      </c>
      <c r="AJ126" s="35">
        <f t="shared" si="149"/>
        <v>0</v>
      </c>
      <c r="AK126" s="35">
        <f t="shared" si="150"/>
        <v>0</v>
      </c>
      <c r="AL126" s="35">
        <f t="shared" si="151"/>
        <v>0</v>
      </c>
      <c r="AN126" s="35">
        <v>21</v>
      </c>
      <c r="AO126" s="35">
        <f>H126*0.685262295</f>
        <v>0</v>
      </c>
      <c r="AP126" s="35">
        <f>H126*(1-0.685262295)</f>
        <v>0</v>
      </c>
      <c r="AQ126" s="38" t="s">
        <v>65</v>
      </c>
      <c r="AV126" s="35">
        <f t="shared" si="152"/>
        <v>0</v>
      </c>
      <c r="AW126" s="35">
        <f t="shared" si="153"/>
        <v>0</v>
      </c>
      <c r="AX126" s="35">
        <f t="shared" si="154"/>
        <v>0</v>
      </c>
      <c r="AY126" s="38" t="s">
        <v>406</v>
      </c>
      <c r="AZ126" s="38" t="s">
        <v>364</v>
      </c>
      <c r="BA126" s="12" t="s">
        <v>225</v>
      </c>
      <c r="BC126" s="35">
        <f t="shared" si="155"/>
        <v>0</v>
      </c>
      <c r="BD126" s="35">
        <f t="shared" si="156"/>
        <v>0</v>
      </c>
      <c r="BE126" s="35">
        <v>0</v>
      </c>
      <c r="BF126" s="35">
        <f t="shared" si="157"/>
        <v>0.13705999999999999</v>
      </c>
      <c r="BH126" s="35">
        <f t="shared" si="158"/>
        <v>0</v>
      </c>
      <c r="BI126" s="35">
        <f t="shared" si="159"/>
        <v>0</v>
      </c>
      <c r="BJ126" s="35">
        <f t="shared" si="160"/>
        <v>0</v>
      </c>
      <c r="BK126" s="38" t="s">
        <v>69</v>
      </c>
      <c r="BL126" s="35">
        <v>732</v>
      </c>
      <c r="BW126" s="35">
        <f t="shared" si="161"/>
        <v>21</v>
      </c>
      <c r="BX126" s="4" t="s">
        <v>415</v>
      </c>
    </row>
    <row r="127" spans="1:76" x14ac:dyDescent="0.25">
      <c r="A127" s="2" t="s">
        <v>416</v>
      </c>
      <c r="B127" s="3" t="s">
        <v>215</v>
      </c>
      <c r="C127" s="3" t="s">
        <v>417</v>
      </c>
      <c r="D127" s="70" t="s">
        <v>418</v>
      </c>
      <c r="E127" s="71"/>
      <c r="F127" s="3" t="s">
        <v>85</v>
      </c>
      <c r="G127" s="35">
        <v>8</v>
      </c>
      <c r="H127" s="68">
        <v>0</v>
      </c>
      <c r="I127" s="36">
        <v>21</v>
      </c>
      <c r="J127" s="35">
        <f t="shared" si="136"/>
        <v>0</v>
      </c>
      <c r="K127" s="35">
        <f t="shared" si="137"/>
        <v>0</v>
      </c>
      <c r="L127" s="35">
        <f t="shared" si="138"/>
        <v>0</v>
      </c>
      <c r="M127" s="35">
        <f t="shared" si="139"/>
        <v>0</v>
      </c>
      <c r="N127" s="35">
        <v>2.65E-3</v>
      </c>
      <c r="O127" s="35">
        <f t="shared" si="140"/>
        <v>2.12E-2</v>
      </c>
      <c r="P127" s="37" t="s">
        <v>64</v>
      </c>
      <c r="Z127" s="35">
        <f t="shared" si="141"/>
        <v>0</v>
      </c>
      <c r="AB127" s="35">
        <f t="shared" si="142"/>
        <v>0</v>
      </c>
      <c r="AC127" s="35">
        <f t="shared" si="143"/>
        <v>0</v>
      </c>
      <c r="AD127" s="35">
        <f t="shared" si="144"/>
        <v>0</v>
      </c>
      <c r="AE127" s="35">
        <f t="shared" si="145"/>
        <v>0</v>
      </c>
      <c r="AF127" s="35">
        <f t="shared" si="146"/>
        <v>0</v>
      </c>
      <c r="AG127" s="35">
        <f t="shared" si="147"/>
        <v>0</v>
      </c>
      <c r="AH127" s="35">
        <f t="shared" si="148"/>
        <v>0</v>
      </c>
      <c r="AI127" s="12" t="s">
        <v>215</v>
      </c>
      <c r="AJ127" s="35">
        <f t="shared" si="149"/>
        <v>0</v>
      </c>
      <c r="AK127" s="35">
        <f t="shared" si="150"/>
        <v>0</v>
      </c>
      <c r="AL127" s="35">
        <f t="shared" si="151"/>
        <v>0</v>
      </c>
      <c r="AN127" s="35">
        <v>21</v>
      </c>
      <c r="AO127" s="35">
        <f>H127*0.523801066</f>
        <v>0</v>
      </c>
      <c r="AP127" s="35">
        <f>H127*(1-0.523801066)</f>
        <v>0</v>
      </c>
      <c r="AQ127" s="38" t="s">
        <v>65</v>
      </c>
      <c r="AV127" s="35">
        <f t="shared" si="152"/>
        <v>0</v>
      </c>
      <c r="AW127" s="35">
        <f t="shared" si="153"/>
        <v>0</v>
      </c>
      <c r="AX127" s="35">
        <f t="shared" si="154"/>
        <v>0</v>
      </c>
      <c r="AY127" s="38" t="s">
        <v>406</v>
      </c>
      <c r="AZ127" s="38" t="s">
        <v>364</v>
      </c>
      <c r="BA127" s="12" t="s">
        <v>225</v>
      </c>
      <c r="BC127" s="35">
        <f t="shared" si="155"/>
        <v>0</v>
      </c>
      <c r="BD127" s="35">
        <f t="shared" si="156"/>
        <v>0</v>
      </c>
      <c r="BE127" s="35">
        <v>0</v>
      </c>
      <c r="BF127" s="35">
        <f t="shared" si="157"/>
        <v>2.12E-2</v>
      </c>
      <c r="BH127" s="35">
        <f t="shared" si="158"/>
        <v>0</v>
      </c>
      <c r="BI127" s="35">
        <f t="shared" si="159"/>
        <v>0</v>
      </c>
      <c r="BJ127" s="35">
        <f t="shared" si="160"/>
        <v>0</v>
      </c>
      <c r="BK127" s="38" t="s">
        <v>69</v>
      </c>
      <c r="BL127" s="35">
        <v>732</v>
      </c>
      <c r="BW127" s="35">
        <f t="shared" si="161"/>
        <v>21</v>
      </c>
      <c r="BX127" s="4" t="s">
        <v>418</v>
      </c>
    </row>
    <row r="128" spans="1:76" x14ac:dyDescent="0.25">
      <c r="A128" s="2" t="s">
        <v>419</v>
      </c>
      <c r="B128" s="3" t="s">
        <v>215</v>
      </c>
      <c r="C128" s="3" t="s">
        <v>420</v>
      </c>
      <c r="D128" s="70" t="s">
        <v>421</v>
      </c>
      <c r="E128" s="71"/>
      <c r="F128" s="3" t="s">
        <v>130</v>
      </c>
      <c r="G128" s="35">
        <v>30</v>
      </c>
      <c r="H128" s="68">
        <v>0</v>
      </c>
      <c r="I128" s="36">
        <v>21</v>
      </c>
      <c r="J128" s="35">
        <f t="shared" si="136"/>
        <v>0</v>
      </c>
      <c r="K128" s="35">
        <f t="shared" si="137"/>
        <v>0</v>
      </c>
      <c r="L128" s="35">
        <f t="shared" si="138"/>
        <v>0</v>
      </c>
      <c r="M128" s="35">
        <f t="shared" si="139"/>
        <v>0</v>
      </c>
      <c r="N128" s="35">
        <v>1.1299999999999999E-3</v>
      </c>
      <c r="O128" s="35">
        <f t="shared" si="140"/>
        <v>3.39E-2</v>
      </c>
      <c r="P128" s="37" t="s">
        <v>64</v>
      </c>
      <c r="Z128" s="35">
        <f t="shared" si="141"/>
        <v>0</v>
      </c>
      <c r="AB128" s="35">
        <f t="shared" si="142"/>
        <v>0</v>
      </c>
      <c r="AC128" s="35">
        <f t="shared" si="143"/>
        <v>0</v>
      </c>
      <c r="AD128" s="35">
        <f t="shared" si="144"/>
        <v>0</v>
      </c>
      <c r="AE128" s="35">
        <f t="shared" si="145"/>
        <v>0</v>
      </c>
      <c r="AF128" s="35">
        <f t="shared" si="146"/>
        <v>0</v>
      </c>
      <c r="AG128" s="35">
        <f t="shared" si="147"/>
        <v>0</v>
      </c>
      <c r="AH128" s="35">
        <f t="shared" si="148"/>
        <v>0</v>
      </c>
      <c r="AI128" s="12" t="s">
        <v>215</v>
      </c>
      <c r="AJ128" s="35">
        <f t="shared" si="149"/>
        <v>0</v>
      </c>
      <c r="AK128" s="35">
        <f t="shared" si="150"/>
        <v>0</v>
      </c>
      <c r="AL128" s="35">
        <f t="shared" si="151"/>
        <v>0</v>
      </c>
      <c r="AN128" s="35">
        <v>21</v>
      </c>
      <c r="AO128" s="35">
        <f>H128*0.750563219</f>
        <v>0</v>
      </c>
      <c r="AP128" s="35">
        <f>H128*(1-0.750563219)</f>
        <v>0</v>
      </c>
      <c r="AQ128" s="38" t="s">
        <v>65</v>
      </c>
      <c r="AV128" s="35">
        <f t="shared" si="152"/>
        <v>0</v>
      </c>
      <c r="AW128" s="35">
        <f t="shared" si="153"/>
        <v>0</v>
      </c>
      <c r="AX128" s="35">
        <f t="shared" si="154"/>
        <v>0</v>
      </c>
      <c r="AY128" s="38" t="s">
        <v>406</v>
      </c>
      <c r="AZ128" s="38" t="s">
        <v>364</v>
      </c>
      <c r="BA128" s="12" t="s">
        <v>225</v>
      </c>
      <c r="BC128" s="35">
        <f t="shared" si="155"/>
        <v>0</v>
      </c>
      <c r="BD128" s="35">
        <f t="shared" si="156"/>
        <v>0</v>
      </c>
      <c r="BE128" s="35">
        <v>0</v>
      </c>
      <c r="BF128" s="35">
        <f t="shared" si="157"/>
        <v>3.39E-2</v>
      </c>
      <c r="BH128" s="35">
        <f t="shared" si="158"/>
        <v>0</v>
      </c>
      <c r="BI128" s="35">
        <f t="shared" si="159"/>
        <v>0</v>
      </c>
      <c r="BJ128" s="35">
        <f t="shared" si="160"/>
        <v>0</v>
      </c>
      <c r="BK128" s="38" t="s">
        <v>69</v>
      </c>
      <c r="BL128" s="35">
        <v>732</v>
      </c>
      <c r="BW128" s="35">
        <f t="shared" si="161"/>
        <v>21</v>
      </c>
      <c r="BX128" s="4" t="s">
        <v>421</v>
      </c>
    </row>
    <row r="129" spans="1:76" x14ac:dyDescent="0.25">
      <c r="A129" s="2" t="s">
        <v>422</v>
      </c>
      <c r="B129" s="3" t="s">
        <v>215</v>
      </c>
      <c r="C129" s="3" t="s">
        <v>423</v>
      </c>
      <c r="D129" s="70" t="s">
        <v>424</v>
      </c>
      <c r="E129" s="71"/>
      <c r="F129" s="3" t="s">
        <v>85</v>
      </c>
      <c r="G129" s="35">
        <v>2</v>
      </c>
      <c r="H129" s="68">
        <v>0</v>
      </c>
      <c r="I129" s="36">
        <v>21</v>
      </c>
      <c r="J129" s="35">
        <f t="shared" si="136"/>
        <v>0</v>
      </c>
      <c r="K129" s="35">
        <f t="shared" si="137"/>
        <v>0</v>
      </c>
      <c r="L129" s="35">
        <f t="shared" si="138"/>
        <v>0</v>
      </c>
      <c r="M129" s="35">
        <f t="shared" si="139"/>
        <v>0</v>
      </c>
      <c r="N129" s="35">
        <v>0</v>
      </c>
      <c r="O129" s="35">
        <f t="shared" si="140"/>
        <v>0</v>
      </c>
      <c r="P129" s="37" t="s">
        <v>64</v>
      </c>
      <c r="Z129" s="35">
        <f t="shared" si="141"/>
        <v>0</v>
      </c>
      <c r="AB129" s="35">
        <f t="shared" si="142"/>
        <v>0</v>
      </c>
      <c r="AC129" s="35">
        <f t="shared" si="143"/>
        <v>0</v>
      </c>
      <c r="AD129" s="35">
        <f t="shared" si="144"/>
        <v>0</v>
      </c>
      <c r="AE129" s="35">
        <f t="shared" si="145"/>
        <v>0</v>
      </c>
      <c r="AF129" s="35">
        <f t="shared" si="146"/>
        <v>0</v>
      </c>
      <c r="AG129" s="35">
        <f t="shared" si="147"/>
        <v>0</v>
      </c>
      <c r="AH129" s="35">
        <f t="shared" si="148"/>
        <v>0</v>
      </c>
      <c r="AI129" s="12" t="s">
        <v>215</v>
      </c>
      <c r="AJ129" s="35">
        <f t="shared" si="149"/>
        <v>0</v>
      </c>
      <c r="AK129" s="35">
        <f t="shared" si="150"/>
        <v>0</v>
      </c>
      <c r="AL129" s="35">
        <f t="shared" si="151"/>
        <v>0</v>
      </c>
      <c r="AN129" s="35">
        <v>21</v>
      </c>
      <c r="AO129" s="35">
        <f>H129*0</f>
        <v>0</v>
      </c>
      <c r="AP129" s="35">
        <f>H129*(1-0)</f>
        <v>0</v>
      </c>
      <c r="AQ129" s="38" t="s">
        <v>65</v>
      </c>
      <c r="AV129" s="35">
        <f t="shared" si="152"/>
        <v>0</v>
      </c>
      <c r="AW129" s="35">
        <f t="shared" si="153"/>
        <v>0</v>
      </c>
      <c r="AX129" s="35">
        <f t="shared" si="154"/>
        <v>0</v>
      </c>
      <c r="AY129" s="38" t="s">
        <v>406</v>
      </c>
      <c r="AZ129" s="38" t="s">
        <v>364</v>
      </c>
      <c r="BA129" s="12" t="s">
        <v>225</v>
      </c>
      <c r="BC129" s="35">
        <f t="shared" si="155"/>
        <v>0</v>
      </c>
      <c r="BD129" s="35">
        <f t="shared" si="156"/>
        <v>0</v>
      </c>
      <c r="BE129" s="35">
        <v>0</v>
      </c>
      <c r="BF129" s="35">
        <f t="shared" si="157"/>
        <v>0</v>
      </c>
      <c r="BH129" s="35">
        <f t="shared" si="158"/>
        <v>0</v>
      </c>
      <c r="BI129" s="35">
        <f t="shared" si="159"/>
        <v>0</v>
      </c>
      <c r="BJ129" s="35">
        <f t="shared" si="160"/>
        <v>0</v>
      </c>
      <c r="BK129" s="38" t="s">
        <v>69</v>
      </c>
      <c r="BL129" s="35">
        <v>732</v>
      </c>
      <c r="BW129" s="35">
        <f t="shared" si="161"/>
        <v>21</v>
      </c>
      <c r="BX129" s="4" t="s">
        <v>424</v>
      </c>
    </row>
    <row r="130" spans="1:76" x14ac:dyDescent="0.25">
      <c r="A130" s="2" t="s">
        <v>425</v>
      </c>
      <c r="B130" s="3" t="s">
        <v>215</v>
      </c>
      <c r="C130" s="3" t="s">
        <v>426</v>
      </c>
      <c r="D130" s="70" t="s">
        <v>427</v>
      </c>
      <c r="E130" s="71"/>
      <c r="F130" s="3" t="s">
        <v>130</v>
      </c>
      <c r="G130" s="35">
        <v>2</v>
      </c>
      <c r="H130" s="68">
        <v>0</v>
      </c>
      <c r="I130" s="36">
        <v>21</v>
      </c>
      <c r="J130" s="35">
        <f t="shared" si="136"/>
        <v>0</v>
      </c>
      <c r="K130" s="35">
        <f t="shared" si="137"/>
        <v>0</v>
      </c>
      <c r="L130" s="35">
        <f t="shared" si="138"/>
        <v>0</v>
      </c>
      <c r="M130" s="35">
        <f t="shared" si="139"/>
        <v>0</v>
      </c>
      <c r="N130" s="35">
        <v>7.5300000000000002E-3</v>
      </c>
      <c r="O130" s="35">
        <f t="shared" si="140"/>
        <v>1.506E-2</v>
      </c>
      <c r="P130" s="37" t="s">
        <v>64</v>
      </c>
      <c r="Z130" s="35">
        <f t="shared" si="141"/>
        <v>0</v>
      </c>
      <c r="AB130" s="35">
        <f t="shared" si="142"/>
        <v>0</v>
      </c>
      <c r="AC130" s="35">
        <f t="shared" si="143"/>
        <v>0</v>
      </c>
      <c r="AD130" s="35">
        <f t="shared" si="144"/>
        <v>0</v>
      </c>
      <c r="AE130" s="35">
        <f t="shared" si="145"/>
        <v>0</v>
      </c>
      <c r="AF130" s="35">
        <f t="shared" si="146"/>
        <v>0</v>
      </c>
      <c r="AG130" s="35">
        <f t="shared" si="147"/>
        <v>0</v>
      </c>
      <c r="AH130" s="35">
        <f t="shared" si="148"/>
        <v>0</v>
      </c>
      <c r="AI130" s="12" t="s">
        <v>215</v>
      </c>
      <c r="AJ130" s="35">
        <f t="shared" si="149"/>
        <v>0</v>
      </c>
      <c r="AK130" s="35">
        <f t="shared" si="150"/>
        <v>0</v>
      </c>
      <c r="AL130" s="35">
        <f t="shared" si="151"/>
        <v>0</v>
      </c>
      <c r="AN130" s="35">
        <v>21</v>
      </c>
      <c r="AO130" s="35">
        <f>H130*0.935337017</f>
        <v>0</v>
      </c>
      <c r="AP130" s="35">
        <f>H130*(1-0.935337017)</f>
        <v>0</v>
      </c>
      <c r="AQ130" s="38" t="s">
        <v>65</v>
      </c>
      <c r="AV130" s="35">
        <f t="shared" si="152"/>
        <v>0</v>
      </c>
      <c r="AW130" s="35">
        <f t="shared" si="153"/>
        <v>0</v>
      </c>
      <c r="AX130" s="35">
        <f t="shared" si="154"/>
        <v>0</v>
      </c>
      <c r="AY130" s="38" t="s">
        <v>406</v>
      </c>
      <c r="AZ130" s="38" t="s">
        <v>364</v>
      </c>
      <c r="BA130" s="12" t="s">
        <v>225</v>
      </c>
      <c r="BC130" s="35">
        <f t="shared" si="155"/>
        <v>0</v>
      </c>
      <c r="BD130" s="35">
        <f t="shared" si="156"/>
        <v>0</v>
      </c>
      <c r="BE130" s="35">
        <v>0</v>
      </c>
      <c r="BF130" s="35">
        <f t="shared" si="157"/>
        <v>1.506E-2</v>
      </c>
      <c r="BH130" s="35">
        <f t="shared" si="158"/>
        <v>0</v>
      </c>
      <c r="BI130" s="35">
        <f t="shared" si="159"/>
        <v>0</v>
      </c>
      <c r="BJ130" s="35">
        <f t="shared" si="160"/>
        <v>0</v>
      </c>
      <c r="BK130" s="38" t="s">
        <v>69</v>
      </c>
      <c r="BL130" s="35">
        <v>732</v>
      </c>
      <c r="BW130" s="35">
        <f t="shared" si="161"/>
        <v>21</v>
      </c>
      <c r="BX130" s="4" t="s">
        <v>427</v>
      </c>
    </row>
    <row r="131" spans="1:76" x14ac:dyDescent="0.25">
      <c r="A131" s="2" t="s">
        <v>428</v>
      </c>
      <c r="B131" s="3" t="s">
        <v>215</v>
      </c>
      <c r="C131" s="3" t="s">
        <v>429</v>
      </c>
      <c r="D131" s="70" t="s">
        <v>430</v>
      </c>
      <c r="E131" s="71"/>
      <c r="F131" s="3" t="s">
        <v>130</v>
      </c>
      <c r="G131" s="35">
        <v>2</v>
      </c>
      <c r="H131" s="68">
        <v>0</v>
      </c>
      <c r="I131" s="36">
        <v>21</v>
      </c>
      <c r="J131" s="35">
        <f t="shared" si="136"/>
        <v>0</v>
      </c>
      <c r="K131" s="35">
        <f t="shared" si="137"/>
        <v>0</v>
      </c>
      <c r="L131" s="35">
        <f t="shared" si="138"/>
        <v>0</v>
      </c>
      <c r="M131" s="35">
        <f t="shared" si="139"/>
        <v>0</v>
      </c>
      <c r="N131" s="35">
        <v>5.2999999999999998E-4</v>
      </c>
      <c r="O131" s="35">
        <f t="shared" si="140"/>
        <v>1.06E-3</v>
      </c>
      <c r="P131" s="37" t="s">
        <v>64</v>
      </c>
      <c r="Z131" s="35">
        <f t="shared" si="141"/>
        <v>0</v>
      </c>
      <c r="AB131" s="35">
        <f t="shared" si="142"/>
        <v>0</v>
      </c>
      <c r="AC131" s="35">
        <f t="shared" si="143"/>
        <v>0</v>
      </c>
      <c r="AD131" s="35">
        <f t="shared" si="144"/>
        <v>0</v>
      </c>
      <c r="AE131" s="35">
        <f t="shared" si="145"/>
        <v>0</v>
      </c>
      <c r="AF131" s="35">
        <f t="shared" si="146"/>
        <v>0</v>
      </c>
      <c r="AG131" s="35">
        <f t="shared" si="147"/>
        <v>0</v>
      </c>
      <c r="AH131" s="35">
        <f t="shared" si="148"/>
        <v>0</v>
      </c>
      <c r="AI131" s="12" t="s">
        <v>215</v>
      </c>
      <c r="AJ131" s="35">
        <f t="shared" si="149"/>
        <v>0</v>
      </c>
      <c r="AK131" s="35">
        <f t="shared" si="150"/>
        <v>0</v>
      </c>
      <c r="AL131" s="35">
        <f t="shared" si="151"/>
        <v>0</v>
      </c>
      <c r="AN131" s="35">
        <v>21</v>
      </c>
      <c r="AO131" s="35">
        <f>H131*0.482886598</f>
        <v>0</v>
      </c>
      <c r="AP131" s="35">
        <f>H131*(1-0.482886598)</f>
        <v>0</v>
      </c>
      <c r="AQ131" s="38" t="s">
        <v>65</v>
      </c>
      <c r="AV131" s="35">
        <f t="shared" si="152"/>
        <v>0</v>
      </c>
      <c r="AW131" s="35">
        <f t="shared" si="153"/>
        <v>0</v>
      </c>
      <c r="AX131" s="35">
        <f t="shared" si="154"/>
        <v>0</v>
      </c>
      <c r="AY131" s="38" t="s">
        <v>406</v>
      </c>
      <c r="AZ131" s="38" t="s">
        <v>364</v>
      </c>
      <c r="BA131" s="12" t="s">
        <v>225</v>
      </c>
      <c r="BC131" s="35">
        <f t="shared" si="155"/>
        <v>0</v>
      </c>
      <c r="BD131" s="35">
        <f t="shared" si="156"/>
        <v>0</v>
      </c>
      <c r="BE131" s="35">
        <v>0</v>
      </c>
      <c r="BF131" s="35">
        <f t="shared" si="157"/>
        <v>1.06E-3</v>
      </c>
      <c r="BH131" s="35">
        <f t="shared" si="158"/>
        <v>0</v>
      </c>
      <c r="BI131" s="35">
        <f t="shared" si="159"/>
        <v>0</v>
      </c>
      <c r="BJ131" s="35">
        <f t="shared" si="160"/>
        <v>0</v>
      </c>
      <c r="BK131" s="38" t="s">
        <v>69</v>
      </c>
      <c r="BL131" s="35">
        <v>732</v>
      </c>
      <c r="BW131" s="35">
        <f t="shared" si="161"/>
        <v>21</v>
      </c>
      <c r="BX131" s="4" t="s">
        <v>430</v>
      </c>
    </row>
    <row r="132" spans="1:76" x14ac:dyDescent="0.25">
      <c r="A132" s="2" t="s">
        <v>431</v>
      </c>
      <c r="B132" s="3" t="s">
        <v>215</v>
      </c>
      <c r="C132" s="3" t="s">
        <v>432</v>
      </c>
      <c r="D132" s="70" t="s">
        <v>433</v>
      </c>
      <c r="E132" s="71"/>
      <c r="F132" s="3" t="s">
        <v>130</v>
      </c>
      <c r="G132" s="35">
        <v>2</v>
      </c>
      <c r="H132" s="68">
        <v>0</v>
      </c>
      <c r="I132" s="36">
        <v>21</v>
      </c>
      <c r="J132" s="35">
        <f t="shared" si="136"/>
        <v>0</v>
      </c>
      <c r="K132" s="35">
        <f t="shared" si="137"/>
        <v>0</v>
      </c>
      <c r="L132" s="35">
        <f t="shared" si="138"/>
        <v>0</v>
      </c>
      <c r="M132" s="35">
        <f t="shared" si="139"/>
        <v>0</v>
      </c>
      <c r="N132" s="35">
        <v>1.8759999999999999E-2</v>
      </c>
      <c r="O132" s="35">
        <f t="shared" si="140"/>
        <v>3.7519999999999998E-2</v>
      </c>
      <c r="P132" s="37" t="s">
        <v>64</v>
      </c>
      <c r="Z132" s="35">
        <f t="shared" si="141"/>
        <v>0</v>
      </c>
      <c r="AB132" s="35">
        <f t="shared" si="142"/>
        <v>0</v>
      </c>
      <c r="AC132" s="35">
        <f t="shared" si="143"/>
        <v>0</v>
      </c>
      <c r="AD132" s="35">
        <f t="shared" si="144"/>
        <v>0</v>
      </c>
      <c r="AE132" s="35">
        <f t="shared" si="145"/>
        <v>0</v>
      </c>
      <c r="AF132" s="35">
        <f t="shared" si="146"/>
        <v>0</v>
      </c>
      <c r="AG132" s="35">
        <f t="shared" si="147"/>
        <v>0</v>
      </c>
      <c r="AH132" s="35">
        <f t="shared" si="148"/>
        <v>0</v>
      </c>
      <c r="AI132" s="12" t="s">
        <v>215</v>
      </c>
      <c r="AJ132" s="35">
        <f t="shared" si="149"/>
        <v>0</v>
      </c>
      <c r="AK132" s="35">
        <f t="shared" si="150"/>
        <v>0</v>
      </c>
      <c r="AL132" s="35">
        <f t="shared" si="151"/>
        <v>0</v>
      </c>
      <c r="AN132" s="35">
        <v>21</v>
      </c>
      <c r="AO132" s="35">
        <f>H132*0.895185557</f>
        <v>0</v>
      </c>
      <c r="AP132" s="35">
        <f>H132*(1-0.895185557)</f>
        <v>0</v>
      </c>
      <c r="AQ132" s="38" t="s">
        <v>65</v>
      </c>
      <c r="AV132" s="35">
        <f t="shared" si="152"/>
        <v>0</v>
      </c>
      <c r="AW132" s="35">
        <f t="shared" si="153"/>
        <v>0</v>
      </c>
      <c r="AX132" s="35">
        <f t="shared" si="154"/>
        <v>0</v>
      </c>
      <c r="AY132" s="38" t="s">
        <v>406</v>
      </c>
      <c r="AZ132" s="38" t="s">
        <v>364</v>
      </c>
      <c r="BA132" s="12" t="s">
        <v>225</v>
      </c>
      <c r="BC132" s="35">
        <f t="shared" si="155"/>
        <v>0</v>
      </c>
      <c r="BD132" s="35">
        <f t="shared" si="156"/>
        <v>0</v>
      </c>
      <c r="BE132" s="35">
        <v>0</v>
      </c>
      <c r="BF132" s="35">
        <f t="shared" si="157"/>
        <v>3.7519999999999998E-2</v>
      </c>
      <c r="BH132" s="35">
        <f t="shared" si="158"/>
        <v>0</v>
      </c>
      <c r="BI132" s="35">
        <f t="shared" si="159"/>
        <v>0</v>
      </c>
      <c r="BJ132" s="35">
        <f t="shared" si="160"/>
        <v>0</v>
      </c>
      <c r="BK132" s="38" t="s">
        <v>69</v>
      </c>
      <c r="BL132" s="35">
        <v>732</v>
      </c>
      <c r="BW132" s="35">
        <f t="shared" si="161"/>
        <v>21</v>
      </c>
      <c r="BX132" s="4" t="s">
        <v>433</v>
      </c>
    </row>
    <row r="133" spans="1:76" x14ac:dyDescent="0.25">
      <c r="A133" s="2" t="s">
        <v>434</v>
      </c>
      <c r="B133" s="3" t="s">
        <v>215</v>
      </c>
      <c r="C133" s="3" t="s">
        <v>435</v>
      </c>
      <c r="D133" s="70" t="s">
        <v>436</v>
      </c>
      <c r="E133" s="71"/>
      <c r="F133" s="3" t="s">
        <v>130</v>
      </c>
      <c r="G133" s="35">
        <v>2</v>
      </c>
      <c r="H133" s="68">
        <v>0</v>
      </c>
      <c r="I133" s="36">
        <v>21</v>
      </c>
      <c r="J133" s="35">
        <f t="shared" si="136"/>
        <v>0</v>
      </c>
      <c r="K133" s="35">
        <f t="shared" si="137"/>
        <v>0</v>
      </c>
      <c r="L133" s="35">
        <f t="shared" si="138"/>
        <v>0</v>
      </c>
      <c r="M133" s="35">
        <f t="shared" si="139"/>
        <v>0</v>
      </c>
      <c r="N133" s="35">
        <v>4.7600000000000003E-3</v>
      </c>
      <c r="O133" s="35">
        <f t="shared" si="140"/>
        <v>9.5200000000000007E-3</v>
      </c>
      <c r="P133" s="37" t="s">
        <v>64</v>
      </c>
      <c r="Z133" s="35">
        <f t="shared" si="141"/>
        <v>0</v>
      </c>
      <c r="AB133" s="35">
        <f t="shared" si="142"/>
        <v>0</v>
      </c>
      <c r="AC133" s="35">
        <f t="shared" si="143"/>
        <v>0</v>
      </c>
      <c r="AD133" s="35">
        <f t="shared" si="144"/>
        <v>0</v>
      </c>
      <c r="AE133" s="35">
        <f t="shared" si="145"/>
        <v>0</v>
      </c>
      <c r="AF133" s="35">
        <f t="shared" si="146"/>
        <v>0</v>
      </c>
      <c r="AG133" s="35">
        <f t="shared" si="147"/>
        <v>0</v>
      </c>
      <c r="AH133" s="35">
        <f t="shared" si="148"/>
        <v>0</v>
      </c>
      <c r="AI133" s="12" t="s">
        <v>215</v>
      </c>
      <c r="AJ133" s="35">
        <f t="shared" si="149"/>
        <v>0</v>
      </c>
      <c r="AK133" s="35">
        <f t="shared" si="150"/>
        <v>0</v>
      </c>
      <c r="AL133" s="35">
        <f t="shared" si="151"/>
        <v>0</v>
      </c>
      <c r="AN133" s="35">
        <v>21</v>
      </c>
      <c r="AO133" s="35">
        <f>H133*0.282194787</f>
        <v>0</v>
      </c>
      <c r="AP133" s="35">
        <f>H133*(1-0.282194787)</f>
        <v>0</v>
      </c>
      <c r="AQ133" s="38" t="s">
        <v>65</v>
      </c>
      <c r="AV133" s="35">
        <f t="shared" si="152"/>
        <v>0</v>
      </c>
      <c r="AW133" s="35">
        <f t="shared" si="153"/>
        <v>0</v>
      </c>
      <c r="AX133" s="35">
        <f t="shared" si="154"/>
        <v>0</v>
      </c>
      <c r="AY133" s="38" t="s">
        <v>406</v>
      </c>
      <c r="AZ133" s="38" t="s">
        <v>364</v>
      </c>
      <c r="BA133" s="12" t="s">
        <v>225</v>
      </c>
      <c r="BC133" s="35">
        <f t="shared" si="155"/>
        <v>0</v>
      </c>
      <c r="BD133" s="35">
        <f t="shared" si="156"/>
        <v>0</v>
      </c>
      <c r="BE133" s="35">
        <v>0</v>
      </c>
      <c r="BF133" s="35">
        <f t="shared" si="157"/>
        <v>9.5200000000000007E-3</v>
      </c>
      <c r="BH133" s="35">
        <f t="shared" si="158"/>
        <v>0</v>
      </c>
      <c r="BI133" s="35">
        <f t="shared" si="159"/>
        <v>0</v>
      </c>
      <c r="BJ133" s="35">
        <f t="shared" si="160"/>
        <v>0</v>
      </c>
      <c r="BK133" s="38" t="s">
        <v>69</v>
      </c>
      <c r="BL133" s="35">
        <v>732</v>
      </c>
      <c r="BW133" s="35">
        <f t="shared" si="161"/>
        <v>21</v>
      </c>
      <c r="BX133" s="4" t="s">
        <v>436</v>
      </c>
    </row>
    <row r="134" spans="1:76" x14ac:dyDescent="0.25">
      <c r="A134" s="2" t="s">
        <v>437</v>
      </c>
      <c r="B134" s="3" t="s">
        <v>215</v>
      </c>
      <c r="C134" s="3" t="s">
        <v>438</v>
      </c>
      <c r="D134" s="70" t="s">
        <v>439</v>
      </c>
      <c r="E134" s="71"/>
      <c r="F134" s="3" t="s">
        <v>85</v>
      </c>
      <c r="G134" s="35">
        <v>2</v>
      </c>
      <c r="H134" s="68">
        <v>0</v>
      </c>
      <c r="I134" s="36">
        <v>21</v>
      </c>
      <c r="J134" s="35">
        <f t="shared" si="136"/>
        <v>0</v>
      </c>
      <c r="K134" s="35">
        <f t="shared" si="137"/>
        <v>0</v>
      </c>
      <c r="L134" s="35">
        <f t="shared" si="138"/>
        <v>0</v>
      </c>
      <c r="M134" s="35">
        <f t="shared" si="139"/>
        <v>0</v>
      </c>
      <c r="N134" s="35">
        <v>1.0079</v>
      </c>
      <c r="O134" s="35">
        <f t="shared" si="140"/>
        <v>2.0158</v>
      </c>
      <c r="P134" s="37" t="s">
        <v>64</v>
      </c>
      <c r="Z134" s="35">
        <f t="shared" si="141"/>
        <v>0</v>
      </c>
      <c r="AB134" s="35">
        <f t="shared" si="142"/>
        <v>0</v>
      </c>
      <c r="AC134" s="35">
        <f t="shared" si="143"/>
        <v>0</v>
      </c>
      <c r="AD134" s="35">
        <f t="shared" si="144"/>
        <v>0</v>
      </c>
      <c r="AE134" s="35">
        <f t="shared" si="145"/>
        <v>0</v>
      </c>
      <c r="AF134" s="35">
        <f t="shared" si="146"/>
        <v>0</v>
      </c>
      <c r="AG134" s="35">
        <f t="shared" si="147"/>
        <v>0</v>
      </c>
      <c r="AH134" s="35">
        <f t="shared" si="148"/>
        <v>0</v>
      </c>
      <c r="AI134" s="12" t="s">
        <v>215</v>
      </c>
      <c r="AJ134" s="35">
        <f t="shared" si="149"/>
        <v>0</v>
      </c>
      <c r="AK134" s="35">
        <f t="shared" si="150"/>
        <v>0</v>
      </c>
      <c r="AL134" s="35">
        <f t="shared" si="151"/>
        <v>0</v>
      </c>
      <c r="AN134" s="35">
        <v>21</v>
      </c>
      <c r="AO134" s="35">
        <f>H134*0</f>
        <v>0</v>
      </c>
      <c r="AP134" s="35">
        <f>H134*(1-0)</f>
        <v>0</v>
      </c>
      <c r="AQ134" s="38" t="s">
        <v>65</v>
      </c>
      <c r="AV134" s="35">
        <f t="shared" si="152"/>
        <v>0</v>
      </c>
      <c r="AW134" s="35">
        <f t="shared" si="153"/>
        <v>0</v>
      </c>
      <c r="AX134" s="35">
        <f t="shared" si="154"/>
        <v>0</v>
      </c>
      <c r="AY134" s="38" t="s">
        <v>406</v>
      </c>
      <c r="AZ134" s="38" t="s">
        <v>364</v>
      </c>
      <c r="BA134" s="12" t="s">
        <v>225</v>
      </c>
      <c r="BC134" s="35">
        <f t="shared" si="155"/>
        <v>0</v>
      </c>
      <c r="BD134" s="35">
        <f t="shared" si="156"/>
        <v>0</v>
      </c>
      <c r="BE134" s="35">
        <v>0</v>
      </c>
      <c r="BF134" s="35">
        <f t="shared" si="157"/>
        <v>2.0158</v>
      </c>
      <c r="BH134" s="35">
        <f t="shared" si="158"/>
        <v>0</v>
      </c>
      <c r="BI134" s="35">
        <f t="shared" si="159"/>
        <v>0</v>
      </c>
      <c r="BJ134" s="35">
        <f t="shared" si="160"/>
        <v>0</v>
      </c>
      <c r="BK134" s="38" t="s">
        <v>69</v>
      </c>
      <c r="BL134" s="35">
        <v>732</v>
      </c>
      <c r="BW134" s="35">
        <f t="shared" si="161"/>
        <v>21</v>
      </c>
      <c r="BX134" s="4" t="s">
        <v>439</v>
      </c>
    </row>
    <row r="135" spans="1:76" x14ac:dyDescent="0.25">
      <c r="A135" s="2" t="s">
        <v>440</v>
      </c>
      <c r="B135" s="3" t="s">
        <v>215</v>
      </c>
      <c r="C135" s="3" t="s">
        <v>441</v>
      </c>
      <c r="D135" s="70" t="s">
        <v>442</v>
      </c>
      <c r="E135" s="71"/>
      <c r="F135" s="3" t="s">
        <v>85</v>
      </c>
      <c r="G135" s="35">
        <v>2</v>
      </c>
      <c r="H135" s="68">
        <v>0</v>
      </c>
      <c r="I135" s="36">
        <v>21</v>
      </c>
      <c r="J135" s="35">
        <f t="shared" si="136"/>
        <v>0</v>
      </c>
      <c r="K135" s="35">
        <f t="shared" si="137"/>
        <v>0</v>
      </c>
      <c r="L135" s="35">
        <f t="shared" si="138"/>
        <v>0</v>
      </c>
      <c r="M135" s="35">
        <f t="shared" si="139"/>
        <v>0</v>
      </c>
      <c r="N135" s="35">
        <v>8.8299999999999993E-3</v>
      </c>
      <c r="O135" s="35">
        <f t="shared" si="140"/>
        <v>1.7659999999999999E-2</v>
      </c>
      <c r="P135" s="37" t="s">
        <v>64</v>
      </c>
      <c r="Z135" s="35">
        <f t="shared" si="141"/>
        <v>0</v>
      </c>
      <c r="AB135" s="35">
        <f t="shared" si="142"/>
        <v>0</v>
      </c>
      <c r="AC135" s="35">
        <f t="shared" si="143"/>
        <v>0</v>
      </c>
      <c r="AD135" s="35">
        <f t="shared" si="144"/>
        <v>0</v>
      </c>
      <c r="AE135" s="35">
        <f t="shared" si="145"/>
        <v>0</v>
      </c>
      <c r="AF135" s="35">
        <f t="shared" si="146"/>
        <v>0</v>
      </c>
      <c r="AG135" s="35">
        <f t="shared" si="147"/>
        <v>0</v>
      </c>
      <c r="AH135" s="35">
        <f t="shared" si="148"/>
        <v>0</v>
      </c>
      <c r="AI135" s="12" t="s">
        <v>215</v>
      </c>
      <c r="AJ135" s="35">
        <f t="shared" si="149"/>
        <v>0</v>
      </c>
      <c r="AK135" s="35">
        <f t="shared" si="150"/>
        <v>0</v>
      </c>
      <c r="AL135" s="35">
        <f t="shared" si="151"/>
        <v>0</v>
      </c>
      <c r="AN135" s="35">
        <v>21</v>
      </c>
      <c r="AO135" s="35">
        <f>H135*0.495698701</f>
        <v>0</v>
      </c>
      <c r="AP135" s="35">
        <f>H135*(1-0.495698701)</f>
        <v>0</v>
      </c>
      <c r="AQ135" s="38" t="s">
        <v>65</v>
      </c>
      <c r="AV135" s="35">
        <f t="shared" si="152"/>
        <v>0</v>
      </c>
      <c r="AW135" s="35">
        <f t="shared" si="153"/>
        <v>0</v>
      </c>
      <c r="AX135" s="35">
        <f t="shared" si="154"/>
        <v>0</v>
      </c>
      <c r="AY135" s="38" t="s">
        <v>406</v>
      </c>
      <c r="AZ135" s="38" t="s">
        <v>364</v>
      </c>
      <c r="BA135" s="12" t="s">
        <v>225</v>
      </c>
      <c r="BC135" s="35">
        <f t="shared" si="155"/>
        <v>0</v>
      </c>
      <c r="BD135" s="35">
        <f t="shared" si="156"/>
        <v>0</v>
      </c>
      <c r="BE135" s="35">
        <v>0</v>
      </c>
      <c r="BF135" s="35">
        <f t="shared" si="157"/>
        <v>1.7659999999999999E-2</v>
      </c>
      <c r="BH135" s="35">
        <f t="shared" si="158"/>
        <v>0</v>
      </c>
      <c r="BI135" s="35">
        <f t="shared" si="159"/>
        <v>0</v>
      </c>
      <c r="BJ135" s="35">
        <f t="shared" si="160"/>
        <v>0</v>
      </c>
      <c r="BK135" s="38" t="s">
        <v>69</v>
      </c>
      <c r="BL135" s="35">
        <v>732</v>
      </c>
      <c r="BW135" s="35">
        <f t="shared" si="161"/>
        <v>21</v>
      </c>
      <c r="BX135" s="4" t="s">
        <v>442</v>
      </c>
    </row>
    <row r="136" spans="1:76" x14ac:dyDescent="0.25">
      <c r="A136" s="2" t="s">
        <v>443</v>
      </c>
      <c r="B136" s="3" t="s">
        <v>215</v>
      </c>
      <c r="C136" s="3" t="s">
        <v>444</v>
      </c>
      <c r="D136" s="70" t="s">
        <v>445</v>
      </c>
      <c r="E136" s="71"/>
      <c r="F136" s="3" t="s">
        <v>85</v>
      </c>
      <c r="G136" s="35">
        <v>2</v>
      </c>
      <c r="H136" s="68">
        <v>0</v>
      </c>
      <c r="I136" s="36">
        <v>21</v>
      </c>
      <c r="J136" s="35">
        <f t="shared" si="136"/>
        <v>0</v>
      </c>
      <c r="K136" s="35">
        <f t="shared" si="137"/>
        <v>0</v>
      </c>
      <c r="L136" s="35">
        <f t="shared" si="138"/>
        <v>0</v>
      </c>
      <c r="M136" s="35">
        <f t="shared" si="139"/>
        <v>0</v>
      </c>
      <c r="N136" s="35">
        <v>0</v>
      </c>
      <c r="O136" s="35">
        <f t="shared" si="140"/>
        <v>0</v>
      </c>
      <c r="P136" s="37" t="s">
        <v>64</v>
      </c>
      <c r="Z136" s="35">
        <f t="shared" si="141"/>
        <v>0</v>
      </c>
      <c r="AB136" s="35">
        <f t="shared" si="142"/>
        <v>0</v>
      </c>
      <c r="AC136" s="35">
        <f t="shared" si="143"/>
        <v>0</v>
      </c>
      <c r="AD136" s="35">
        <f t="shared" si="144"/>
        <v>0</v>
      </c>
      <c r="AE136" s="35">
        <f t="shared" si="145"/>
        <v>0</v>
      </c>
      <c r="AF136" s="35">
        <f t="shared" si="146"/>
        <v>0</v>
      </c>
      <c r="AG136" s="35">
        <f t="shared" si="147"/>
        <v>0</v>
      </c>
      <c r="AH136" s="35">
        <f t="shared" si="148"/>
        <v>0</v>
      </c>
      <c r="AI136" s="12" t="s">
        <v>215</v>
      </c>
      <c r="AJ136" s="35">
        <f t="shared" si="149"/>
        <v>0</v>
      </c>
      <c r="AK136" s="35">
        <f t="shared" si="150"/>
        <v>0</v>
      </c>
      <c r="AL136" s="35">
        <f t="shared" si="151"/>
        <v>0</v>
      </c>
      <c r="AN136" s="35">
        <v>21</v>
      </c>
      <c r="AO136" s="35">
        <f>H136*0</f>
        <v>0</v>
      </c>
      <c r="AP136" s="35">
        <f>H136*(1-0)</f>
        <v>0</v>
      </c>
      <c r="AQ136" s="38" t="s">
        <v>65</v>
      </c>
      <c r="AV136" s="35">
        <f t="shared" si="152"/>
        <v>0</v>
      </c>
      <c r="AW136" s="35">
        <f t="shared" si="153"/>
        <v>0</v>
      </c>
      <c r="AX136" s="35">
        <f t="shared" si="154"/>
        <v>0</v>
      </c>
      <c r="AY136" s="38" t="s">
        <v>406</v>
      </c>
      <c r="AZ136" s="38" t="s">
        <v>364</v>
      </c>
      <c r="BA136" s="12" t="s">
        <v>225</v>
      </c>
      <c r="BC136" s="35">
        <f t="shared" si="155"/>
        <v>0</v>
      </c>
      <c r="BD136" s="35">
        <f t="shared" si="156"/>
        <v>0</v>
      </c>
      <c r="BE136" s="35">
        <v>0</v>
      </c>
      <c r="BF136" s="35">
        <f t="shared" si="157"/>
        <v>0</v>
      </c>
      <c r="BH136" s="35">
        <f t="shared" si="158"/>
        <v>0</v>
      </c>
      <c r="BI136" s="35">
        <f t="shared" si="159"/>
        <v>0</v>
      </c>
      <c r="BJ136" s="35">
        <f t="shared" si="160"/>
        <v>0</v>
      </c>
      <c r="BK136" s="38" t="s">
        <v>69</v>
      </c>
      <c r="BL136" s="35">
        <v>732</v>
      </c>
      <c r="BW136" s="35">
        <f t="shared" si="161"/>
        <v>21</v>
      </c>
      <c r="BX136" s="4" t="s">
        <v>445</v>
      </c>
    </row>
    <row r="137" spans="1:76" x14ac:dyDescent="0.25">
      <c r="A137" s="2" t="s">
        <v>446</v>
      </c>
      <c r="B137" s="3" t="s">
        <v>215</v>
      </c>
      <c r="C137" s="3" t="s">
        <v>447</v>
      </c>
      <c r="D137" s="70" t="s">
        <v>448</v>
      </c>
      <c r="E137" s="71"/>
      <c r="F137" s="3" t="s">
        <v>85</v>
      </c>
      <c r="G137" s="35">
        <v>1</v>
      </c>
      <c r="H137" s="68">
        <v>0</v>
      </c>
      <c r="I137" s="36">
        <v>21</v>
      </c>
      <c r="J137" s="35">
        <f t="shared" si="136"/>
        <v>0</v>
      </c>
      <c r="K137" s="35">
        <f t="shared" si="137"/>
        <v>0</v>
      </c>
      <c r="L137" s="35">
        <f t="shared" si="138"/>
        <v>0</v>
      </c>
      <c r="M137" s="35">
        <f t="shared" si="139"/>
        <v>0</v>
      </c>
      <c r="N137" s="35">
        <v>0</v>
      </c>
      <c r="O137" s="35">
        <f t="shared" si="140"/>
        <v>0</v>
      </c>
      <c r="P137" s="37" t="s">
        <v>64</v>
      </c>
      <c r="Z137" s="35">
        <f t="shared" si="141"/>
        <v>0</v>
      </c>
      <c r="AB137" s="35">
        <f t="shared" si="142"/>
        <v>0</v>
      </c>
      <c r="AC137" s="35">
        <f t="shared" si="143"/>
        <v>0</v>
      </c>
      <c r="AD137" s="35">
        <f t="shared" si="144"/>
        <v>0</v>
      </c>
      <c r="AE137" s="35">
        <f t="shared" si="145"/>
        <v>0</v>
      </c>
      <c r="AF137" s="35">
        <f t="shared" si="146"/>
        <v>0</v>
      </c>
      <c r="AG137" s="35">
        <f t="shared" si="147"/>
        <v>0</v>
      </c>
      <c r="AH137" s="35">
        <f t="shared" si="148"/>
        <v>0</v>
      </c>
      <c r="AI137" s="12" t="s">
        <v>215</v>
      </c>
      <c r="AJ137" s="35">
        <f t="shared" si="149"/>
        <v>0</v>
      </c>
      <c r="AK137" s="35">
        <f t="shared" si="150"/>
        <v>0</v>
      </c>
      <c r="AL137" s="35">
        <f t="shared" si="151"/>
        <v>0</v>
      </c>
      <c r="AN137" s="35">
        <v>21</v>
      </c>
      <c r="AO137" s="35">
        <f>H137*0</f>
        <v>0</v>
      </c>
      <c r="AP137" s="35">
        <f>H137*(1-0)</f>
        <v>0</v>
      </c>
      <c r="AQ137" s="38" t="s">
        <v>65</v>
      </c>
      <c r="AV137" s="35">
        <f t="shared" si="152"/>
        <v>0</v>
      </c>
      <c r="AW137" s="35">
        <f t="shared" si="153"/>
        <v>0</v>
      </c>
      <c r="AX137" s="35">
        <f t="shared" si="154"/>
        <v>0</v>
      </c>
      <c r="AY137" s="38" t="s">
        <v>406</v>
      </c>
      <c r="AZ137" s="38" t="s">
        <v>364</v>
      </c>
      <c r="BA137" s="12" t="s">
        <v>225</v>
      </c>
      <c r="BC137" s="35">
        <f t="shared" si="155"/>
        <v>0</v>
      </c>
      <c r="BD137" s="35">
        <f t="shared" si="156"/>
        <v>0</v>
      </c>
      <c r="BE137" s="35">
        <v>0</v>
      </c>
      <c r="BF137" s="35">
        <f t="shared" si="157"/>
        <v>0</v>
      </c>
      <c r="BH137" s="35">
        <f t="shared" si="158"/>
        <v>0</v>
      </c>
      <c r="BI137" s="35">
        <f t="shared" si="159"/>
        <v>0</v>
      </c>
      <c r="BJ137" s="35">
        <f t="shared" si="160"/>
        <v>0</v>
      </c>
      <c r="BK137" s="38" t="s">
        <v>69</v>
      </c>
      <c r="BL137" s="35">
        <v>732</v>
      </c>
      <c r="BW137" s="35">
        <f t="shared" si="161"/>
        <v>21</v>
      </c>
      <c r="BX137" s="4" t="s">
        <v>448</v>
      </c>
    </row>
    <row r="138" spans="1:76" x14ac:dyDescent="0.25">
      <c r="A138" s="2" t="s">
        <v>449</v>
      </c>
      <c r="B138" s="3" t="s">
        <v>215</v>
      </c>
      <c r="C138" s="3" t="s">
        <v>450</v>
      </c>
      <c r="D138" s="70" t="s">
        <v>451</v>
      </c>
      <c r="E138" s="71"/>
      <c r="F138" s="3" t="s">
        <v>85</v>
      </c>
      <c r="G138" s="35">
        <v>1</v>
      </c>
      <c r="H138" s="68">
        <v>0</v>
      </c>
      <c r="I138" s="36">
        <v>21</v>
      </c>
      <c r="J138" s="35">
        <f t="shared" si="136"/>
        <v>0</v>
      </c>
      <c r="K138" s="35">
        <f t="shared" si="137"/>
        <v>0</v>
      </c>
      <c r="L138" s="35">
        <f t="shared" si="138"/>
        <v>0</v>
      </c>
      <c r="M138" s="35">
        <f t="shared" si="139"/>
        <v>0</v>
      </c>
      <c r="N138" s="35">
        <v>8.8299999999999993E-3</v>
      </c>
      <c r="O138" s="35">
        <f t="shared" si="140"/>
        <v>8.8299999999999993E-3</v>
      </c>
      <c r="P138" s="37" t="s">
        <v>64</v>
      </c>
      <c r="Z138" s="35">
        <f t="shared" si="141"/>
        <v>0</v>
      </c>
      <c r="AB138" s="35">
        <f t="shared" si="142"/>
        <v>0</v>
      </c>
      <c r="AC138" s="35">
        <f t="shared" si="143"/>
        <v>0</v>
      </c>
      <c r="AD138" s="35">
        <f t="shared" si="144"/>
        <v>0</v>
      </c>
      <c r="AE138" s="35">
        <f t="shared" si="145"/>
        <v>0</v>
      </c>
      <c r="AF138" s="35">
        <f t="shared" si="146"/>
        <v>0</v>
      </c>
      <c r="AG138" s="35">
        <f t="shared" si="147"/>
        <v>0</v>
      </c>
      <c r="AH138" s="35">
        <f t="shared" si="148"/>
        <v>0</v>
      </c>
      <c r="AI138" s="12" t="s">
        <v>215</v>
      </c>
      <c r="AJ138" s="35">
        <f t="shared" si="149"/>
        <v>0</v>
      </c>
      <c r="AK138" s="35">
        <f t="shared" si="150"/>
        <v>0</v>
      </c>
      <c r="AL138" s="35">
        <f t="shared" si="151"/>
        <v>0</v>
      </c>
      <c r="AN138" s="35">
        <v>21</v>
      </c>
      <c r="AO138" s="35">
        <f>H138*0.58070687</f>
        <v>0</v>
      </c>
      <c r="AP138" s="35">
        <f>H138*(1-0.58070687)</f>
        <v>0</v>
      </c>
      <c r="AQ138" s="38" t="s">
        <v>65</v>
      </c>
      <c r="AV138" s="35">
        <f t="shared" si="152"/>
        <v>0</v>
      </c>
      <c r="AW138" s="35">
        <f t="shared" si="153"/>
        <v>0</v>
      </c>
      <c r="AX138" s="35">
        <f t="shared" si="154"/>
        <v>0</v>
      </c>
      <c r="AY138" s="38" t="s">
        <v>406</v>
      </c>
      <c r="AZ138" s="38" t="s">
        <v>364</v>
      </c>
      <c r="BA138" s="12" t="s">
        <v>225</v>
      </c>
      <c r="BC138" s="35">
        <f t="shared" si="155"/>
        <v>0</v>
      </c>
      <c r="BD138" s="35">
        <f t="shared" si="156"/>
        <v>0</v>
      </c>
      <c r="BE138" s="35">
        <v>0</v>
      </c>
      <c r="BF138" s="35">
        <f t="shared" si="157"/>
        <v>8.8299999999999993E-3</v>
      </c>
      <c r="BH138" s="35">
        <f t="shared" si="158"/>
        <v>0</v>
      </c>
      <c r="BI138" s="35">
        <f t="shared" si="159"/>
        <v>0</v>
      </c>
      <c r="BJ138" s="35">
        <f t="shared" si="160"/>
        <v>0</v>
      </c>
      <c r="BK138" s="38" t="s">
        <v>69</v>
      </c>
      <c r="BL138" s="35">
        <v>732</v>
      </c>
      <c r="BW138" s="35">
        <f t="shared" si="161"/>
        <v>21</v>
      </c>
      <c r="BX138" s="4" t="s">
        <v>451</v>
      </c>
    </row>
    <row r="139" spans="1:76" x14ac:dyDescent="0.25">
      <c r="A139" s="2" t="s">
        <v>452</v>
      </c>
      <c r="B139" s="3" t="s">
        <v>215</v>
      </c>
      <c r="C139" s="3" t="s">
        <v>453</v>
      </c>
      <c r="D139" s="70" t="s">
        <v>454</v>
      </c>
      <c r="E139" s="71"/>
      <c r="F139" s="3" t="s">
        <v>85</v>
      </c>
      <c r="G139" s="35">
        <v>1</v>
      </c>
      <c r="H139" s="68">
        <v>0</v>
      </c>
      <c r="I139" s="36">
        <v>21</v>
      </c>
      <c r="J139" s="35">
        <f t="shared" si="136"/>
        <v>0</v>
      </c>
      <c r="K139" s="35">
        <f t="shared" si="137"/>
        <v>0</v>
      </c>
      <c r="L139" s="35">
        <f t="shared" si="138"/>
        <v>0</v>
      </c>
      <c r="M139" s="35">
        <f t="shared" si="139"/>
        <v>0</v>
      </c>
      <c r="N139" s="35">
        <v>0</v>
      </c>
      <c r="O139" s="35">
        <f t="shared" si="140"/>
        <v>0</v>
      </c>
      <c r="P139" s="37" t="s">
        <v>64</v>
      </c>
      <c r="Z139" s="35">
        <f t="shared" si="141"/>
        <v>0</v>
      </c>
      <c r="AB139" s="35">
        <f t="shared" si="142"/>
        <v>0</v>
      </c>
      <c r="AC139" s="35">
        <f t="shared" si="143"/>
        <v>0</v>
      </c>
      <c r="AD139" s="35">
        <f t="shared" si="144"/>
        <v>0</v>
      </c>
      <c r="AE139" s="35">
        <f t="shared" si="145"/>
        <v>0</v>
      </c>
      <c r="AF139" s="35">
        <f t="shared" si="146"/>
        <v>0</v>
      </c>
      <c r="AG139" s="35">
        <f t="shared" si="147"/>
        <v>0</v>
      </c>
      <c r="AH139" s="35">
        <f t="shared" si="148"/>
        <v>0</v>
      </c>
      <c r="AI139" s="12" t="s">
        <v>215</v>
      </c>
      <c r="AJ139" s="35">
        <f t="shared" si="149"/>
        <v>0</v>
      </c>
      <c r="AK139" s="35">
        <f t="shared" si="150"/>
        <v>0</v>
      </c>
      <c r="AL139" s="35">
        <f t="shared" si="151"/>
        <v>0</v>
      </c>
      <c r="AN139" s="35">
        <v>21</v>
      </c>
      <c r="AO139" s="35">
        <f>H139*0</f>
        <v>0</v>
      </c>
      <c r="AP139" s="35">
        <f>H139*(1-0)</f>
        <v>0</v>
      </c>
      <c r="AQ139" s="38" t="s">
        <v>65</v>
      </c>
      <c r="AV139" s="35">
        <f t="shared" si="152"/>
        <v>0</v>
      </c>
      <c r="AW139" s="35">
        <f t="shared" si="153"/>
        <v>0</v>
      </c>
      <c r="AX139" s="35">
        <f t="shared" si="154"/>
        <v>0</v>
      </c>
      <c r="AY139" s="38" t="s">
        <v>406</v>
      </c>
      <c r="AZ139" s="38" t="s">
        <v>364</v>
      </c>
      <c r="BA139" s="12" t="s">
        <v>225</v>
      </c>
      <c r="BC139" s="35">
        <f t="shared" si="155"/>
        <v>0</v>
      </c>
      <c r="BD139" s="35">
        <f t="shared" si="156"/>
        <v>0</v>
      </c>
      <c r="BE139" s="35">
        <v>0</v>
      </c>
      <c r="BF139" s="35">
        <f t="shared" si="157"/>
        <v>0</v>
      </c>
      <c r="BH139" s="35">
        <f t="shared" si="158"/>
        <v>0</v>
      </c>
      <c r="BI139" s="35">
        <f t="shared" si="159"/>
        <v>0</v>
      </c>
      <c r="BJ139" s="35">
        <f t="shared" si="160"/>
        <v>0</v>
      </c>
      <c r="BK139" s="38" t="s">
        <v>69</v>
      </c>
      <c r="BL139" s="35">
        <v>732</v>
      </c>
      <c r="BW139" s="35">
        <f t="shared" si="161"/>
        <v>21</v>
      </c>
      <c r="BX139" s="4" t="s">
        <v>454</v>
      </c>
    </row>
    <row r="140" spans="1:76" x14ac:dyDescent="0.25">
      <c r="A140" s="31" t="s">
        <v>55</v>
      </c>
      <c r="B140" s="32" t="s">
        <v>215</v>
      </c>
      <c r="C140" s="32" t="s">
        <v>455</v>
      </c>
      <c r="D140" s="128" t="s">
        <v>402</v>
      </c>
      <c r="E140" s="129"/>
      <c r="F140" s="33" t="s">
        <v>4</v>
      </c>
      <c r="G140" s="33" t="s">
        <v>4</v>
      </c>
      <c r="H140" s="33" t="s">
        <v>4</v>
      </c>
      <c r="I140" s="33" t="s">
        <v>4</v>
      </c>
      <c r="J140" s="1">
        <f>SUM(J141:J145)</f>
        <v>0</v>
      </c>
      <c r="K140" s="1">
        <f>SUM(K141:K145)</f>
        <v>0</v>
      </c>
      <c r="L140" s="1">
        <f>SUM(L141:L145)</f>
        <v>0</v>
      </c>
      <c r="M140" s="1">
        <f>SUM(M141:M145)</f>
        <v>0</v>
      </c>
      <c r="N140" s="12" t="s">
        <v>55</v>
      </c>
      <c r="O140" s="1">
        <f>SUM(O141:O145)</f>
        <v>0</v>
      </c>
      <c r="P140" s="34" t="s">
        <v>55</v>
      </c>
      <c r="AI140" s="12" t="s">
        <v>215</v>
      </c>
      <c r="AS140" s="1">
        <f>SUM(AJ141:AJ145)</f>
        <v>0</v>
      </c>
      <c r="AT140" s="1">
        <f>SUM(AK141:AK145)</f>
        <v>0</v>
      </c>
      <c r="AU140" s="1">
        <f>SUM(AL141:AL145)</f>
        <v>0</v>
      </c>
    </row>
    <row r="141" spans="1:76" x14ac:dyDescent="0.25">
      <c r="A141" s="2" t="s">
        <v>456</v>
      </c>
      <c r="B141" s="3" t="s">
        <v>215</v>
      </c>
      <c r="C141" s="3" t="s">
        <v>457</v>
      </c>
      <c r="D141" s="70" t="s">
        <v>458</v>
      </c>
      <c r="E141" s="71"/>
      <c r="F141" s="3" t="s">
        <v>130</v>
      </c>
      <c r="G141" s="35">
        <v>1</v>
      </c>
      <c r="H141" s="68">
        <v>0</v>
      </c>
      <c r="I141" s="36">
        <v>21</v>
      </c>
      <c r="J141" s="35">
        <f>ROUND(G141*AO141,2)</f>
        <v>0</v>
      </c>
      <c r="K141" s="35">
        <f>ROUND(G141*AP141,2)</f>
        <v>0</v>
      </c>
      <c r="L141" s="35">
        <f>ROUND(G141*H141,2)</f>
        <v>0</v>
      </c>
      <c r="M141" s="35">
        <f>L141*(1+BW141/100)</f>
        <v>0</v>
      </c>
      <c r="N141" s="35">
        <v>0</v>
      </c>
      <c r="O141" s="35">
        <f>G141*N141</f>
        <v>0</v>
      </c>
      <c r="P141" s="37" t="s">
        <v>64</v>
      </c>
      <c r="Z141" s="35">
        <f>ROUND(IF(AQ141="5",BJ141,0),2)</f>
        <v>0</v>
      </c>
      <c r="AB141" s="35">
        <f>ROUND(IF(AQ141="1",BH141,0),2)</f>
        <v>0</v>
      </c>
      <c r="AC141" s="35">
        <f>ROUND(IF(AQ141="1",BI141,0),2)</f>
        <v>0</v>
      </c>
      <c r="AD141" s="35">
        <f>ROUND(IF(AQ141="7",BH141,0),2)</f>
        <v>0</v>
      </c>
      <c r="AE141" s="35">
        <f>ROUND(IF(AQ141="7",BI141,0),2)</f>
        <v>0</v>
      </c>
      <c r="AF141" s="35">
        <f>ROUND(IF(AQ141="2",BH141,0),2)</f>
        <v>0</v>
      </c>
      <c r="AG141" s="35">
        <f>ROUND(IF(AQ141="2",BI141,0),2)</f>
        <v>0</v>
      </c>
      <c r="AH141" s="35">
        <f>ROUND(IF(AQ141="0",BJ141,0),2)</f>
        <v>0</v>
      </c>
      <c r="AI141" s="12" t="s">
        <v>215</v>
      </c>
      <c r="AJ141" s="35">
        <f>IF(AN141=0,L141,0)</f>
        <v>0</v>
      </c>
      <c r="AK141" s="35">
        <f>IF(AN141=15,L141,0)</f>
        <v>0</v>
      </c>
      <c r="AL141" s="35">
        <f>IF(AN141=21,L141,0)</f>
        <v>0</v>
      </c>
      <c r="AN141" s="35">
        <v>21</v>
      </c>
      <c r="AO141" s="35">
        <f>H141*0.815476905</f>
        <v>0</v>
      </c>
      <c r="AP141" s="35">
        <f>H141*(1-0.815476905)</f>
        <v>0</v>
      </c>
      <c r="AQ141" s="38" t="s">
        <v>65</v>
      </c>
      <c r="AV141" s="35">
        <f>ROUND(AW141+AX141,2)</f>
        <v>0</v>
      </c>
      <c r="AW141" s="35">
        <f>ROUND(G141*AO141,2)</f>
        <v>0</v>
      </c>
      <c r="AX141" s="35">
        <f>ROUND(G141*AP141,2)</f>
        <v>0</v>
      </c>
      <c r="AY141" s="38" t="s">
        <v>459</v>
      </c>
      <c r="AZ141" s="38" t="s">
        <v>364</v>
      </c>
      <c r="BA141" s="12" t="s">
        <v>225</v>
      </c>
      <c r="BC141" s="35">
        <f>AW141+AX141</f>
        <v>0</v>
      </c>
      <c r="BD141" s="35">
        <f>H141/(100-BE141)*100</f>
        <v>0</v>
      </c>
      <c r="BE141" s="35">
        <v>0</v>
      </c>
      <c r="BF141" s="35">
        <f>O141</f>
        <v>0</v>
      </c>
      <c r="BH141" s="35">
        <f>G141*AO141</f>
        <v>0</v>
      </c>
      <c r="BI141" s="35">
        <f>G141*AP141</f>
        <v>0</v>
      </c>
      <c r="BJ141" s="35">
        <f>G141*H141</f>
        <v>0</v>
      </c>
      <c r="BK141" s="38" t="s">
        <v>69</v>
      </c>
      <c r="BL141" s="35"/>
      <c r="BW141" s="35">
        <f>I141</f>
        <v>21</v>
      </c>
      <c r="BX141" s="4" t="s">
        <v>458</v>
      </c>
    </row>
    <row r="142" spans="1:76" x14ac:dyDescent="0.25">
      <c r="A142" s="2" t="s">
        <v>460</v>
      </c>
      <c r="B142" s="3" t="s">
        <v>215</v>
      </c>
      <c r="C142" s="3" t="s">
        <v>461</v>
      </c>
      <c r="D142" s="70" t="s">
        <v>462</v>
      </c>
      <c r="E142" s="71"/>
      <c r="F142" s="3" t="s">
        <v>130</v>
      </c>
      <c r="G142" s="35">
        <v>1</v>
      </c>
      <c r="H142" s="68">
        <v>0</v>
      </c>
      <c r="I142" s="36">
        <v>21</v>
      </c>
      <c r="J142" s="35">
        <f>ROUND(G142*AO142,2)</f>
        <v>0</v>
      </c>
      <c r="K142" s="35">
        <f>ROUND(G142*AP142,2)</f>
        <v>0</v>
      </c>
      <c r="L142" s="35">
        <f>ROUND(G142*H142,2)</f>
        <v>0</v>
      </c>
      <c r="M142" s="35">
        <f>L142*(1+BW142/100)</f>
        <v>0</v>
      </c>
      <c r="N142" s="35">
        <v>0</v>
      </c>
      <c r="O142" s="35">
        <f>G142*N142</f>
        <v>0</v>
      </c>
      <c r="P142" s="37" t="s">
        <v>64</v>
      </c>
      <c r="Z142" s="35">
        <f>ROUND(IF(AQ142="5",BJ142,0),2)</f>
        <v>0</v>
      </c>
      <c r="AB142" s="35">
        <f>ROUND(IF(AQ142="1",BH142,0),2)</f>
        <v>0</v>
      </c>
      <c r="AC142" s="35">
        <f>ROUND(IF(AQ142="1",BI142,0),2)</f>
        <v>0</v>
      </c>
      <c r="AD142" s="35">
        <f>ROUND(IF(AQ142="7",BH142,0),2)</f>
        <v>0</v>
      </c>
      <c r="AE142" s="35">
        <f>ROUND(IF(AQ142="7",BI142,0),2)</f>
        <v>0</v>
      </c>
      <c r="AF142" s="35">
        <f>ROUND(IF(AQ142="2",BH142,0),2)</f>
        <v>0</v>
      </c>
      <c r="AG142" s="35">
        <f>ROUND(IF(AQ142="2",BI142,0),2)</f>
        <v>0</v>
      </c>
      <c r="AH142" s="35">
        <f>ROUND(IF(AQ142="0",BJ142,0),2)</f>
        <v>0</v>
      </c>
      <c r="AI142" s="12" t="s">
        <v>215</v>
      </c>
      <c r="AJ142" s="35">
        <f>IF(AN142=0,L142,0)</f>
        <v>0</v>
      </c>
      <c r="AK142" s="35">
        <f>IF(AN142=15,L142,0)</f>
        <v>0</v>
      </c>
      <c r="AL142" s="35">
        <f>IF(AN142=21,L142,0)</f>
        <v>0</v>
      </c>
      <c r="AN142" s="35">
        <v>21</v>
      </c>
      <c r="AO142" s="35">
        <f>H142*0</f>
        <v>0</v>
      </c>
      <c r="AP142" s="35">
        <f>H142*(1-0)</f>
        <v>0</v>
      </c>
      <c r="AQ142" s="38" t="s">
        <v>65</v>
      </c>
      <c r="AV142" s="35">
        <f>ROUND(AW142+AX142,2)</f>
        <v>0</v>
      </c>
      <c r="AW142" s="35">
        <f>ROUND(G142*AO142,2)</f>
        <v>0</v>
      </c>
      <c r="AX142" s="35">
        <f>ROUND(G142*AP142,2)</f>
        <v>0</v>
      </c>
      <c r="AY142" s="38" t="s">
        <v>459</v>
      </c>
      <c r="AZ142" s="38" t="s">
        <v>364</v>
      </c>
      <c r="BA142" s="12" t="s">
        <v>225</v>
      </c>
      <c r="BC142" s="35">
        <f>AW142+AX142</f>
        <v>0</v>
      </c>
      <c r="BD142" s="35">
        <f>H142/(100-BE142)*100</f>
        <v>0</v>
      </c>
      <c r="BE142" s="35">
        <v>0</v>
      </c>
      <c r="BF142" s="35">
        <f>O142</f>
        <v>0</v>
      </c>
      <c r="BH142" s="35">
        <f>G142*AO142</f>
        <v>0</v>
      </c>
      <c r="BI142" s="35">
        <f>G142*AP142</f>
        <v>0</v>
      </c>
      <c r="BJ142" s="35">
        <f>G142*H142</f>
        <v>0</v>
      </c>
      <c r="BK142" s="38" t="s">
        <v>69</v>
      </c>
      <c r="BL142" s="35"/>
      <c r="BW142" s="35">
        <f>I142</f>
        <v>21</v>
      </c>
      <c r="BX142" s="4" t="s">
        <v>462</v>
      </c>
    </row>
    <row r="143" spans="1:76" ht="25.5" x14ac:dyDescent="0.25">
      <c r="A143" s="2" t="s">
        <v>463</v>
      </c>
      <c r="B143" s="3" t="s">
        <v>215</v>
      </c>
      <c r="C143" s="3" t="s">
        <v>464</v>
      </c>
      <c r="D143" s="70" t="s">
        <v>465</v>
      </c>
      <c r="E143" s="71"/>
      <c r="F143" s="3" t="s">
        <v>130</v>
      </c>
      <c r="G143" s="35">
        <v>1</v>
      </c>
      <c r="H143" s="68">
        <v>0</v>
      </c>
      <c r="I143" s="36">
        <v>21</v>
      </c>
      <c r="J143" s="35">
        <f>ROUND(G143*AO143,2)</f>
        <v>0</v>
      </c>
      <c r="K143" s="35">
        <f>ROUND(G143*AP143,2)</f>
        <v>0</v>
      </c>
      <c r="L143" s="35">
        <f>ROUND(G143*H143,2)</f>
        <v>0</v>
      </c>
      <c r="M143" s="35">
        <f>L143*(1+BW143/100)</f>
        <v>0</v>
      </c>
      <c r="N143" s="35">
        <v>0</v>
      </c>
      <c r="O143" s="35">
        <f>G143*N143</f>
        <v>0</v>
      </c>
      <c r="P143" s="37" t="s">
        <v>64</v>
      </c>
      <c r="Z143" s="35">
        <f>ROUND(IF(AQ143="5",BJ143,0),2)</f>
        <v>0</v>
      </c>
      <c r="AB143" s="35">
        <f>ROUND(IF(AQ143="1",BH143,0),2)</f>
        <v>0</v>
      </c>
      <c r="AC143" s="35">
        <f>ROUND(IF(AQ143="1",BI143,0),2)</f>
        <v>0</v>
      </c>
      <c r="AD143" s="35">
        <f>ROUND(IF(AQ143="7",BH143,0),2)</f>
        <v>0</v>
      </c>
      <c r="AE143" s="35">
        <f>ROUND(IF(AQ143="7",BI143,0),2)</f>
        <v>0</v>
      </c>
      <c r="AF143" s="35">
        <f>ROUND(IF(AQ143="2",BH143,0),2)</f>
        <v>0</v>
      </c>
      <c r="AG143" s="35">
        <f>ROUND(IF(AQ143="2",BI143,0),2)</f>
        <v>0</v>
      </c>
      <c r="AH143" s="35">
        <f>ROUND(IF(AQ143="0",BJ143,0),2)</f>
        <v>0</v>
      </c>
      <c r="AI143" s="12" t="s">
        <v>215</v>
      </c>
      <c r="AJ143" s="35">
        <f>IF(AN143=0,L143,0)</f>
        <v>0</v>
      </c>
      <c r="AK143" s="35">
        <f>IF(AN143=15,L143,0)</f>
        <v>0</v>
      </c>
      <c r="AL143" s="35">
        <f>IF(AN143=21,L143,0)</f>
        <v>0</v>
      </c>
      <c r="AN143" s="35">
        <v>21</v>
      </c>
      <c r="AO143" s="35">
        <f>H143*0.899877401</f>
        <v>0</v>
      </c>
      <c r="AP143" s="35">
        <f>H143*(1-0.899877401)</f>
        <v>0</v>
      </c>
      <c r="AQ143" s="38" t="s">
        <v>65</v>
      </c>
      <c r="AV143" s="35">
        <f>ROUND(AW143+AX143,2)</f>
        <v>0</v>
      </c>
      <c r="AW143" s="35">
        <f>ROUND(G143*AO143,2)</f>
        <v>0</v>
      </c>
      <c r="AX143" s="35">
        <f>ROUND(G143*AP143,2)</f>
        <v>0</v>
      </c>
      <c r="AY143" s="38" t="s">
        <v>459</v>
      </c>
      <c r="AZ143" s="38" t="s">
        <v>364</v>
      </c>
      <c r="BA143" s="12" t="s">
        <v>225</v>
      </c>
      <c r="BC143" s="35">
        <f>AW143+AX143</f>
        <v>0</v>
      </c>
      <c r="BD143" s="35">
        <f>H143/(100-BE143)*100</f>
        <v>0</v>
      </c>
      <c r="BE143" s="35">
        <v>0</v>
      </c>
      <c r="BF143" s="35">
        <f>O143</f>
        <v>0</v>
      </c>
      <c r="BH143" s="35">
        <f>G143*AO143</f>
        <v>0</v>
      </c>
      <c r="BI143" s="35">
        <f>G143*AP143</f>
        <v>0</v>
      </c>
      <c r="BJ143" s="35">
        <f>G143*H143</f>
        <v>0</v>
      </c>
      <c r="BK143" s="38" t="s">
        <v>69</v>
      </c>
      <c r="BL143" s="35"/>
      <c r="BW143" s="35">
        <f>I143</f>
        <v>21</v>
      </c>
      <c r="BX143" s="4" t="s">
        <v>465</v>
      </c>
    </row>
    <row r="144" spans="1:76" x14ac:dyDescent="0.25">
      <c r="A144" s="2" t="s">
        <v>466</v>
      </c>
      <c r="B144" s="3" t="s">
        <v>215</v>
      </c>
      <c r="C144" s="3" t="s">
        <v>467</v>
      </c>
      <c r="D144" s="70" t="s">
        <v>468</v>
      </c>
      <c r="E144" s="71"/>
      <c r="F144" s="3" t="s">
        <v>130</v>
      </c>
      <c r="G144" s="35">
        <v>1</v>
      </c>
      <c r="H144" s="68">
        <v>0</v>
      </c>
      <c r="I144" s="36">
        <v>21</v>
      </c>
      <c r="J144" s="35">
        <f>ROUND(G144*AO144,2)</f>
        <v>0</v>
      </c>
      <c r="K144" s="35">
        <f>ROUND(G144*AP144,2)</f>
        <v>0</v>
      </c>
      <c r="L144" s="35">
        <f>ROUND(G144*H144,2)</f>
        <v>0</v>
      </c>
      <c r="M144" s="35">
        <f>L144*(1+BW144/100)</f>
        <v>0</v>
      </c>
      <c r="N144" s="35">
        <v>0</v>
      </c>
      <c r="O144" s="35">
        <f>G144*N144</f>
        <v>0</v>
      </c>
      <c r="P144" s="37" t="s">
        <v>64</v>
      </c>
      <c r="Z144" s="35">
        <f>ROUND(IF(AQ144="5",BJ144,0),2)</f>
        <v>0</v>
      </c>
      <c r="AB144" s="35">
        <f>ROUND(IF(AQ144="1",BH144,0),2)</f>
        <v>0</v>
      </c>
      <c r="AC144" s="35">
        <f>ROUND(IF(AQ144="1",BI144,0),2)</f>
        <v>0</v>
      </c>
      <c r="AD144" s="35">
        <f>ROUND(IF(AQ144="7",BH144,0),2)</f>
        <v>0</v>
      </c>
      <c r="AE144" s="35">
        <f>ROUND(IF(AQ144="7",BI144,0),2)</f>
        <v>0</v>
      </c>
      <c r="AF144" s="35">
        <f>ROUND(IF(AQ144="2",BH144,0),2)</f>
        <v>0</v>
      </c>
      <c r="AG144" s="35">
        <f>ROUND(IF(AQ144="2",BI144,0),2)</f>
        <v>0</v>
      </c>
      <c r="AH144" s="35">
        <f>ROUND(IF(AQ144="0",BJ144,0),2)</f>
        <v>0</v>
      </c>
      <c r="AI144" s="12" t="s">
        <v>215</v>
      </c>
      <c r="AJ144" s="35">
        <f>IF(AN144=0,L144,0)</f>
        <v>0</v>
      </c>
      <c r="AK144" s="35">
        <f>IF(AN144=15,L144,0)</f>
        <v>0</v>
      </c>
      <c r="AL144" s="35">
        <f>IF(AN144=21,L144,0)</f>
        <v>0</v>
      </c>
      <c r="AN144" s="35">
        <v>21</v>
      </c>
      <c r="AO144" s="35">
        <f>H144*0.699519231</f>
        <v>0</v>
      </c>
      <c r="AP144" s="35">
        <f>H144*(1-0.699519231)</f>
        <v>0</v>
      </c>
      <c r="AQ144" s="38" t="s">
        <v>65</v>
      </c>
      <c r="AV144" s="35">
        <f>ROUND(AW144+AX144,2)</f>
        <v>0</v>
      </c>
      <c r="AW144" s="35">
        <f>ROUND(G144*AO144,2)</f>
        <v>0</v>
      </c>
      <c r="AX144" s="35">
        <f>ROUND(G144*AP144,2)</f>
        <v>0</v>
      </c>
      <c r="AY144" s="38" t="s">
        <v>459</v>
      </c>
      <c r="AZ144" s="38" t="s">
        <v>364</v>
      </c>
      <c r="BA144" s="12" t="s">
        <v>225</v>
      </c>
      <c r="BC144" s="35">
        <f>AW144+AX144</f>
        <v>0</v>
      </c>
      <c r="BD144" s="35">
        <f>H144/(100-BE144)*100</f>
        <v>0</v>
      </c>
      <c r="BE144" s="35">
        <v>0</v>
      </c>
      <c r="BF144" s="35">
        <f>O144</f>
        <v>0</v>
      </c>
      <c r="BH144" s="35">
        <f>G144*AO144</f>
        <v>0</v>
      </c>
      <c r="BI144" s="35">
        <f>G144*AP144</f>
        <v>0</v>
      </c>
      <c r="BJ144" s="35">
        <f>G144*H144</f>
        <v>0</v>
      </c>
      <c r="BK144" s="38" t="s">
        <v>69</v>
      </c>
      <c r="BL144" s="35"/>
      <c r="BW144" s="35">
        <f>I144</f>
        <v>21</v>
      </c>
      <c r="BX144" s="4" t="s">
        <v>468</v>
      </c>
    </row>
    <row r="145" spans="1:76" x14ac:dyDescent="0.25">
      <c r="A145" s="2" t="s">
        <v>469</v>
      </c>
      <c r="B145" s="3" t="s">
        <v>215</v>
      </c>
      <c r="C145" s="3" t="s">
        <v>470</v>
      </c>
      <c r="D145" s="70" t="s">
        <v>471</v>
      </c>
      <c r="E145" s="71"/>
      <c r="F145" s="3" t="s">
        <v>130</v>
      </c>
      <c r="G145" s="35">
        <v>1</v>
      </c>
      <c r="H145" s="68">
        <v>0</v>
      </c>
      <c r="I145" s="36">
        <v>21</v>
      </c>
      <c r="J145" s="35">
        <f>ROUND(G145*AO145,2)</f>
        <v>0</v>
      </c>
      <c r="K145" s="35">
        <f>ROUND(G145*AP145,2)</f>
        <v>0</v>
      </c>
      <c r="L145" s="35">
        <f>ROUND(G145*H145,2)</f>
        <v>0</v>
      </c>
      <c r="M145" s="35">
        <f>L145*(1+BW145/100)</f>
        <v>0</v>
      </c>
      <c r="N145" s="35">
        <v>0</v>
      </c>
      <c r="O145" s="35">
        <f>G145*N145</f>
        <v>0</v>
      </c>
      <c r="P145" s="37" t="s">
        <v>64</v>
      </c>
      <c r="Z145" s="35">
        <f>ROUND(IF(AQ145="5",BJ145,0),2)</f>
        <v>0</v>
      </c>
      <c r="AB145" s="35">
        <f>ROUND(IF(AQ145="1",BH145,0),2)</f>
        <v>0</v>
      </c>
      <c r="AC145" s="35">
        <f>ROUND(IF(AQ145="1",BI145,0),2)</f>
        <v>0</v>
      </c>
      <c r="AD145" s="35">
        <f>ROUND(IF(AQ145="7",BH145,0),2)</f>
        <v>0</v>
      </c>
      <c r="AE145" s="35">
        <f>ROUND(IF(AQ145="7",BI145,0),2)</f>
        <v>0</v>
      </c>
      <c r="AF145" s="35">
        <f>ROUND(IF(AQ145="2",BH145,0),2)</f>
        <v>0</v>
      </c>
      <c r="AG145" s="35">
        <f>ROUND(IF(AQ145="2",BI145,0),2)</f>
        <v>0</v>
      </c>
      <c r="AH145" s="35">
        <f>ROUND(IF(AQ145="0",BJ145,0),2)</f>
        <v>0</v>
      </c>
      <c r="AI145" s="12" t="s">
        <v>215</v>
      </c>
      <c r="AJ145" s="35">
        <f>IF(AN145=0,L145,0)</f>
        <v>0</v>
      </c>
      <c r="AK145" s="35">
        <f>IF(AN145=15,L145,0)</f>
        <v>0</v>
      </c>
      <c r="AL145" s="35">
        <f>IF(AN145=21,L145,0)</f>
        <v>0</v>
      </c>
      <c r="AN145" s="35">
        <v>21</v>
      </c>
      <c r="AO145" s="35">
        <f>H145*0</f>
        <v>0</v>
      </c>
      <c r="AP145" s="35">
        <f>H145*(1-0)</f>
        <v>0</v>
      </c>
      <c r="AQ145" s="38" t="s">
        <v>65</v>
      </c>
      <c r="AV145" s="35">
        <f>ROUND(AW145+AX145,2)</f>
        <v>0</v>
      </c>
      <c r="AW145" s="35">
        <f>ROUND(G145*AO145,2)</f>
        <v>0</v>
      </c>
      <c r="AX145" s="35">
        <f>ROUND(G145*AP145,2)</f>
        <v>0</v>
      </c>
      <c r="AY145" s="38" t="s">
        <v>459</v>
      </c>
      <c r="AZ145" s="38" t="s">
        <v>364</v>
      </c>
      <c r="BA145" s="12" t="s">
        <v>225</v>
      </c>
      <c r="BC145" s="35">
        <f>AW145+AX145</f>
        <v>0</v>
      </c>
      <c r="BD145" s="35">
        <f>H145/(100-BE145)*100</f>
        <v>0</v>
      </c>
      <c r="BE145" s="35">
        <v>0</v>
      </c>
      <c r="BF145" s="35">
        <f>O145</f>
        <v>0</v>
      </c>
      <c r="BH145" s="35">
        <f>G145*AO145</f>
        <v>0</v>
      </c>
      <c r="BI145" s="35">
        <f>G145*AP145</f>
        <v>0</v>
      </c>
      <c r="BJ145" s="35">
        <f>G145*H145</f>
        <v>0</v>
      </c>
      <c r="BK145" s="38" t="s">
        <v>69</v>
      </c>
      <c r="BL145" s="35"/>
      <c r="BW145" s="35">
        <f>I145</f>
        <v>21</v>
      </c>
      <c r="BX145" s="4" t="s">
        <v>471</v>
      </c>
    </row>
    <row r="146" spans="1:76" x14ac:dyDescent="0.25">
      <c r="A146" s="31" t="s">
        <v>55</v>
      </c>
      <c r="B146" s="32" t="s">
        <v>215</v>
      </c>
      <c r="C146" s="32" t="s">
        <v>472</v>
      </c>
      <c r="D146" s="128" t="s">
        <v>473</v>
      </c>
      <c r="E146" s="129"/>
      <c r="F146" s="33" t="s">
        <v>4</v>
      </c>
      <c r="G146" s="33" t="s">
        <v>4</v>
      </c>
      <c r="H146" s="33" t="s">
        <v>4</v>
      </c>
      <c r="I146" s="33" t="s">
        <v>4</v>
      </c>
      <c r="J146" s="1">
        <f>SUM(J147:J155)</f>
        <v>0</v>
      </c>
      <c r="K146" s="1">
        <f>SUM(K147:K155)</f>
        <v>0</v>
      </c>
      <c r="L146" s="1">
        <f>SUM(L147:L155)</f>
        <v>0</v>
      </c>
      <c r="M146" s="1">
        <f>SUM(M147:M155)</f>
        <v>0</v>
      </c>
      <c r="N146" s="12" t="s">
        <v>55</v>
      </c>
      <c r="O146" s="1">
        <f>SUM(O147:O155)</f>
        <v>2.1717200000000001</v>
      </c>
      <c r="P146" s="34" t="s">
        <v>55</v>
      </c>
      <c r="AI146" s="12" t="s">
        <v>215</v>
      </c>
      <c r="AS146" s="1">
        <f>SUM(AJ147:AJ155)</f>
        <v>0</v>
      </c>
      <c r="AT146" s="1">
        <f>SUM(AK147:AK155)</f>
        <v>0</v>
      </c>
      <c r="AU146" s="1">
        <f>SUM(AL147:AL155)</f>
        <v>0</v>
      </c>
    </row>
    <row r="147" spans="1:76" x14ac:dyDescent="0.25">
      <c r="A147" s="2" t="s">
        <v>474</v>
      </c>
      <c r="B147" s="3" t="s">
        <v>215</v>
      </c>
      <c r="C147" s="3" t="s">
        <v>475</v>
      </c>
      <c r="D147" s="70" t="s">
        <v>476</v>
      </c>
      <c r="E147" s="71"/>
      <c r="F147" s="3" t="s">
        <v>63</v>
      </c>
      <c r="G147" s="35">
        <v>80</v>
      </c>
      <c r="H147" s="68">
        <v>0</v>
      </c>
      <c r="I147" s="36">
        <v>21</v>
      </c>
      <c r="J147" s="35">
        <f t="shared" ref="J147:J155" si="162">ROUND(G147*AO147,2)</f>
        <v>0</v>
      </c>
      <c r="K147" s="35">
        <f t="shared" ref="K147:K155" si="163">ROUND(G147*AP147,2)</f>
        <v>0</v>
      </c>
      <c r="L147" s="35">
        <f t="shared" ref="L147:L155" si="164">ROUND(G147*H147,2)</f>
        <v>0</v>
      </c>
      <c r="M147" s="35">
        <f t="shared" ref="M147:M155" si="165">L147*(1+BW147/100)</f>
        <v>0</v>
      </c>
      <c r="N147" s="35">
        <v>9.8499999999999994E-3</v>
      </c>
      <c r="O147" s="35">
        <f t="shared" ref="O147:O155" si="166">G147*N147</f>
        <v>0.78799999999999992</v>
      </c>
      <c r="P147" s="37" t="s">
        <v>64</v>
      </c>
      <c r="Z147" s="35">
        <f t="shared" ref="Z147:Z155" si="167">ROUND(IF(AQ147="5",BJ147,0),2)</f>
        <v>0</v>
      </c>
      <c r="AB147" s="35">
        <f t="shared" ref="AB147:AB155" si="168">ROUND(IF(AQ147="1",BH147,0),2)</f>
        <v>0</v>
      </c>
      <c r="AC147" s="35">
        <f t="shared" ref="AC147:AC155" si="169">ROUND(IF(AQ147="1",BI147,0),2)</f>
        <v>0</v>
      </c>
      <c r="AD147" s="35">
        <f t="shared" ref="AD147:AD155" si="170">ROUND(IF(AQ147="7",BH147,0),2)</f>
        <v>0</v>
      </c>
      <c r="AE147" s="35">
        <f t="shared" ref="AE147:AE155" si="171">ROUND(IF(AQ147="7",BI147,0),2)</f>
        <v>0</v>
      </c>
      <c r="AF147" s="35">
        <f t="shared" ref="AF147:AF155" si="172">ROUND(IF(AQ147="2",BH147,0),2)</f>
        <v>0</v>
      </c>
      <c r="AG147" s="35">
        <f t="shared" ref="AG147:AG155" si="173">ROUND(IF(AQ147="2",BI147,0),2)</f>
        <v>0</v>
      </c>
      <c r="AH147" s="35">
        <f t="shared" ref="AH147:AH155" si="174">ROUND(IF(AQ147="0",BJ147,0),2)</f>
        <v>0</v>
      </c>
      <c r="AI147" s="12" t="s">
        <v>215</v>
      </c>
      <c r="AJ147" s="35">
        <f t="shared" ref="AJ147:AJ155" si="175">IF(AN147=0,L147,0)</f>
        <v>0</v>
      </c>
      <c r="AK147" s="35">
        <f t="shared" ref="AK147:AK155" si="176">IF(AN147=15,L147,0)</f>
        <v>0</v>
      </c>
      <c r="AL147" s="35">
        <f t="shared" ref="AL147:AL155" si="177">IF(AN147=21,L147,0)</f>
        <v>0</v>
      </c>
      <c r="AN147" s="35">
        <v>21</v>
      </c>
      <c r="AO147" s="35">
        <f>H147*0.551056856</f>
        <v>0</v>
      </c>
      <c r="AP147" s="35">
        <f>H147*(1-0.551056856)</f>
        <v>0</v>
      </c>
      <c r="AQ147" s="38" t="s">
        <v>65</v>
      </c>
      <c r="AV147" s="35">
        <f t="shared" ref="AV147:AV155" si="178">ROUND(AW147+AX147,2)</f>
        <v>0</v>
      </c>
      <c r="AW147" s="35">
        <f t="shared" ref="AW147:AW155" si="179">ROUND(G147*AO147,2)</f>
        <v>0</v>
      </c>
      <c r="AX147" s="35">
        <f t="shared" ref="AX147:AX155" si="180">ROUND(G147*AP147,2)</f>
        <v>0</v>
      </c>
      <c r="AY147" s="38" t="s">
        <v>477</v>
      </c>
      <c r="AZ147" s="38" t="s">
        <v>364</v>
      </c>
      <c r="BA147" s="12" t="s">
        <v>225</v>
      </c>
      <c r="BC147" s="35">
        <f t="shared" ref="BC147:BC155" si="181">AW147+AX147</f>
        <v>0</v>
      </c>
      <c r="BD147" s="35">
        <f t="shared" ref="BD147:BD155" si="182">H147/(100-BE147)*100</f>
        <v>0</v>
      </c>
      <c r="BE147" s="35">
        <v>0</v>
      </c>
      <c r="BF147" s="35">
        <f t="shared" ref="BF147:BF155" si="183">O147</f>
        <v>0.78799999999999992</v>
      </c>
      <c r="BH147" s="35">
        <f t="shared" ref="BH147:BH155" si="184">G147*AO147</f>
        <v>0</v>
      </c>
      <c r="BI147" s="35">
        <f t="shared" ref="BI147:BI155" si="185">G147*AP147</f>
        <v>0</v>
      </c>
      <c r="BJ147" s="35">
        <f t="shared" ref="BJ147:BJ155" si="186">G147*H147</f>
        <v>0</v>
      </c>
      <c r="BK147" s="38" t="s">
        <v>69</v>
      </c>
      <c r="BL147" s="35">
        <v>733</v>
      </c>
      <c r="BW147" s="35">
        <f t="shared" ref="BW147:BW155" si="187">I147</f>
        <v>21</v>
      </c>
      <c r="BX147" s="4" t="s">
        <v>476</v>
      </c>
    </row>
    <row r="148" spans="1:76" x14ac:dyDescent="0.25">
      <c r="A148" s="2" t="s">
        <v>478</v>
      </c>
      <c r="B148" s="3" t="s">
        <v>215</v>
      </c>
      <c r="C148" s="3" t="s">
        <v>479</v>
      </c>
      <c r="D148" s="70" t="s">
        <v>480</v>
      </c>
      <c r="E148" s="71"/>
      <c r="F148" s="3" t="s">
        <v>63</v>
      </c>
      <c r="G148" s="35">
        <v>6</v>
      </c>
      <c r="H148" s="68">
        <v>0</v>
      </c>
      <c r="I148" s="36">
        <v>21</v>
      </c>
      <c r="J148" s="35">
        <f t="shared" si="162"/>
        <v>0</v>
      </c>
      <c r="K148" s="35">
        <f t="shared" si="163"/>
        <v>0</v>
      </c>
      <c r="L148" s="35">
        <f t="shared" si="164"/>
        <v>0</v>
      </c>
      <c r="M148" s="35">
        <f t="shared" si="165"/>
        <v>0</v>
      </c>
      <c r="N148" s="35">
        <v>1.362E-2</v>
      </c>
      <c r="O148" s="35">
        <f t="shared" si="166"/>
        <v>8.1720000000000001E-2</v>
      </c>
      <c r="P148" s="37" t="s">
        <v>64</v>
      </c>
      <c r="Z148" s="35">
        <f t="shared" si="167"/>
        <v>0</v>
      </c>
      <c r="AB148" s="35">
        <f t="shared" si="168"/>
        <v>0</v>
      </c>
      <c r="AC148" s="35">
        <f t="shared" si="169"/>
        <v>0</v>
      </c>
      <c r="AD148" s="35">
        <f t="shared" si="170"/>
        <v>0</v>
      </c>
      <c r="AE148" s="35">
        <f t="shared" si="171"/>
        <v>0</v>
      </c>
      <c r="AF148" s="35">
        <f t="shared" si="172"/>
        <v>0</v>
      </c>
      <c r="AG148" s="35">
        <f t="shared" si="173"/>
        <v>0</v>
      </c>
      <c r="AH148" s="35">
        <f t="shared" si="174"/>
        <v>0</v>
      </c>
      <c r="AI148" s="12" t="s">
        <v>215</v>
      </c>
      <c r="AJ148" s="35">
        <f t="shared" si="175"/>
        <v>0</v>
      </c>
      <c r="AK148" s="35">
        <f t="shared" si="176"/>
        <v>0</v>
      </c>
      <c r="AL148" s="35">
        <f t="shared" si="177"/>
        <v>0</v>
      </c>
      <c r="AN148" s="35">
        <v>21</v>
      </c>
      <c r="AO148" s="35">
        <f>H148*0.647738928</f>
        <v>0</v>
      </c>
      <c r="AP148" s="35">
        <f>H148*(1-0.647738928)</f>
        <v>0</v>
      </c>
      <c r="AQ148" s="38" t="s">
        <v>65</v>
      </c>
      <c r="AV148" s="35">
        <f t="shared" si="178"/>
        <v>0</v>
      </c>
      <c r="AW148" s="35">
        <f t="shared" si="179"/>
        <v>0</v>
      </c>
      <c r="AX148" s="35">
        <f t="shared" si="180"/>
        <v>0</v>
      </c>
      <c r="AY148" s="38" t="s">
        <v>477</v>
      </c>
      <c r="AZ148" s="38" t="s">
        <v>364</v>
      </c>
      <c r="BA148" s="12" t="s">
        <v>225</v>
      </c>
      <c r="BC148" s="35">
        <f t="shared" si="181"/>
        <v>0</v>
      </c>
      <c r="BD148" s="35">
        <f t="shared" si="182"/>
        <v>0</v>
      </c>
      <c r="BE148" s="35">
        <v>0</v>
      </c>
      <c r="BF148" s="35">
        <f t="shared" si="183"/>
        <v>8.1720000000000001E-2</v>
      </c>
      <c r="BH148" s="35">
        <f t="shared" si="184"/>
        <v>0</v>
      </c>
      <c r="BI148" s="35">
        <f t="shared" si="185"/>
        <v>0</v>
      </c>
      <c r="BJ148" s="35">
        <f t="shared" si="186"/>
        <v>0</v>
      </c>
      <c r="BK148" s="38" t="s">
        <v>69</v>
      </c>
      <c r="BL148" s="35">
        <v>733</v>
      </c>
      <c r="BW148" s="35">
        <f t="shared" si="187"/>
        <v>21</v>
      </c>
      <c r="BX148" s="4" t="s">
        <v>480</v>
      </c>
    </row>
    <row r="149" spans="1:76" x14ac:dyDescent="0.25">
      <c r="A149" s="2" t="s">
        <v>481</v>
      </c>
      <c r="B149" s="3" t="s">
        <v>215</v>
      </c>
      <c r="C149" s="3" t="s">
        <v>482</v>
      </c>
      <c r="D149" s="70" t="s">
        <v>483</v>
      </c>
      <c r="E149" s="71"/>
      <c r="F149" s="3" t="s">
        <v>63</v>
      </c>
      <c r="G149" s="35">
        <v>46</v>
      </c>
      <c r="H149" s="68">
        <v>0</v>
      </c>
      <c r="I149" s="36">
        <v>21</v>
      </c>
      <c r="J149" s="35">
        <f t="shared" si="162"/>
        <v>0</v>
      </c>
      <c r="K149" s="35">
        <f t="shared" si="163"/>
        <v>0</v>
      </c>
      <c r="L149" s="35">
        <f t="shared" si="164"/>
        <v>0</v>
      </c>
      <c r="M149" s="35">
        <f t="shared" si="165"/>
        <v>0</v>
      </c>
      <c r="N149" s="35">
        <v>1.7129999999999999E-2</v>
      </c>
      <c r="O149" s="35">
        <f t="shared" si="166"/>
        <v>0.78798000000000001</v>
      </c>
      <c r="P149" s="37" t="s">
        <v>64</v>
      </c>
      <c r="Z149" s="35">
        <f t="shared" si="167"/>
        <v>0</v>
      </c>
      <c r="AB149" s="35">
        <f t="shared" si="168"/>
        <v>0</v>
      </c>
      <c r="AC149" s="35">
        <f t="shared" si="169"/>
        <v>0</v>
      </c>
      <c r="AD149" s="35">
        <f t="shared" si="170"/>
        <v>0</v>
      </c>
      <c r="AE149" s="35">
        <f t="shared" si="171"/>
        <v>0</v>
      </c>
      <c r="AF149" s="35">
        <f t="shared" si="172"/>
        <v>0</v>
      </c>
      <c r="AG149" s="35">
        <f t="shared" si="173"/>
        <v>0</v>
      </c>
      <c r="AH149" s="35">
        <f t="shared" si="174"/>
        <v>0</v>
      </c>
      <c r="AI149" s="12" t="s">
        <v>215</v>
      </c>
      <c r="AJ149" s="35">
        <f t="shared" si="175"/>
        <v>0</v>
      </c>
      <c r="AK149" s="35">
        <f t="shared" si="176"/>
        <v>0</v>
      </c>
      <c r="AL149" s="35">
        <f t="shared" si="177"/>
        <v>0</v>
      </c>
      <c r="AN149" s="35">
        <v>21</v>
      </c>
      <c r="AO149" s="35">
        <f>H149*0.709611203</f>
        <v>0</v>
      </c>
      <c r="AP149" s="35">
        <f>H149*(1-0.709611203)</f>
        <v>0</v>
      </c>
      <c r="AQ149" s="38" t="s">
        <v>65</v>
      </c>
      <c r="AV149" s="35">
        <f t="shared" si="178"/>
        <v>0</v>
      </c>
      <c r="AW149" s="35">
        <f t="shared" si="179"/>
        <v>0</v>
      </c>
      <c r="AX149" s="35">
        <f t="shared" si="180"/>
        <v>0</v>
      </c>
      <c r="AY149" s="38" t="s">
        <v>477</v>
      </c>
      <c r="AZ149" s="38" t="s">
        <v>364</v>
      </c>
      <c r="BA149" s="12" t="s">
        <v>225</v>
      </c>
      <c r="BC149" s="35">
        <f t="shared" si="181"/>
        <v>0</v>
      </c>
      <c r="BD149" s="35">
        <f t="shared" si="182"/>
        <v>0</v>
      </c>
      <c r="BE149" s="35">
        <v>0</v>
      </c>
      <c r="BF149" s="35">
        <f t="shared" si="183"/>
        <v>0.78798000000000001</v>
      </c>
      <c r="BH149" s="35">
        <f t="shared" si="184"/>
        <v>0</v>
      </c>
      <c r="BI149" s="35">
        <f t="shared" si="185"/>
        <v>0</v>
      </c>
      <c r="BJ149" s="35">
        <f t="shared" si="186"/>
        <v>0</v>
      </c>
      <c r="BK149" s="38" t="s">
        <v>69</v>
      </c>
      <c r="BL149" s="35">
        <v>733</v>
      </c>
      <c r="BW149" s="35">
        <f t="shared" si="187"/>
        <v>21</v>
      </c>
      <c r="BX149" s="4" t="s">
        <v>483</v>
      </c>
    </row>
    <row r="150" spans="1:76" x14ac:dyDescent="0.25">
      <c r="A150" s="2" t="s">
        <v>484</v>
      </c>
      <c r="B150" s="3" t="s">
        <v>215</v>
      </c>
      <c r="C150" s="3" t="s">
        <v>485</v>
      </c>
      <c r="D150" s="70" t="s">
        <v>486</v>
      </c>
      <c r="E150" s="71"/>
      <c r="F150" s="3" t="s">
        <v>63</v>
      </c>
      <c r="G150" s="35">
        <v>14</v>
      </c>
      <c r="H150" s="68">
        <v>0</v>
      </c>
      <c r="I150" s="36">
        <v>21</v>
      </c>
      <c r="J150" s="35">
        <f t="shared" si="162"/>
        <v>0</v>
      </c>
      <c r="K150" s="35">
        <f t="shared" si="163"/>
        <v>0</v>
      </c>
      <c r="L150" s="35">
        <f t="shared" si="164"/>
        <v>0</v>
      </c>
      <c r="M150" s="35">
        <f t="shared" si="165"/>
        <v>0</v>
      </c>
      <c r="N150" s="35">
        <v>1.08E-3</v>
      </c>
      <c r="O150" s="35">
        <f t="shared" si="166"/>
        <v>1.512E-2</v>
      </c>
      <c r="P150" s="37" t="s">
        <v>64</v>
      </c>
      <c r="Z150" s="35">
        <f t="shared" si="167"/>
        <v>0</v>
      </c>
      <c r="AB150" s="35">
        <f t="shared" si="168"/>
        <v>0</v>
      </c>
      <c r="AC150" s="35">
        <f t="shared" si="169"/>
        <v>0</v>
      </c>
      <c r="AD150" s="35">
        <f t="shared" si="170"/>
        <v>0</v>
      </c>
      <c r="AE150" s="35">
        <f t="shared" si="171"/>
        <v>0</v>
      </c>
      <c r="AF150" s="35">
        <f t="shared" si="172"/>
        <v>0</v>
      </c>
      <c r="AG150" s="35">
        <f t="shared" si="173"/>
        <v>0</v>
      </c>
      <c r="AH150" s="35">
        <f t="shared" si="174"/>
        <v>0</v>
      </c>
      <c r="AI150" s="12" t="s">
        <v>215</v>
      </c>
      <c r="AJ150" s="35">
        <f t="shared" si="175"/>
        <v>0</v>
      </c>
      <c r="AK150" s="35">
        <f t="shared" si="176"/>
        <v>0</v>
      </c>
      <c r="AL150" s="35">
        <f t="shared" si="177"/>
        <v>0</v>
      </c>
      <c r="AN150" s="35">
        <v>21</v>
      </c>
      <c r="AO150" s="35">
        <f>H150*0.524634615</f>
        <v>0</v>
      </c>
      <c r="AP150" s="35">
        <f>H150*(1-0.524634615)</f>
        <v>0</v>
      </c>
      <c r="AQ150" s="38" t="s">
        <v>65</v>
      </c>
      <c r="AV150" s="35">
        <f t="shared" si="178"/>
        <v>0</v>
      </c>
      <c r="AW150" s="35">
        <f t="shared" si="179"/>
        <v>0</v>
      </c>
      <c r="AX150" s="35">
        <f t="shared" si="180"/>
        <v>0</v>
      </c>
      <c r="AY150" s="38" t="s">
        <v>477</v>
      </c>
      <c r="AZ150" s="38" t="s">
        <v>364</v>
      </c>
      <c r="BA150" s="12" t="s">
        <v>225</v>
      </c>
      <c r="BC150" s="35">
        <f t="shared" si="181"/>
        <v>0</v>
      </c>
      <c r="BD150" s="35">
        <f t="shared" si="182"/>
        <v>0</v>
      </c>
      <c r="BE150" s="35">
        <v>0</v>
      </c>
      <c r="BF150" s="35">
        <f t="shared" si="183"/>
        <v>1.512E-2</v>
      </c>
      <c r="BH150" s="35">
        <f t="shared" si="184"/>
        <v>0</v>
      </c>
      <c r="BI150" s="35">
        <f t="shared" si="185"/>
        <v>0</v>
      </c>
      <c r="BJ150" s="35">
        <f t="shared" si="186"/>
        <v>0</v>
      </c>
      <c r="BK150" s="38" t="s">
        <v>69</v>
      </c>
      <c r="BL150" s="35">
        <v>733</v>
      </c>
      <c r="BW150" s="35">
        <f t="shared" si="187"/>
        <v>21</v>
      </c>
      <c r="BX150" s="4" t="s">
        <v>486</v>
      </c>
    </row>
    <row r="151" spans="1:76" x14ac:dyDescent="0.25">
      <c r="A151" s="2" t="s">
        <v>487</v>
      </c>
      <c r="B151" s="3" t="s">
        <v>215</v>
      </c>
      <c r="C151" s="3" t="s">
        <v>488</v>
      </c>
      <c r="D151" s="70" t="s">
        <v>489</v>
      </c>
      <c r="E151" s="71"/>
      <c r="F151" s="3" t="s">
        <v>63</v>
      </c>
      <c r="G151" s="35">
        <v>6</v>
      </c>
      <c r="H151" s="68">
        <v>0</v>
      </c>
      <c r="I151" s="36">
        <v>21</v>
      </c>
      <c r="J151" s="35">
        <f t="shared" si="162"/>
        <v>0</v>
      </c>
      <c r="K151" s="35">
        <f t="shared" si="163"/>
        <v>0</v>
      </c>
      <c r="L151" s="35">
        <f t="shared" si="164"/>
        <v>0</v>
      </c>
      <c r="M151" s="35">
        <f t="shared" si="165"/>
        <v>0</v>
      </c>
      <c r="N151" s="35">
        <v>1.5900000000000001E-3</v>
      </c>
      <c r="O151" s="35">
        <f t="shared" si="166"/>
        <v>9.5399999999999999E-3</v>
      </c>
      <c r="P151" s="37" t="s">
        <v>64</v>
      </c>
      <c r="Z151" s="35">
        <f t="shared" si="167"/>
        <v>0</v>
      </c>
      <c r="AB151" s="35">
        <f t="shared" si="168"/>
        <v>0</v>
      </c>
      <c r="AC151" s="35">
        <f t="shared" si="169"/>
        <v>0</v>
      </c>
      <c r="AD151" s="35">
        <f t="shared" si="170"/>
        <v>0</v>
      </c>
      <c r="AE151" s="35">
        <f t="shared" si="171"/>
        <v>0</v>
      </c>
      <c r="AF151" s="35">
        <f t="shared" si="172"/>
        <v>0</v>
      </c>
      <c r="AG151" s="35">
        <f t="shared" si="173"/>
        <v>0</v>
      </c>
      <c r="AH151" s="35">
        <f t="shared" si="174"/>
        <v>0</v>
      </c>
      <c r="AI151" s="12" t="s">
        <v>215</v>
      </c>
      <c r="AJ151" s="35">
        <f t="shared" si="175"/>
        <v>0</v>
      </c>
      <c r="AK151" s="35">
        <f t="shared" si="176"/>
        <v>0</v>
      </c>
      <c r="AL151" s="35">
        <f t="shared" si="177"/>
        <v>0</v>
      </c>
      <c r="AN151" s="35">
        <v>21</v>
      </c>
      <c r="AO151" s="35">
        <f>H151*0.558813264</f>
        <v>0</v>
      </c>
      <c r="AP151" s="35">
        <f>H151*(1-0.558813264)</f>
        <v>0</v>
      </c>
      <c r="AQ151" s="38" t="s">
        <v>65</v>
      </c>
      <c r="AV151" s="35">
        <f t="shared" si="178"/>
        <v>0</v>
      </c>
      <c r="AW151" s="35">
        <f t="shared" si="179"/>
        <v>0</v>
      </c>
      <c r="AX151" s="35">
        <f t="shared" si="180"/>
        <v>0</v>
      </c>
      <c r="AY151" s="38" t="s">
        <v>477</v>
      </c>
      <c r="AZ151" s="38" t="s">
        <v>364</v>
      </c>
      <c r="BA151" s="12" t="s">
        <v>225</v>
      </c>
      <c r="BC151" s="35">
        <f t="shared" si="181"/>
        <v>0</v>
      </c>
      <c r="BD151" s="35">
        <f t="shared" si="182"/>
        <v>0</v>
      </c>
      <c r="BE151" s="35">
        <v>0</v>
      </c>
      <c r="BF151" s="35">
        <f t="shared" si="183"/>
        <v>9.5399999999999999E-3</v>
      </c>
      <c r="BH151" s="35">
        <f t="shared" si="184"/>
        <v>0</v>
      </c>
      <c r="BI151" s="35">
        <f t="shared" si="185"/>
        <v>0</v>
      </c>
      <c r="BJ151" s="35">
        <f t="shared" si="186"/>
        <v>0</v>
      </c>
      <c r="BK151" s="38" t="s">
        <v>69</v>
      </c>
      <c r="BL151" s="35">
        <v>733</v>
      </c>
      <c r="BW151" s="35">
        <f t="shared" si="187"/>
        <v>21</v>
      </c>
      <c r="BX151" s="4" t="s">
        <v>489</v>
      </c>
    </row>
    <row r="152" spans="1:76" x14ac:dyDescent="0.25">
      <c r="A152" s="2" t="s">
        <v>490</v>
      </c>
      <c r="B152" s="3" t="s">
        <v>215</v>
      </c>
      <c r="C152" s="3" t="s">
        <v>491</v>
      </c>
      <c r="D152" s="70" t="s">
        <v>492</v>
      </c>
      <c r="E152" s="71"/>
      <c r="F152" s="3" t="s">
        <v>63</v>
      </c>
      <c r="G152" s="35">
        <v>46</v>
      </c>
      <c r="H152" s="68">
        <v>0</v>
      </c>
      <c r="I152" s="36">
        <v>21</v>
      </c>
      <c r="J152" s="35">
        <f t="shared" si="162"/>
        <v>0</v>
      </c>
      <c r="K152" s="35">
        <f t="shared" si="163"/>
        <v>0</v>
      </c>
      <c r="L152" s="35">
        <f t="shared" si="164"/>
        <v>0</v>
      </c>
      <c r="M152" s="35">
        <f t="shared" si="165"/>
        <v>0</v>
      </c>
      <c r="N152" s="35">
        <v>1.6100000000000001E-3</v>
      </c>
      <c r="O152" s="35">
        <f t="shared" si="166"/>
        <v>7.4060000000000001E-2</v>
      </c>
      <c r="P152" s="37" t="s">
        <v>64</v>
      </c>
      <c r="Z152" s="35">
        <f t="shared" si="167"/>
        <v>0</v>
      </c>
      <c r="AB152" s="35">
        <f t="shared" si="168"/>
        <v>0</v>
      </c>
      <c r="AC152" s="35">
        <f t="shared" si="169"/>
        <v>0</v>
      </c>
      <c r="AD152" s="35">
        <f t="shared" si="170"/>
        <v>0</v>
      </c>
      <c r="AE152" s="35">
        <f t="shared" si="171"/>
        <v>0</v>
      </c>
      <c r="AF152" s="35">
        <f t="shared" si="172"/>
        <v>0</v>
      </c>
      <c r="AG152" s="35">
        <f t="shared" si="173"/>
        <v>0</v>
      </c>
      <c r="AH152" s="35">
        <f t="shared" si="174"/>
        <v>0</v>
      </c>
      <c r="AI152" s="12" t="s">
        <v>215</v>
      </c>
      <c r="AJ152" s="35">
        <f t="shared" si="175"/>
        <v>0</v>
      </c>
      <c r="AK152" s="35">
        <f t="shared" si="176"/>
        <v>0</v>
      </c>
      <c r="AL152" s="35">
        <f t="shared" si="177"/>
        <v>0</v>
      </c>
      <c r="AN152" s="35">
        <v>21</v>
      </c>
      <c r="AO152" s="35">
        <f>H152*0.610341246</f>
        <v>0</v>
      </c>
      <c r="AP152" s="35">
        <f>H152*(1-0.610341246)</f>
        <v>0</v>
      </c>
      <c r="AQ152" s="38" t="s">
        <v>65</v>
      </c>
      <c r="AV152" s="35">
        <f t="shared" si="178"/>
        <v>0</v>
      </c>
      <c r="AW152" s="35">
        <f t="shared" si="179"/>
        <v>0</v>
      </c>
      <c r="AX152" s="35">
        <f t="shared" si="180"/>
        <v>0</v>
      </c>
      <c r="AY152" s="38" t="s">
        <v>477</v>
      </c>
      <c r="AZ152" s="38" t="s">
        <v>364</v>
      </c>
      <c r="BA152" s="12" t="s">
        <v>225</v>
      </c>
      <c r="BC152" s="35">
        <f t="shared" si="181"/>
        <v>0</v>
      </c>
      <c r="BD152" s="35">
        <f t="shared" si="182"/>
        <v>0</v>
      </c>
      <c r="BE152" s="35">
        <v>0</v>
      </c>
      <c r="BF152" s="35">
        <f t="shared" si="183"/>
        <v>7.4060000000000001E-2</v>
      </c>
      <c r="BH152" s="35">
        <f t="shared" si="184"/>
        <v>0</v>
      </c>
      <c r="BI152" s="35">
        <f t="shared" si="185"/>
        <v>0</v>
      </c>
      <c r="BJ152" s="35">
        <f t="shared" si="186"/>
        <v>0</v>
      </c>
      <c r="BK152" s="38" t="s">
        <v>69</v>
      </c>
      <c r="BL152" s="35">
        <v>733</v>
      </c>
      <c r="BW152" s="35">
        <f t="shared" si="187"/>
        <v>21</v>
      </c>
      <c r="BX152" s="4" t="s">
        <v>492</v>
      </c>
    </row>
    <row r="153" spans="1:76" x14ac:dyDescent="0.25">
      <c r="A153" s="2" t="s">
        <v>493</v>
      </c>
      <c r="B153" s="3" t="s">
        <v>215</v>
      </c>
      <c r="C153" s="3" t="s">
        <v>494</v>
      </c>
      <c r="D153" s="70" t="s">
        <v>495</v>
      </c>
      <c r="E153" s="71"/>
      <c r="F153" s="3" t="s">
        <v>63</v>
      </c>
      <c r="G153" s="35">
        <v>115</v>
      </c>
      <c r="H153" s="68">
        <v>0</v>
      </c>
      <c r="I153" s="36">
        <v>21</v>
      </c>
      <c r="J153" s="35">
        <f t="shared" si="162"/>
        <v>0</v>
      </c>
      <c r="K153" s="35">
        <f t="shared" si="163"/>
        <v>0</v>
      </c>
      <c r="L153" s="35">
        <f t="shared" si="164"/>
        <v>0</v>
      </c>
      <c r="M153" s="35">
        <f t="shared" si="165"/>
        <v>0</v>
      </c>
      <c r="N153" s="35">
        <v>1.8600000000000001E-3</v>
      </c>
      <c r="O153" s="35">
        <f t="shared" si="166"/>
        <v>0.21390000000000001</v>
      </c>
      <c r="P153" s="37" t="s">
        <v>64</v>
      </c>
      <c r="Z153" s="35">
        <f t="shared" si="167"/>
        <v>0</v>
      </c>
      <c r="AB153" s="35">
        <f t="shared" si="168"/>
        <v>0</v>
      </c>
      <c r="AC153" s="35">
        <f t="shared" si="169"/>
        <v>0</v>
      </c>
      <c r="AD153" s="35">
        <f t="shared" si="170"/>
        <v>0</v>
      </c>
      <c r="AE153" s="35">
        <f t="shared" si="171"/>
        <v>0</v>
      </c>
      <c r="AF153" s="35">
        <f t="shared" si="172"/>
        <v>0</v>
      </c>
      <c r="AG153" s="35">
        <f t="shared" si="173"/>
        <v>0</v>
      </c>
      <c r="AH153" s="35">
        <f t="shared" si="174"/>
        <v>0</v>
      </c>
      <c r="AI153" s="12" t="s">
        <v>215</v>
      </c>
      <c r="AJ153" s="35">
        <f t="shared" si="175"/>
        <v>0</v>
      </c>
      <c r="AK153" s="35">
        <f t="shared" si="176"/>
        <v>0</v>
      </c>
      <c r="AL153" s="35">
        <f t="shared" si="177"/>
        <v>0</v>
      </c>
      <c r="AN153" s="35">
        <v>21</v>
      </c>
      <c r="AO153" s="35">
        <f>H153*0.638081181</f>
        <v>0</v>
      </c>
      <c r="AP153" s="35">
        <f>H153*(1-0.638081181)</f>
        <v>0</v>
      </c>
      <c r="AQ153" s="38" t="s">
        <v>65</v>
      </c>
      <c r="AV153" s="35">
        <f t="shared" si="178"/>
        <v>0</v>
      </c>
      <c r="AW153" s="35">
        <f t="shared" si="179"/>
        <v>0</v>
      </c>
      <c r="AX153" s="35">
        <f t="shared" si="180"/>
        <v>0</v>
      </c>
      <c r="AY153" s="38" t="s">
        <v>477</v>
      </c>
      <c r="AZ153" s="38" t="s">
        <v>364</v>
      </c>
      <c r="BA153" s="12" t="s">
        <v>225</v>
      </c>
      <c r="BC153" s="35">
        <f t="shared" si="181"/>
        <v>0</v>
      </c>
      <c r="BD153" s="35">
        <f t="shared" si="182"/>
        <v>0</v>
      </c>
      <c r="BE153" s="35">
        <v>0</v>
      </c>
      <c r="BF153" s="35">
        <f t="shared" si="183"/>
        <v>0.21390000000000001</v>
      </c>
      <c r="BH153" s="35">
        <f t="shared" si="184"/>
        <v>0</v>
      </c>
      <c r="BI153" s="35">
        <f t="shared" si="185"/>
        <v>0</v>
      </c>
      <c r="BJ153" s="35">
        <f t="shared" si="186"/>
        <v>0</v>
      </c>
      <c r="BK153" s="38" t="s">
        <v>69</v>
      </c>
      <c r="BL153" s="35">
        <v>733</v>
      </c>
      <c r="BW153" s="35">
        <f t="shared" si="187"/>
        <v>21</v>
      </c>
      <c r="BX153" s="4" t="s">
        <v>495</v>
      </c>
    </row>
    <row r="154" spans="1:76" x14ac:dyDescent="0.25">
      <c r="A154" s="2" t="s">
        <v>496</v>
      </c>
      <c r="B154" s="3" t="s">
        <v>215</v>
      </c>
      <c r="C154" s="3" t="s">
        <v>497</v>
      </c>
      <c r="D154" s="70" t="s">
        <v>498</v>
      </c>
      <c r="E154" s="71"/>
      <c r="F154" s="3" t="s">
        <v>63</v>
      </c>
      <c r="G154" s="35">
        <v>106</v>
      </c>
      <c r="H154" s="68">
        <v>0</v>
      </c>
      <c r="I154" s="36">
        <v>21</v>
      </c>
      <c r="J154" s="35">
        <f t="shared" si="162"/>
        <v>0</v>
      </c>
      <c r="K154" s="35">
        <f t="shared" si="163"/>
        <v>0</v>
      </c>
      <c r="L154" s="35">
        <f t="shared" si="164"/>
        <v>0</v>
      </c>
      <c r="M154" s="35">
        <f t="shared" si="165"/>
        <v>0</v>
      </c>
      <c r="N154" s="35">
        <v>1.9E-3</v>
      </c>
      <c r="O154" s="35">
        <f t="shared" si="166"/>
        <v>0.2014</v>
      </c>
      <c r="P154" s="37" t="s">
        <v>64</v>
      </c>
      <c r="Z154" s="35">
        <f t="shared" si="167"/>
        <v>0</v>
      </c>
      <c r="AB154" s="35">
        <f t="shared" si="168"/>
        <v>0</v>
      </c>
      <c r="AC154" s="35">
        <f t="shared" si="169"/>
        <v>0</v>
      </c>
      <c r="AD154" s="35">
        <f t="shared" si="170"/>
        <v>0</v>
      </c>
      <c r="AE154" s="35">
        <f t="shared" si="171"/>
        <v>0</v>
      </c>
      <c r="AF154" s="35">
        <f t="shared" si="172"/>
        <v>0</v>
      </c>
      <c r="AG154" s="35">
        <f t="shared" si="173"/>
        <v>0</v>
      </c>
      <c r="AH154" s="35">
        <f t="shared" si="174"/>
        <v>0</v>
      </c>
      <c r="AI154" s="12" t="s">
        <v>215</v>
      </c>
      <c r="AJ154" s="35">
        <f t="shared" si="175"/>
        <v>0</v>
      </c>
      <c r="AK154" s="35">
        <f t="shared" si="176"/>
        <v>0</v>
      </c>
      <c r="AL154" s="35">
        <f t="shared" si="177"/>
        <v>0</v>
      </c>
      <c r="AN154" s="35">
        <v>21</v>
      </c>
      <c r="AO154" s="35">
        <f>H154*0.675357493</f>
        <v>0</v>
      </c>
      <c r="AP154" s="35">
        <f>H154*(1-0.675357493)</f>
        <v>0</v>
      </c>
      <c r="AQ154" s="38" t="s">
        <v>65</v>
      </c>
      <c r="AV154" s="35">
        <f t="shared" si="178"/>
        <v>0</v>
      </c>
      <c r="AW154" s="35">
        <f t="shared" si="179"/>
        <v>0</v>
      </c>
      <c r="AX154" s="35">
        <f t="shared" si="180"/>
        <v>0</v>
      </c>
      <c r="AY154" s="38" t="s">
        <v>477</v>
      </c>
      <c r="AZ154" s="38" t="s">
        <v>364</v>
      </c>
      <c r="BA154" s="12" t="s">
        <v>225</v>
      </c>
      <c r="BC154" s="35">
        <f t="shared" si="181"/>
        <v>0</v>
      </c>
      <c r="BD154" s="35">
        <f t="shared" si="182"/>
        <v>0</v>
      </c>
      <c r="BE154" s="35">
        <v>0</v>
      </c>
      <c r="BF154" s="35">
        <f t="shared" si="183"/>
        <v>0.2014</v>
      </c>
      <c r="BH154" s="35">
        <f t="shared" si="184"/>
        <v>0</v>
      </c>
      <c r="BI154" s="35">
        <f t="shared" si="185"/>
        <v>0</v>
      </c>
      <c r="BJ154" s="35">
        <f t="shared" si="186"/>
        <v>0</v>
      </c>
      <c r="BK154" s="38" t="s">
        <v>69</v>
      </c>
      <c r="BL154" s="35">
        <v>733</v>
      </c>
      <c r="BW154" s="35">
        <f t="shared" si="187"/>
        <v>21</v>
      </c>
      <c r="BX154" s="4" t="s">
        <v>498</v>
      </c>
    </row>
    <row r="155" spans="1:76" ht="25.5" x14ac:dyDescent="0.25">
      <c r="A155" s="2" t="s">
        <v>499</v>
      </c>
      <c r="B155" s="3" t="s">
        <v>215</v>
      </c>
      <c r="C155" s="3" t="s">
        <v>500</v>
      </c>
      <c r="D155" s="70" t="s">
        <v>501</v>
      </c>
      <c r="E155" s="71"/>
      <c r="F155" s="3" t="s">
        <v>155</v>
      </c>
      <c r="G155" s="35">
        <v>1</v>
      </c>
      <c r="H155" s="68">
        <v>0</v>
      </c>
      <c r="I155" s="36">
        <v>21</v>
      </c>
      <c r="J155" s="35">
        <f t="shared" si="162"/>
        <v>0</v>
      </c>
      <c r="K155" s="35">
        <f t="shared" si="163"/>
        <v>0</v>
      </c>
      <c r="L155" s="35">
        <f t="shared" si="164"/>
        <v>0</v>
      </c>
      <c r="M155" s="35">
        <f t="shared" si="165"/>
        <v>0</v>
      </c>
      <c r="N155" s="35">
        <v>0</v>
      </c>
      <c r="O155" s="35">
        <f t="shared" si="166"/>
        <v>0</v>
      </c>
      <c r="P155" s="37" t="s">
        <v>64</v>
      </c>
      <c r="Z155" s="35">
        <f t="shared" si="167"/>
        <v>0</v>
      </c>
      <c r="AB155" s="35">
        <f t="shared" si="168"/>
        <v>0</v>
      </c>
      <c r="AC155" s="35">
        <f t="shared" si="169"/>
        <v>0</v>
      </c>
      <c r="AD155" s="35">
        <f t="shared" si="170"/>
        <v>0</v>
      </c>
      <c r="AE155" s="35">
        <f t="shared" si="171"/>
        <v>0</v>
      </c>
      <c r="AF155" s="35">
        <f t="shared" si="172"/>
        <v>0</v>
      </c>
      <c r="AG155" s="35">
        <f t="shared" si="173"/>
        <v>0</v>
      </c>
      <c r="AH155" s="35">
        <f t="shared" si="174"/>
        <v>0</v>
      </c>
      <c r="AI155" s="12" t="s">
        <v>215</v>
      </c>
      <c r="AJ155" s="35">
        <f t="shared" si="175"/>
        <v>0</v>
      </c>
      <c r="AK155" s="35">
        <f t="shared" si="176"/>
        <v>0</v>
      </c>
      <c r="AL155" s="35">
        <f t="shared" si="177"/>
        <v>0</v>
      </c>
      <c r="AN155" s="35">
        <v>21</v>
      </c>
      <c r="AO155" s="35">
        <f>H155*1</f>
        <v>0</v>
      </c>
      <c r="AP155" s="35">
        <f>H155*(1-1)</f>
        <v>0</v>
      </c>
      <c r="AQ155" s="38" t="s">
        <v>65</v>
      </c>
      <c r="AV155" s="35">
        <f t="shared" si="178"/>
        <v>0</v>
      </c>
      <c r="AW155" s="35">
        <f t="shared" si="179"/>
        <v>0</v>
      </c>
      <c r="AX155" s="35">
        <f t="shared" si="180"/>
        <v>0</v>
      </c>
      <c r="AY155" s="38" t="s">
        <v>477</v>
      </c>
      <c r="AZ155" s="38" t="s">
        <v>364</v>
      </c>
      <c r="BA155" s="12" t="s">
        <v>225</v>
      </c>
      <c r="BC155" s="35">
        <f t="shared" si="181"/>
        <v>0</v>
      </c>
      <c r="BD155" s="35">
        <f t="shared" si="182"/>
        <v>0</v>
      </c>
      <c r="BE155" s="35">
        <v>0</v>
      </c>
      <c r="BF155" s="35">
        <f t="shared" si="183"/>
        <v>0</v>
      </c>
      <c r="BH155" s="35">
        <f t="shared" si="184"/>
        <v>0</v>
      </c>
      <c r="BI155" s="35">
        <f t="shared" si="185"/>
        <v>0</v>
      </c>
      <c r="BJ155" s="35">
        <f t="shared" si="186"/>
        <v>0</v>
      </c>
      <c r="BK155" s="38" t="s">
        <v>156</v>
      </c>
      <c r="BL155" s="35">
        <v>733</v>
      </c>
      <c r="BW155" s="35">
        <f t="shared" si="187"/>
        <v>21</v>
      </c>
      <c r="BX155" s="4" t="s">
        <v>501</v>
      </c>
    </row>
    <row r="156" spans="1:76" x14ac:dyDescent="0.25">
      <c r="A156" s="31" t="s">
        <v>55</v>
      </c>
      <c r="B156" s="32" t="s">
        <v>215</v>
      </c>
      <c r="C156" s="32" t="s">
        <v>157</v>
      </c>
      <c r="D156" s="128" t="s">
        <v>158</v>
      </c>
      <c r="E156" s="129"/>
      <c r="F156" s="33" t="s">
        <v>4</v>
      </c>
      <c r="G156" s="33" t="s">
        <v>4</v>
      </c>
      <c r="H156" s="33" t="s">
        <v>4</v>
      </c>
      <c r="I156" s="33" t="s">
        <v>4</v>
      </c>
      <c r="J156" s="1">
        <f>SUM(J157:J208)</f>
        <v>0</v>
      </c>
      <c r="K156" s="1">
        <f>SUM(K157:K208)</f>
        <v>0</v>
      </c>
      <c r="L156" s="1">
        <f>SUM(L157:L208)</f>
        <v>0</v>
      </c>
      <c r="M156" s="1">
        <f>SUM(M157:M208)</f>
        <v>0</v>
      </c>
      <c r="N156" s="12" t="s">
        <v>55</v>
      </c>
      <c r="O156" s="1">
        <f>SUM(O157:O208)</f>
        <v>0.6009000000000001</v>
      </c>
      <c r="P156" s="34" t="s">
        <v>55</v>
      </c>
      <c r="AI156" s="12" t="s">
        <v>215</v>
      </c>
      <c r="AS156" s="1">
        <f>SUM(AJ157:AJ208)</f>
        <v>0</v>
      </c>
      <c r="AT156" s="1">
        <f>SUM(AK157:AK208)</f>
        <v>0</v>
      </c>
      <c r="AU156" s="1">
        <f>SUM(AL157:AL208)</f>
        <v>0</v>
      </c>
    </row>
    <row r="157" spans="1:76" x14ac:dyDescent="0.25">
      <c r="A157" s="2" t="s">
        <v>502</v>
      </c>
      <c r="B157" s="3" t="s">
        <v>215</v>
      </c>
      <c r="C157" s="3" t="s">
        <v>503</v>
      </c>
      <c r="D157" s="70" t="s">
        <v>504</v>
      </c>
      <c r="E157" s="71"/>
      <c r="F157" s="3" t="s">
        <v>85</v>
      </c>
      <c r="G157" s="35">
        <v>10</v>
      </c>
      <c r="H157" s="68">
        <v>0</v>
      </c>
      <c r="I157" s="36">
        <v>21</v>
      </c>
      <c r="J157" s="35">
        <f t="shared" ref="J157:J188" si="188">ROUND(G157*AO157,2)</f>
        <v>0</v>
      </c>
      <c r="K157" s="35">
        <f t="shared" ref="K157:K188" si="189">ROUND(G157*AP157,2)</f>
        <v>0</v>
      </c>
      <c r="L157" s="35">
        <f t="shared" ref="L157:L188" si="190">ROUND(G157*H157,2)</f>
        <v>0</v>
      </c>
      <c r="M157" s="35">
        <f t="shared" ref="M157:M188" si="191">L157*(1+BW157/100)</f>
        <v>0</v>
      </c>
      <c r="N157" s="35">
        <v>2.5999999999999998E-4</v>
      </c>
      <c r="O157" s="35">
        <f t="shared" ref="O157:O188" si="192">G157*N157</f>
        <v>2.5999999999999999E-3</v>
      </c>
      <c r="P157" s="37" t="s">
        <v>64</v>
      </c>
      <c r="Z157" s="35">
        <f t="shared" ref="Z157:Z188" si="193">ROUND(IF(AQ157="5",BJ157,0),2)</f>
        <v>0</v>
      </c>
      <c r="AB157" s="35">
        <f t="shared" ref="AB157:AB188" si="194">ROUND(IF(AQ157="1",BH157,0),2)</f>
        <v>0</v>
      </c>
      <c r="AC157" s="35">
        <f t="shared" ref="AC157:AC188" si="195">ROUND(IF(AQ157="1",BI157,0),2)</f>
        <v>0</v>
      </c>
      <c r="AD157" s="35">
        <f t="shared" ref="AD157:AD188" si="196">ROUND(IF(AQ157="7",BH157,0),2)</f>
        <v>0</v>
      </c>
      <c r="AE157" s="35">
        <f t="shared" ref="AE157:AE188" si="197">ROUND(IF(AQ157="7",BI157,0),2)</f>
        <v>0</v>
      </c>
      <c r="AF157" s="35">
        <f t="shared" ref="AF157:AF188" si="198">ROUND(IF(AQ157="2",BH157,0),2)</f>
        <v>0</v>
      </c>
      <c r="AG157" s="35">
        <f t="shared" ref="AG157:AG188" si="199">ROUND(IF(AQ157="2",BI157,0),2)</f>
        <v>0</v>
      </c>
      <c r="AH157" s="35">
        <f t="shared" ref="AH157:AH188" si="200">ROUND(IF(AQ157="0",BJ157,0),2)</f>
        <v>0</v>
      </c>
      <c r="AI157" s="12" t="s">
        <v>215</v>
      </c>
      <c r="AJ157" s="35">
        <f t="shared" ref="AJ157:AJ188" si="201">IF(AN157=0,L157,0)</f>
        <v>0</v>
      </c>
      <c r="AK157" s="35">
        <f t="shared" ref="AK157:AK188" si="202">IF(AN157=15,L157,0)</f>
        <v>0</v>
      </c>
      <c r="AL157" s="35">
        <f t="shared" ref="AL157:AL188" si="203">IF(AN157=21,L157,0)</f>
        <v>0</v>
      </c>
      <c r="AN157" s="35">
        <v>21</v>
      </c>
      <c r="AO157" s="35">
        <f>H157*0.778022567</f>
        <v>0</v>
      </c>
      <c r="AP157" s="35">
        <f>H157*(1-0.778022567)</f>
        <v>0</v>
      </c>
      <c r="AQ157" s="38" t="s">
        <v>65</v>
      </c>
      <c r="AV157" s="35">
        <f t="shared" ref="AV157:AV188" si="204">ROUND(AW157+AX157,2)</f>
        <v>0</v>
      </c>
      <c r="AW157" s="35">
        <f t="shared" ref="AW157:AW188" si="205">ROUND(G157*AO157,2)</f>
        <v>0</v>
      </c>
      <c r="AX157" s="35">
        <f t="shared" ref="AX157:AX188" si="206">ROUND(G157*AP157,2)</f>
        <v>0</v>
      </c>
      <c r="AY157" s="38" t="s">
        <v>162</v>
      </c>
      <c r="AZ157" s="38" t="s">
        <v>364</v>
      </c>
      <c r="BA157" s="12" t="s">
        <v>225</v>
      </c>
      <c r="BC157" s="35">
        <f t="shared" ref="BC157:BC188" si="207">AW157+AX157</f>
        <v>0</v>
      </c>
      <c r="BD157" s="35">
        <f t="shared" ref="BD157:BD188" si="208">H157/(100-BE157)*100</f>
        <v>0</v>
      </c>
      <c r="BE157" s="35">
        <v>0</v>
      </c>
      <c r="BF157" s="35">
        <f t="shared" ref="BF157:BF188" si="209">O157</f>
        <v>2.5999999999999999E-3</v>
      </c>
      <c r="BH157" s="35">
        <f t="shared" ref="BH157:BH188" si="210">G157*AO157</f>
        <v>0</v>
      </c>
      <c r="BI157" s="35">
        <f t="shared" ref="BI157:BI188" si="211">G157*AP157</f>
        <v>0</v>
      </c>
      <c r="BJ157" s="35">
        <f t="shared" ref="BJ157:BJ188" si="212">G157*H157</f>
        <v>0</v>
      </c>
      <c r="BK157" s="38" t="s">
        <v>69</v>
      </c>
      <c r="BL157" s="35">
        <v>734</v>
      </c>
      <c r="BW157" s="35">
        <f t="shared" ref="BW157:BW188" si="213">I157</f>
        <v>21</v>
      </c>
      <c r="BX157" s="4" t="s">
        <v>504</v>
      </c>
    </row>
    <row r="158" spans="1:76" x14ac:dyDescent="0.25">
      <c r="A158" s="2" t="s">
        <v>505</v>
      </c>
      <c r="B158" s="3" t="s">
        <v>215</v>
      </c>
      <c r="C158" s="3" t="s">
        <v>506</v>
      </c>
      <c r="D158" s="70" t="s">
        <v>507</v>
      </c>
      <c r="E158" s="71"/>
      <c r="F158" s="3" t="s">
        <v>85</v>
      </c>
      <c r="G158" s="35">
        <v>2</v>
      </c>
      <c r="H158" s="68">
        <v>0</v>
      </c>
      <c r="I158" s="36">
        <v>21</v>
      </c>
      <c r="J158" s="35">
        <f t="shared" si="188"/>
        <v>0</v>
      </c>
      <c r="K158" s="35">
        <f t="shared" si="189"/>
        <v>0</v>
      </c>
      <c r="L158" s="35">
        <f t="shared" si="190"/>
        <v>0</v>
      </c>
      <c r="M158" s="35">
        <f t="shared" si="191"/>
        <v>0</v>
      </c>
      <c r="N158" s="35">
        <v>1.1800000000000001E-3</v>
      </c>
      <c r="O158" s="35">
        <f t="shared" si="192"/>
        <v>2.3600000000000001E-3</v>
      </c>
      <c r="P158" s="37" t="s">
        <v>64</v>
      </c>
      <c r="Z158" s="35">
        <f t="shared" si="193"/>
        <v>0</v>
      </c>
      <c r="AB158" s="35">
        <f t="shared" si="194"/>
        <v>0</v>
      </c>
      <c r="AC158" s="35">
        <f t="shared" si="195"/>
        <v>0</v>
      </c>
      <c r="AD158" s="35">
        <f t="shared" si="196"/>
        <v>0</v>
      </c>
      <c r="AE158" s="35">
        <f t="shared" si="197"/>
        <v>0</v>
      </c>
      <c r="AF158" s="35">
        <f t="shared" si="198"/>
        <v>0</v>
      </c>
      <c r="AG158" s="35">
        <f t="shared" si="199"/>
        <v>0</v>
      </c>
      <c r="AH158" s="35">
        <f t="shared" si="200"/>
        <v>0</v>
      </c>
      <c r="AI158" s="12" t="s">
        <v>215</v>
      </c>
      <c r="AJ158" s="35">
        <f t="shared" si="201"/>
        <v>0</v>
      </c>
      <c r="AK158" s="35">
        <f t="shared" si="202"/>
        <v>0</v>
      </c>
      <c r="AL158" s="35">
        <f t="shared" si="203"/>
        <v>0</v>
      </c>
      <c r="AN158" s="35">
        <v>21</v>
      </c>
      <c r="AO158" s="35">
        <f>H158*0.859716222</f>
        <v>0</v>
      </c>
      <c r="AP158" s="35">
        <f>H158*(1-0.859716222)</f>
        <v>0</v>
      </c>
      <c r="AQ158" s="38" t="s">
        <v>65</v>
      </c>
      <c r="AV158" s="35">
        <f t="shared" si="204"/>
        <v>0</v>
      </c>
      <c r="AW158" s="35">
        <f t="shared" si="205"/>
        <v>0</v>
      </c>
      <c r="AX158" s="35">
        <f t="shared" si="206"/>
        <v>0</v>
      </c>
      <c r="AY158" s="38" t="s">
        <v>162</v>
      </c>
      <c r="AZ158" s="38" t="s">
        <v>364</v>
      </c>
      <c r="BA158" s="12" t="s">
        <v>225</v>
      </c>
      <c r="BC158" s="35">
        <f t="shared" si="207"/>
        <v>0</v>
      </c>
      <c r="BD158" s="35">
        <f t="shared" si="208"/>
        <v>0</v>
      </c>
      <c r="BE158" s="35">
        <v>0</v>
      </c>
      <c r="BF158" s="35">
        <f t="shared" si="209"/>
        <v>2.3600000000000001E-3</v>
      </c>
      <c r="BH158" s="35">
        <f t="shared" si="210"/>
        <v>0</v>
      </c>
      <c r="BI158" s="35">
        <f t="shared" si="211"/>
        <v>0</v>
      </c>
      <c r="BJ158" s="35">
        <f t="shared" si="212"/>
        <v>0</v>
      </c>
      <c r="BK158" s="38" t="s">
        <v>69</v>
      </c>
      <c r="BL158" s="35">
        <v>734</v>
      </c>
      <c r="BW158" s="35">
        <f t="shared" si="213"/>
        <v>21</v>
      </c>
      <c r="BX158" s="4" t="s">
        <v>507</v>
      </c>
    </row>
    <row r="159" spans="1:76" x14ac:dyDescent="0.25">
      <c r="A159" s="2" t="s">
        <v>508</v>
      </c>
      <c r="B159" s="3" t="s">
        <v>215</v>
      </c>
      <c r="C159" s="3" t="s">
        <v>509</v>
      </c>
      <c r="D159" s="70" t="s">
        <v>510</v>
      </c>
      <c r="E159" s="71"/>
      <c r="F159" s="3" t="s">
        <v>85</v>
      </c>
      <c r="G159" s="35">
        <v>1</v>
      </c>
      <c r="H159" s="68">
        <v>0</v>
      </c>
      <c r="I159" s="36">
        <v>21</v>
      </c>
      <c r="J159" s="35">
        <f t="shared" si="188"/>
        <v>0</v>
      </c>
      <c r="K159" s="35">
        <f t="shared" si="189"/>
        <v>0</v>
      </c>
      <c r="L159" s="35">
        <f t="shared" si="190"/>
        <v>0</v>
      </c>
      <c r="M159" s="35">
        <f t="shared" si="191"/>
        <v>0</v>
      </c>
      <c r="N159" s="35">
        <v>1.8000000000000001E-4</v>
      </c>
      <c r="O159" s="35">
        <f t="shared" si="192"/>
        <v>1.8000000000000001E-4</v>
      </c>
      <c r="P159" s="37" t="s">
        <v>64</v>
      </c>
      <c r="Z159" s="35">
        <f t="shared" si="193"/>
        <v>0</v>
      </c>
      <c r="AB159" s="35">
        <f t="shared" si="194"/>
        <v>0</v>
      </c>
      <c r="AC159" s="35">
        <f t="shared" si="195"/>
        <v>0</v>
      </c>
      <c r="AD159" s="35">
        <f t="shared" si="196"/>
        <v>0</v>
      </c>
      <c r="AE159" s="35">
        <f t="shared" si="197"/>
        <v>0</v>
      </c>
      <c r="AF159" s="35">
        <f t="shared" si="198"/>
        <v>0</v>
      </c>
      <c r="AG159" s="35">
        <f t="shared" si="199"/>
        <v>0</v>
      </c>
      <c r="AH159" s="35">
        <f t="shared" si="200"/>
        <v>0</v>
      </c>
      <c r="AI159" s="12" t="s">
        <v>215</v>
      </c>
      <c r="AJ159" s="35">
        <f t="shared" si="201"/>
        <v>0</v>
      </c>
      <c r="AK159" s="35">
        <f t="shared" si="202"/>
        <v>0</v>
      </c>
      <c r="AL159" s="35">
        <f t="shared" si="203"/>
        <v>0</v>
      </c>
      <c r="AN159" s="35">
        <v>21</v>
      </c>
      <c r="AO159" s="35">
        <f>H159*0.672674369</f>
        <v>0</v>
      </c>
      <c r="AP159" s="35">
        <f>H159*(1-0.672674369)</f>
        <v>0</v>
      </c>
      <c r="AQ159" s="38" t="s">
        <v>65</v>
      </c>
      <c r="AV159" s="35">
        <f t="shared" si="204"/>
        <v>0</v>
      </c>
      <c r="AW159" s="35">
        <f t="shared" si="205"/>
        <v>0</v>
      </c>
      <c r="AX159" s="35">
        <f t="shared" si="206"/>
        <v>0</v>
      </c>
      <c r="AY159" s="38" t="s">
        <v>162</v>
      </c>
      <c r="AZ159" s="38" t="s">
        <v>364</v>
      </c>
      <c r="BA159" s="12" t="s">
        <v>225</v>
      </c>
      <c r="BC159" s="35">
        <f t="shared" si="207"/>
        <v>0</v>
      </c>
      <c r="BD159" s="35">
        <f t="shared" si="208"/>
        <v>0</v>
      </c>
      <c r="BE159" s="35">
        <v>0</v>
      </c>
      <c r="BF159" s="35">
        <f t="shared" si="209"/>
        <v>1.8000000000000001E-4</v>
      </c>
      <c r="BH159" s="35">
        <f t="shared" si="210"/>
        <v>0</v>
      </c>
      <c r="BI159" s="35">
        <f t="shared" si="211"/>
        <v>0</v>
      </c>
      <c r="BJ159" s="35">
        <f t="shared" si="212"/>
        <v>0</v>
      </c>
      <c r="BK159" s="38" t="s">
        <v>69</v>
      </c>
      <c r="BL159" s="35">
        <v>734</v>
      </c>
      <c r="BW159" s="35">
        <f t="shared" si="213"/>
        <v>21</v>
      </c>
      <c r="BX159" s="4" t="s">
        <v>510</v>
      </c>
    </row>
    <row r="160" spans="1:76" x14ac:dyDescent="0.25">
      <c r="A160" s="2" t="s">
        <v>511</v>
      </c>
      <c r="B160" s="3" t="s">
        <v>215</v>
      </c>
      <c r="C160" s="3" t="s">
        <v>512</v>
      </c>
      <c r="D160" s="70" t="s">
        <v>513</v>
      </c>
      <c r="E160" s="71"/>
      <c r="F160" s="3" t="s">
        <v>85</v>
      </c>
      <c r="G160" s="35">
        <v>2</v>
      </c>
      <c r="H160" s="68">
        <v>0</v>
      </c>
      <c r="I160" s="36">
        <v>21</v>
      </c>
      <c r="J160" s="35">
        <f t="shared" si="188"/>
        <v>0</v>
      </c>
      <c r="K160" s="35">
        <f t="shared" si="189"/>
        <v>0</v>
      </c>
      <c r="L160" s="35">
        <f t="shared" si="190"/>
        <v>0</v>
      </c>
      <c r="M160" s="35">
        <f t="shared" si="191"/>
        <v>0</v>
      </c>
      <c r="N160" s="35">
        <v>3.1E-4</v>
      </c>
      <c r="O160" s="35">
        <f t="shared" si="192"/>
        <v>6.2E-4</v>
      </c>
      <c r="P160" s="37" t="s">
        <v>64</v>
      </c>
      <c r="Z160" s="35">
        <f t="shared" si="193"/>
        <v>0</v>
      </c>
      <c r="AB160" s="35">
        <f t="shared" si="194"/>
        <v>0</v>
      </c>
      <c r="AC160" s="35">
        <f t="shared" si="195"/>
        <v>0</v>
      </c>
      <c r="AD160" s="35">
        <f t="shared" si="196"/>
        <v>0</v>
      </c>
      <c r="AE160" s="35">
        <f t="shared" si="197"/>
        <v>0</v>
      </c>
      <c r="AF160" s="35">
        <f t="shared" si="198"/>
        <v>0</v>
      </c>
      <c r="AG160" s="35">
        <f t="shared" si="199"/>
        <v>0</v>
      </c>
      <c r="AH160" s="35">
        <f t="shared" si="200"/>
        <v>0</v>
      </c>
      <c r="AI160" s="12" t="s">
        <v>215</v>
      </c>
      <c r="AJ160" s="35">
        <f t="shared" si="201"/>
        <v>0</v>
      </c>
      <c r="AK160" s="35">
        <f t="shared" si="202"/>
        <v>0</v>
      </c>
      <c r="AL160" s="35">
        <f t="shared" si="203"/>
        <v>0</v>
      </c>
      <c r="AN160" s="35">
        <v>21</v>
      </c>
      <c r="AO160" s="35">
        <f>H160*0.71776151</f>
        <v>0</v>
      </c>
      <c r="AP160" s="35">
        <f>H160*(1-0.71776151)</f>
        <v>0</v>
      </c>
      <c r="AQ160" s="38" t="s">
        <v>65</v>
      </c>
      <c r="AV160" s="35">
        <f t="shared" si="204"/>
        <v>0</v>
      </c>
      <c r="AW160" s="35">
        <f t="shared" si="205"/>
        <v>0</v>
      </c>
      <c r="AX160" s="35">
        <f t="shared" si="206"/>
        <v>0</v>
      </c>
      <c r="AY160" s="38" t="s">
        <v>162</v>
      </c>
      <c r="AZ160" s="38" t="s">
        <v>364</v>
      </c>
      <c r="BA160" s="12" t="s">
        <v>225</v>
      </c>
      <c r="BC160" s="35">
        <f t="shared" si="207"/>
        <v>0</v>
      </c>
      <c r="BD160" s="35">
        <f t="shared" si="208"/>
        <v>0</v>
      </c>
      <c r="BE160" s="35">
        <v>0</v>
      </c>
      <c r="BF160" s="35">
        <f t="shared" si="209"/>
        <v>6.2E-4</v>
      </c>
      <c r="BH160" s="35">
        <f t="shared" si="210"/>
        <v>0</v>
      </c>
      <c r="BI160" s="35">
        <f t="shared" si="211"/>
        <v>0</v>
      </c>
      <c r="BJ160" s="35">
        <f t="shared" si="212"/>
        <v>0</v>
      </c>
      <c r="BK160" s="38" t="s">
        <v>69</v>
      </c>
      <c r="BL160" s="35">
        <v>734</v>
      </c>
      <c r="BW160" s="35">
        <f t="shared" si="213"/>
        <v>21</v>
      </c>
      <c r="BX160" s="4" t="s">
        <v>513</v>
      </c>
    </row>
    <row r="161" spans="1:76" x14ac:dyDescent="0.25">
      <c r="A161" s="2" t="s">
        <v>514</v>
      </c>
      <c r="B161" s="3" t="s">
        <v>215</v>
      </c>
      <c r="C161" s="3" t="s">
        <v>515</v>
      </c>
      <c r="D161" s="70" t="s">
        <v>516</v>
      </c>
      <c r="E161" s="71"/>
      <c r="F161" s="3" t="s">
        <v>85</v>
      </c>
      <c r="G161" s="35">
        <v>5</v>
      </c>
      <c r="H161" s="68">
        <v>0</v>
      </c>
      <c r="I161" s="36">
        <v>21</v>
      </c>
      <c r="J161" s="35">
        <f t="shared" si="188"/>
        <v>0</v>
      </c>
      <c r="K161" s="35">
        <f t="shared" si="189"/>
        <v>0</v>
      </c>
      <c r="L161" s="35">
        <f t="shared" si="190"/>
        <v>0</v>
      </c>
      <c r="M161" s="35">
        <f t="shared" si="191"/>
        <v>0</v>
      </c>
      <c r="N161" s="35">
        <v>6.8000000000000005E-4</v>
      </c>
      <c r="O161" s="35">
        <f t="shared" si="192"/>
        <v>3.4000000000000002E-3</v>
      </c>
      <c r="P161" s="37" t="s">
        <v>64</v>
      </c>
      <c r="Z161" s="35">
        <f t="shared" si="193"/>
        <v>0</v>
      </c>
      <c r="AB161" s="35">
        <f t="shared" si="194"/>
        <v>0</v>
      </c>
      <c r="AC161" s="35">
        <f t="shared" si="195"/>
        <v>0</v>
      </c>
      <c r="AD161" s="35">
        <f t="shared" si="196"/>
        <v>0</v>
      </c>
      <c r="AE161" s="35">
        <f t="shared" si="197"/>
        <v>0</v>
      </c>
      <c r="AF161" s="35">
        <f t="shared" si="198"/>
        <v>0</v>
      </c>
      <c r="AG161" s="35">
        <f t="shared" si="199"/>
        <v>0</v>
      </c>
      <c r="AH161" s="35">
        <f t="shared" si="200"/>
        <v>0</v>
      </c>
      <c r="AI161" s="12" t="s">
        <v>215</v>
      </c>
      <c r="AJ161" s="35">
        <f t="shared" si="201"/>
        <v>0</v>
      </c>
      <c r="AK161" s="35">
        <f t="shared" si="202"/>
        <v>0</v>
      </c>
      <c r="AL161" s="35">
        <f t="shared" si="203"/>
        <v>0</v>
      </c>
      <c r="AN161" s="35">
        <v>21</v>
      </c>
      <c r="AO161" s="35">
        <f>H161*0.812597347</f>
        <v>0</v>
      </c>
      <c r="AP161" s="35">
        <f>H161*(1-0.812597347)</f>
        <v>0</v>
      </c>
      <c r="AQ161" s="38" t="s">
        <v>65</v>
      </c>
      <c r="AV161" s="35">
        <f t="shared" si="204"/>
        <v>0</v>
      </c>
      <c r="AW161" s="35">
        <f t="shared" si="205"/>
        <v>0</v>
      </c>
      <c r="AX161" s="35">
        <f t="shared" si="206"/>
        <v>0</v>
      </c>
      <c r="AY161" s="38" t="s">
        <v>162</v>
      </c>
      <c r="AZ161" s="38" t="s">
        <v>364</v>
      </c>
      <c r="BA161" s="12" t="s">
        <v>225</v>
      </c>
      <c r="BC161" s="35">
        <f t="shared" si="207"/>
        <v>0</v>
      </c>
      <c r="BD161" s="35">
        <f t="shared" si="208"/>
        <v>0</v>
      </c>
      <c r="BE161" s="35">
        <v>0</v>
      </c>
      <c r="BF161" s="35">
        <f t="shared" si="209"/>
        <v>3.4000000000000002E-3</v>
      </c>
      <c r="BH161" s="35">
        <f t="shared" si="210"/>
        <v>0</v>
      </c>
      <c r="BI161" s="35">
        <f t="shared" si="211"/>
        <v>0</v>
      </c>
      <c r="BJ161" s="35">
        <f t="shared" si="212"/>
        <v>0</v>
      </c>
      <c r="BK161" s="38" t="s">
        <v>69</v>
      </c>
      <c r="BL161" s="35">
        <v>734</v>
      </c>
      <c r="BW161" s="35">
        <f t="shared" si="213"/>
        <v>21</v>
      </c>
      <c r="BX161" s="4" t="s">
        <v>516</v>
      </c>
    </row>
    <row r="162" spans="1:76" x14ac:dyDescent="0.25">
      <c r="A162" s="2" t="s">
        <v>517</v>
      </c>
      <c r="B162" s="3" t="s">
        <v>215</v>
      </c>
      <c r="C162" s="3" t="s">
        <v>518</v>
      </c>
      <c r="D162" s="70" t="s">
        <v>519</v>
      </c>
      <c r="E162" s="71"/>
      <c r="F162" s="3" t="s">
        <v>85</v>
      </c>
      <c r="G162" s="35">
        <v>27</v>
      </c>
      <c r="H162" s="68">
        <v>0</v>
      </c>
      <c r="I162" s="36">
        <v>21</v>
      </c>
      <c r="J162" s="35">
        <f t="shared" si="188"/>
        <v>0</v>
      </c>
      <c r="K162" s="35">
        <f t="shared" si="189"/>
        <v>0</v>
      </c>
      <c r="L162" s="35">
        <f t="shared" si="190"/>
        <v>0</v>
      </c>
      <c r="M162" s="35">
        <f t="shared" si="191"/>
        <v>0</v>
      </c>
      <c r="N162" s="35">
        <v>1.0399999999999999E-3</v>
      </c>
      <c r="O162" s="35">
        <f t="shared" si="192"/>
        <v>2.8079999999999997E-2</v>
      </c>
      <c r="P162" s="37" t="s">
        <v>64</v>
      </c>
      <c r="Z162" s="35">
        <f t="shared" si="193"/>
        <v>0</v>
      </c>
      <c r="AB162" s="35">
        <f t="shared" si="194"/>
        <v>0</v>
      </c>
      <c r="AC162" s="35">
        <f t="shared" si="195"/>
        <v>0</v>
      </c>
      <c r="AD162" s="35">
        <f t="shared" si="196"/>
        <v>0</v>
      </c>
      <c r="AE162" s="35">
        <f t="shared" si="197"/>
        <v>0</v>
      </c>
      <c r="AF162" s="35">
        <f t="shared" si="198"/>
        <v>0</v>
      </c>
      <c r="AG162" s="35">
        <f t="shared" si="199"/>
        <v>0</v>
      </c>
      <c r="AH162" s="35">
        <f t="shared" si="200"/>
        <v>0</v>
      </c>
      <c r="AI162" s="12" t="s">
        <v>215</v>
      </c>
      <c r="AJ162" s="35">
        <f t="shared" si="201"/>
        <v>0</v>
      </c>
      <c r="AK162" s="35">
        <f t="shared" si="202"/>
        <v>0</v>
      </c>
      <c r="AL162" s="35">
        <f t="shared" si="203"/>
        <v>0</v>
      </c>
      <c r="AN162" s="35">
        <v>21</v>
      </c>
      <c r="AO162" s="35">
        <f>H162*0.830599102</f>
        <v>0</v>
      </c>
      <c r="AP162" s="35">
        <f>H162*(1-0.830599102)</f>
        <v>0</v>
      </c>
      <c r="AQ162" s="38" t="s">
        <v>65</v>
      </c>
      <c r="AV162" s="35">
        <f t="shared" si="204"/>
        <v>0</v>
      </c>
      <c r="AW162" s="35">
        <f t="shared" si="205"/>
        <v>0</v>
      </c>
      <c r="AX162" s="35">
        <f t="shared" si="206"/>
        <v>0</v>
      </c>
      <c r="AY162" s="38" t="s">
        <v>162</v>
      </c>
      <c r="AZ162" s="38" t="s">
        <v>364</v>
      </c>
      <c r="BA162" s="12" t="s">
        <v>225</v>
      </c>
      <c r="BC162" s="35">
        <f t="shared" si="207"/>
        <v>0</v>
      </c>
      <c r="BD162" s="35">
        <f t="shared" si="208"/>
        <v>0</v>
      </c>
      <c r="BE162" s="35">
        <v>0</v>
      </c>
      <c r="BF162" s="35">
        <f t="shared" si="209"/>
        <v>2.8079999999999997E-2</v>
      </c>
      <c r="BH162" s="35">
        <f t="shared" si="210"/>
        <v>0</v>
      </c>
      <c r="BI162" s="35">
        <f t="shared" si="211"/>
        <v>0</v>
      </c>
      <c r="BJ162" s="35">
        <f t="shared" si="212"/>
        <v>0</v>
      </c>
      <c r="BK162" s="38" t="s">
        <v>69</v>
      </c>
      <c r="BL162" s="35">
        <v>734</v>
      </c>
      <c r="BW162" s="35">
        <f t="shared" si="213"/>
        <v>21</v>
      </c>
      <c r="BX162" s="4" t="s">
        <v>519</v>
      </c>
    </row>
    <row r="163" spans="1:76" x14ac:dyDescent="0.25">
      <c r="A163" s="2" t="s">
        <v>520</v>
      </c>
      <c r="B163" s="3" t="s">
        <v>215</v>
      </c>
      <c r="C163" s="3" t="s">
        <v>521</v>
      </c>
      <c r="D163" s="70" t="s">
        <v>522</v>
      </c>
      <c r="E163" s="71"/>
      <c r="F163" s="3" t="s">
        <v>85</v>
      </c>
      <c r="G163" s="35">
        <v>23</v>
      </c>
      <c r="H163" s="68">
        <v>0</v>
      </c>
      <c r="I163" s="36">
        <v>21</v>
      </c>
      <c r="J163" s="35">
        <f t="shared" si="188"/>
        <v>0</v>
      </c>
      <c r="K163" s="35">
        <f t="shared" si="189"/>
        <v>0</v>
      </c>
      <c r="L163" s="35">
        <f t="shared" si="190"/>
        <v>0</v>
      </c>
      <c r="M163" s="35">
        <f t="shared" si="191"/>
        <v>0</v>
      </c>
      <c r="N163" s="35">
        <v>2.0799999999999998E-3</v>
      </c>
      <c r="O163" s="35">
        <f t="shared" si="192"/>
        <v>4.7839999999999994E-2</v>
      </c>
      <c r="P163" s="37" t="s">
        <v>64</v>
      </c>
      <c r="Z163" s="35">
        <f t="shared" si="193"/>
        <v>0</v>
      </c>
      <c r="AB163" s="35">
        <f t="shared" si="194"/>
        <v>0</v>
      </c>
      <c r="AC163" s="35">
        <f t="shared" si="195"/>
        <v>0</v>
      </c>
      <c r="AD163" s="35">
        <f t="shared" si="196"/>
        <v>0</v>
      </c>
      <c r="AE163" s="35">
        <f t="shared" si="197"/>
        <v>0</v>
      </c>
      <c r="AF163" s="35">
        <f t="shared" si="198"/>
        <v>0</v>
      </c>
      <c r="AG163" s="35">
        <f t="shared" si="199"/>
        <v>0</v>
      </c>
      <c r="AH163" s="35">
        <f t="shared" si="200"/>
        <v>0</v>
      </c>
      <c r="AI163" s="12" t="s">
        <v>215</v>
      </c>
      <c r="AJ163" s="35">
        <f t="shared" si="201"/>
        <v>0</v>
      </c>
      <c r="AK163" s="35">
        <f t="shared" si="202"/>
        <v>0</v>
      </c>
      <c r="AL163" s="35">
        <f t="shared" si="203"/>
        <v>0</v>
      </c>
      <c r="AN163" s="35">
        <v>21</v>
      </c>
      <c r="AO163" s="35">
        <f>H163*0.876966942</f>
        <v>0</v>
      </c>
      <c r="AP163" s="35">
        <f>H163*(1-0.876966942)</f>
        <v>0</v>
      </c>
      <c r="AQ163" s="38" t="s">
        <v>65</v>
      </c>
      <c r="AV163" s="35">
        <f t="shared" si="204"/>
        <v>0</v>
      </c>
      <c r="AW163" s="35">
        <f t="shared" si="205"/>
        <v>0</v>
      </c>
      <c r="AX163" s="35">
        <f t="shared" si="206"/>
        <v>0</v>
      </c>
      <c r="AY163" s="38" t="s">
        <v>162</v>
      </c>
      <c r="AZ163" s="38" t="s">
        <v>364</v>
      </c>
      <c r="BA163" s="12" t="s">
        <v>225</v>
      </c>
      <c r="BC163" s="35">
        <f t="shared" si="207"/>
        <v>0</v>
      </c>
      <c r="BD163" s="35">
        <f t="shared" si="208"/>
        <v>0</v>
      </c>
      <c r="BE163" s="35">
        <v>0</v>
      </c>
      <c r="BF163" s="35">
        <f t="shared" si="209"/>
        <v>4.7839999999999994E-2</v>
      </c>
      <c r="BH163" s="35">
        <f t="shared" si="210"/>
        <v>0</v>
      </c>
      <c r="BI163" s="35">
        <f t="shared" si="211"/>
        <v>0</v>
      </c>
      <c r="BJ163" s="35">
        <f t="shared" si="212"/>
        <v>0</v>
      </c>
      <c r="BK163" s="38" t="s">
        <v>69</v>
      </c>
      <c r="BL163" s="35">
        <v>734</v>
      </c>
      <c r="BW163" s="35">
        <f t="shared" si="213"/>
        <v>21</v>
      </c>
      <c r="BX163" s="4" t="s">
        <v>522</v>
      </c>
    </row>
    <row r="164" spans="1:76" x14ac:dyDescent="0.25">
      <c r="A164" s="2" t="s">
        <v>523</v>
      </c>
      <c r="B164" s="3" t="s">
        <v>215</v>
      </c>
      <c r="C164" s="3" t="s">
        <v>524</v>
      </c>
      <c r="D164" s="70" t="s">
        <v>525</v>
      </c>
      <c r="E164" s="71"/>
      <c r="F164" s="3" t="s">
        <v>85</v>
      </c>
      <c r="G164" s="35">
        <v>1</v>
      </c>
      <c r="H164" s="68">
        <v>0</v>
      </c>
      <c r="I164" s="36">
        <v>21</v>
      </c>
      <c r="J164" s="35">
        <f t="shared" si="188"/>
        <v>0</v>
      </c>
      <c r="K164" s="35">
        <f t="shared" si="189"/>
        <v>0</v>
      </c>
      <c r="L164" s="35">
        <f t="shared" si="190"/>
        <v>0</v>
      </c>
      <c r="M164" s="35">
        <f t="shared" si="191"/>
        <v>0</v>
      </c>
      <c r="N164" s="35">
        <v>1.1E-4</v>
      </c>
      <c r="O164" s="35">
        <f t="shared" si="192"/>
        <v>1.1E-4</v>
      </c>
      <c r="P164" s="37" t="s">
        <v>64</v>
      </c>
      <c r="Z164" s="35">
        <f t="shared" si="193"/>
        <v>0</v>
      </c>
      <c r="AB164" s="35">
        <f t="shared" si="194"/>
        <v>0</v>
      </c>
      <c r="AC164" s="35">
        <f t="shared" si="195"/>
        <v>0</v>
      </c>
      <c r="AD164" s="35">
        <f t="shared" si="196"/>
        <v>0</v>
      </c>
      <c r="AE164" s="35">
        <f t="shared" si="197"/>
        <v>0</v>
      </c>
      <c r="AF164" s="35">
        <f t="shared" si="198"/>
        <v>0</v>
      </c>
      <c r="AG164" s="35">
        <f t="shared" si="199"/>
        <v>0</v>
      </c>
      <c r="AH164" s="35">
        <f t="shared" si="200"/>
        <v>0</v>
      </c>
      <c r="AI164" s="12" t="s">
        <v>215</v>
      </c>
      <c r="AJ164" s="35">
        <f t="shared" si="201"/>
        <v>0</v>
      </c>
      <c r="AK164" s="35">
        <f t="shared" si="202"/>
        <v>0</v>
      </c>
      <c r="AL164" s="35">
        <f t="shared" si="203"/>
        <v>0</v>
      </c>
      <c r="AN164" s="35">
        <v>21</v>
      </c>
      <c r="AO164" s="35">
        <f>H164*0.678129948</f>
        <v>0</v>
      </c>
      <c r="AP164" s="35">
        <f>H164*(1-0.678129948)</f>
        <v>0</v>
      </c>
      <c r="AQ164" s="38" t="s">
        <v>65</v>
      </c>
      <c r="AV164" s="35">
        <f t="shared" si="204"/>
        <v>0</v>
      </c>
      <c r="AW164" s="35">
        <f t="shared" si="205"/>
        <v>0</v>
      </c>
      <c r="AX164" s="35">
        <f t="shared" si="206"/>
        <v>0</v>
      </c>
      <c r="AY164" s="38" t="s">
        <v>162</v>
      </c>
      <c r="AZ164" s="38" t="s">
        <v>364</v>
      </c>
      <c r="BA164" s="12" t="s">
        <v>225</v>
      </c>
      <c r="BC164" s="35">
        <f t="shared" si="207"/>
        <v>0</v>
      </c>
      <c r="BD164" s="35">
        <f t="shared" si="208"/>
        <v>0</v>
      </c>
      <c r="BE164" s="35">
        <v>0</v>
      </c>
      <c r="BF164" s="35">
        <f t="shared" si="209"/>
        <v>1.1E-4</v>
      </c>
      <c r="BH164" s="35">
        <f t="shared" si="210"/>
        <v>0</v>
      </c>
      <c r="BI164" s="35">
        <f t="shared" si="211"/>
        <v>0</v>
      </c>
      <c r="BJ164" s="35">
        <f t="shared" si="212"/>
        <v>0</v>
      </c>
      <c r="BK164" s="38" t="s">
        <v>69</v>
      </c>
      <c r="BL164" s="35">
        <v>734</v>
      </c>
      <c r="BW164" s="35">
        <f t="shared" si="213"/>
        <v>21</v>
      </c>
      <c r="BX164" s="4" t="s">
        <v>525</v>
      </c>
    </row>
    <row r="165" spans="1:76" x14ac:dyDescent="0.25">
      <c r="A165" s="2" t="s">
        <v>526</v>
      </c>
      <c r="B165" s="3" t="s">
        <v>215</v>
      </c>
      <c r="C165" s="3" t="s">
        <v>527</v>
      </c>
      <c r="D165" s="70" t="s">
        <v>528</v>
      </c>
      <c r="E165" s="71"/>
      <c r="F165" s="3" t="s">
        <v>85</v>
      </c>
      <c r="G165" s="35">
        <v>2</v>
      </c>
      <c r="H165" s="68">
        <v>0</v>
      </c>
      <c r="I165" s="36">
        <v>21</v>
      </c>
      <c r="J165" s="35">
        <f t="shared" si="188"/>
        <v>0</v>
      </c>
      <c r="K165" s="35">
        <f t="shared" si="189"/>
        <v>0</v>
      </c>
      <c r="L165" s="35">
        <f t="shared" si="190"/>
        <v>0</v>
      </c>
      <c r="M165" s="35">
        <f t="shared" si="191"/>
        <v>0</v>
      </c>
      <c r="N165" s="35">
        <v>3.5E-4</v>
      </c>
      <c r="O165" s="35">
        <f t="shared" si="192"/>
        <v>6.9999999999999999E-4</v>
      </c>
      <c r="P165" s="37" t="s">
        <v>64</v>
      </c>
      <c r="Z165" s="35">
        <f t="shared" si="193"/>
        <v>0</v>
      </c>
      <c r="AB165" s="35">
        <f t="shared" si="194"/>
        <v>0</v>
      </c>
      <c r="AC165" s="35">
        <f t="shared" si="195"/>
        <v>0</v>
      </c>
      <c r="AD165" s="35">
        <f t="shared" si="196"/>
        <v>0</v>
      </c>
      <c r="AE165" s="35">
        <f t="shared" si="197"/>
        <v>0</v>
      </c>
      <c r="AF165" s="35">
        <f t="shared" si="198"/>
        <v>0</v>
      </c>
      <c r="AG165" s="35">
        <f t="shared" si="199"/>
        <v>0</v>
      </c>
      <c r="AH165" s="35">
        <f t="shared" si="200"/>
        <v>0</v>
      </c>
      <c r="AI165" s="12" t="s">
        <v>215</v>
      </c>
      <c r="AJ165" s="35">
        <f t="shared" si="201"/>
        <v>0</v>
      </c>
      <c r="AK165" s="35">
        <f t="shared" si="202"/>
        <v>0</v>
      </c>
      <c r="AL165" s="35">
        <f t="shared" si="203"/>
        <v>0</v>
      </c>
      <c r="AN165" s="35">
        <v>21</v>
      </c>
      <c r="AO165" s="35">
        <f>H165*0.779834264</f>
        <v>0</v>
      </c>
      <c r="AP165" s="35">
        <f>H165*(1-0.779834264)</f>
        <v>0</v>
      </c>
      <c r="AQ165" s="38" t="s">
        <v>65</v>
      </c>
      <c r="AV165" s="35">
        <f t="shared" si="204"/>
        <v>0</v>
      </c>
      <c r="AW165" s="35">
        <f t="shared" si="205"/>
        <v>0</v>
      </c>
      <c r="AX165" s="35">
        <f t="shared" si="206"/>
        <v>0</v>
      </c>
      <c r="AY165" s="38" t="s">
        <v>162</v>
      </c>
      <c r="AZ165" s="38" t="s">
        <v>364</v>
      </c>
      <c r="BA165" s="12" t="s">
        <v>225</v>
      </c>
      <c r="BC165" s="35">
        <f t="shared" si="207"/>
        <v>0</v>
      </c>
      <c r="BD165" s="35">
        <f t="shared" si="208"/>
        <v>0</v>
      </c>
      <c r="BE165" s="35">
        <v>0</v>
      </c>
      <c r="BF165" s="35">
        <f t="shared" si="209"/>
        <v>6.9999999999999999E-4</v>
      </c>
      <c r="BH165" s="35">
        <f t="shared" si="210"/>
        <v>0</v>
      </c>
      <c r="BI165" s="35">
        <f t="shared" si="211"/>
        <v>0</v>
      </c>
      <c r="BJ165" s="35">
        <f t="shared" si="212"/>
        <v>0</v>
      </c>
      <c r="BK165" s="38" t="s">
        <v>69</v>
      </c>
      <c r="BL165" s="35">
        <v>734</v>
      </c>
      <c r="BW165" s="35">
        <f t="shared" si="213"/>
        <v>21</v>
      </c>
      <c r="BX165" s="4" t="s">
        <v>528</v>
      </c>
    </row>
    <row r="166" spans="1:76" x14ac:dyDescent="0.25">
      <c r="A166" s="2" t="s">
        <v>529</v>
      </c>
      <c r="B166" s="3" t="s">
        <v>215</v>
      </c>
      <c r="C166" s="3" t="s">
        <v>530</v>
      </c>
      <c r="D166" s="70" t="s">
        <v>531</v>
      </c>
      <c r="E166" s="71"/>
      <c r="F166" s="3" t="s">
        <v>85</v>
      </c>
      <c r="G166" s="35">
        <v>8</v>
      </c>
      <c r="H166" s="68">
        <v>0</v>
      </c>
      <c r="I166" s="36">
        <v>21</v>
      </c>
      <c r="J166" s="35">
        <f t="shared" si="188"/>
        <v>0</v>
      </c>
      <c r="K166" s="35">
        <f t="shared" si="189"/>
        <v>0</v>
      </c>
      <c r="L166" s="35">
        <f t="shared" si="190"/>
        <v>0</v>
      </c>
      <c r="M166" s="35">
        <f t="shared" si="191"/>
        <v>0</v>
      </c>
      <c r="N166" s="35">
        <v>5.8E-4</v>
      </c>
      <c r="O166" s="35">
        <f t="shared" si="192"/>
        <v>4.64E-3</v>
      </c>
      <c r="P166" s="37" t="s">
        <v>64</v>
      </c>
      <c r="Z166" s="35">
        <f t="shared" si="193"/>
        <v>0</v>
      </c>
      <c r="AB166" s="35">
        <f t="shared" si="194"/>
        <v>0</v>
      </c>
      <c r="AC166" s="35">
        <f t="shared" si="195"/>
        <v>0</v>
      </c>
      <c r="AD166" s="35">
        <f t="shared" si="196"/>
        <v>0</v>
      </c>
      <c r="AE166" s="35">
        <f t="shared" si="197"/>
        <v>0</v>
      </c>
      <c r="AF166" s="35">
        <f t="shared" si="198"/>
        <v>0</v>
      </c>
      <c r="AG166" s="35">
        <f t="shared" si="199"/>
        <v>0</v>
      </c>
      <c r="AH166" s="35">
        <f t="shared" si="200"/>
        <v>0</v>
      </c>
      <c r="AI166" s="12" t="s">
        <v>215</v>
      </c>
      <c r="AJ166" s="35">
        <f t="shared" si="201"/>
        <v>0</v>
      </c>
      <c r="AK166" s="35">
        <f t="shared" si="202"/>
        <v>0</v>
      </c>
      <c r="AL166" s="35">
        <f t="shared" si="203"/>
        <v>0</v>
      </c>
      <c r="AN166" s="35">
        <v>21</v>
      </c>
      <c r="AO166" s="35">
        <f>H166*0.779733872</f>
        <v>0</v>
      </c>
      <c r="AP166" s="35">
        <f>H166*(1-0.779733872)</f>
        <v>0</v>
      </c>
      <c r="AQ166" s="38" t="s">
        <v>65</v>
      </c>
      <c r="AV166" s="35">
        <f t="shared" si="204"/>
        <v>0</v>
      </c>
      <c r="AW166" s="35">
        <f t="shared" si="205"/>
        <v>0</v>
      </c>
      <c r="AX166" s="35">
        <f t="shared" si="206"/>
        <v>0</v>
      </c>
      <c r="AY166" s="38" t="s">
        <v>162</v>
      </c>
      <c r="AZ166" s="38" t="s">
        <v>364</v>
      </c>
      <c r="BA166" s="12" t="s">
        <v>225</v>
      </c>
      <c r="BC166" s="35">
        <f t="shared" si="207"/>
        <v>0</v>
      </c>
      <c r="BD166" s="35">
        <f t="shared" si="208"/>
        <v>0</v>
      </c>
      <c r="BE166" s="35">
        <v>0</v>
      </c>
      <c r="BF166" s="35">
        <f t="shared" si="209"/>
        <v>4.64E-3</v>
      </c>
      <c r="BH166" s="35">
        <f t="shared" si="210"/>
        <v>0</v>
      </c>
      <c r="BI166" s="35">
        <f t="shared" si="211"/>
        <v>0</v>
      </c>
      <c r="BJ166" s="35">
        <f t="shared" si="212"/>
        <v>0</v>
      </c>
      <c r="BK166" s="38" t="s">
        <v>69</v>
      </c>
      <c r="BL166" s="35">
        <v>734</v>
      </c>
      <c r="BW166" s="35">
        <f t="shared" si="213"/>
        <v>21</v>
      </c>
      <c r="BX166" s="4" t="s">
        <v>531</v>
      </c>
    </row>
    <row r="167" spans="1:76" x14ac:dyDescent="0.25">
      <c r="A167" s="2" t="s">
        <v>532</v>
      </c>
      <c r="B167" s="3" t="s">
        <v>215</v>
      </c>
      <c r="C167" s="3" t="s">
        <v>533</v>
      </c>
      <c r="D167" s="70" t="s">
        <v>534</v>
      </c>
      <c r="E167" s="71"/>
      <c r="F167" s="3" t="s">
        <v>85</v>
      </c>
      <c r="G167" s="35">
        <v>3</v>
      </c>
      <c r="H167" s="68">
        <v>0</v>
      </c>
      <c r="I167" s="36">
        <v>21</v>
      </c>
      <c r="J167" s="35">
        <f t="shared" si="188"/>
        <v>0</v>
      </c>
      <c r="K167" s="35">
        <f t="shared" si="189"/>
        <v>0</v>
      </c>
      <c r="L167" s="35">
        <f t="shared" si="190"/>
        <v>0</v>
      </c>
      <c r="M167" s="35">
        <f t="shared" si="191"/>
        <v>0</v>
      </c>
      <c r="N167" s="35">
        <v>7.6999999999999996E-4</v>
      </c>
      <c r="O167" s="35">
        <f t="shared" si="192"/>
        <v>2.31E-3</v>
      </c>
      <c r="P167" s="37" t="s">
        <v>64</v>
      </c>
      <c r="Z167" s="35">
        <f t="shared" si="193"/>
        <v>0</v>
      </c>
      <c r="AB167" s="35">
        <f t="shared" si="194"/>
        <v>0</v>
      </c>
      <c r="AC167" s="35">
        <f t="shared" si="195"/>
        <v>0</v>
      </c>
      <c r="AD167" s="35">
        <f t="shared" si="196"/>
        <v>0</v>
      </c>
      <c r="AE167" s="35">
        <f t="shared" si="197"/>
        <v>0</v>
      </c>
      <c r="AF167" s="35">
        <f t="shared" si="198"/>
        <v>0</v>
      </c>
      <c r="AG167" s="35">
        <f t="shared" si="199"/>
        <v>0</v>
      </c>
      <c r="AH167" s="35">
        <f t="shared" si="200"/>
        <v>0</v>
      </c>
      <c r="AI167" s="12" t="s">
        <v>215</v>
      </c>
      <c r="AJ167" s="35">
        <f t="shared" si="201"/>
        <v>0</v>
      </c>
      <c r="AK167" s="35">
        <f t="shared" si="202"/>
        <v>0</v>
      </c>
      <c r="AL167" s="35">
        <f t="shared" si="203"/>
        <v>0</v>
      </c>
      <c r="AN167" s="35">
        <v>21</v>
      </c>
      <c r="AO167" s="35">
        <f>H167*0.811795196</f>
        <v>0</v>
      </c>
      <c r="AP167" s="35">
        <f>H167*(1-0.811795196)</f>
        <v>0</v>
      </c>
      <c r="AQ167" s="38" t="s">
        <v>65</v>
      </c>
      <c r="AV167" s="35">
        <f t="shared" si="204"/>
        <v>0</v>
      </c>
      <c r="AW167" s="35">
        <f t="shared" si="205"/>
        <v>0</v>
      </c>
      <c r="AX167" s="35">
        <f t="shared" si="206"/>
        <v>0</v>
      </c>
      <c r="AY167" s="38" t="s">
        <v>162</v>
      </c>
      <c r="AZ167" s="38" t="s">
        <v>364</v>
      </c>
      <c r="BA167" s="12" t="s">
        <v>225</v>
      </c>
      <c r="BC167" s="35">
        <f t="shared" si="207"/>
        <v>0</v>
      </c>
      <c r="BD167" s="35">
        <f t="shared" si="208"/>
        <v>0</v>
      </c>
      <c r="BE167" s="35">
        <v>0</v>
      </c>
      <c r="BF167" s="35">
        <f t="shared" si="209"/>
        <v>2.31E-3</v>
      </c>
      <c r="BH167" s="35">
        <f t="shared" si="210"/>
        <v>0</v>
      </c>
      <c r="BI167" s="35">
        <f t="shared" si="211"/>
        <v>0</v>
      </c>
      <c r="BJ167" s="35">
        <f t="shared" si="212"/>
        <v>0</v>
      </c>
      <c r="BK167" s="38" t="s">
        <v>69</v>
      </c>
      <c r="BL167" s="35">
        <v>734</v>
      </c>
      <c r="BW167" s="35">
        <f t="shared" si="213"/>
        <v>21</v>
      </c>
      <c r="BX167" s="4" t="s">
        <v>534</v>
      </c>
    </row>
    <row r="168" spans="1:76" x14ac:dyDescent="0.25">
      <c r="A168" s="2" t="s">
        <v>535</v>
      </c>
      <c r="B168" s="3" t="s">
        <v>215</v>
      </c>
      <c r="C168" s="3" t="s">
        <v>536</v>
      </c>
      <c r="D168" s="70" t="s">
        <v>537</v>
      </c>
      <c r="E168" s="71"/>
      <c r="F168" s="3" t="s">
        <v>85</v>
      </c>
      <c r="G168" s="35">
        <v>4</v>
      </c>
      <c r="H168" s="68">
        <v>0</v>
      </c>
      <c r="I168" s="36">
        <v>21</v>
      </c>
      <c r="J168" s="35">
        <f t="shared" si="188"/>
        <v>0</v>
      </c>
      <c r="K168" s="35">
        <f t="shared" si="189"/>
        <v>0</v>
      </c>
      <c r="L168" s="35">
        <f t="shared" si="190"/>
        <v>0</v>
      </c>
      <c r="M168" s="35">
        <f t="shared" si="191"/>
        <v>0</v>
      </c>
      <c r="N168" s="35">
        <v>0</v>
      </c>
      <c r="O168" s="35">
        <f t="shared" si="192"/>
        <v>0</v>
      </c>
      <c r="P168" s="37" t="s">
        <v>64</v>
      </c>
      <c r="Z168" s="35">
        <f t="shared" si="193"/>
        <v>0</v>
      </c>
      <c r="AB168" s="35">
        <f t="shared" si="194"/>
        <v>0</v>
      </c>
      <c r="AC168" s="35">
        <f t="shared" si="195"/>
        <v>0</v>
      </c>
      <c r="AD168" s="35">
        <f t="shared" si="196"/>
        <v>0</v>
      </c>
      <c r="AE168" s="35">
        <f t="shared" si="197"/>
        <v>0</v>
      </c>
      <c r="AF168" s="35">
        <f t="shared" si="198"/>
        <v>0</v>
      </c>
      <c r="AG168" s="35">
        <f t="shared" si="199"/>
        <v>0</v>
      </c>
      <c r="AH168" s="35">
        <f t="shared" si="200"/>
        <v>0</v>
      </c>
      <c r="AI168" s="12" t="s">
        <v>215</v>
      </c>
      <c r="AJ168" s="35">
        <f t="shared" si="201"/>
        <v>0</v>
      </c>
      <c r="AK168" s="35">
        <f t="shared" si="202"/>
        <v>0</v>
      </c>
      <c r="AL168" s="35">
        <f t="shared" si="203"/>
        <v>0</v>
      </c>
      <c r="AN168" s="35">
        <v>21</v>
      </c>
      <c r="AO168" s="35">
        <f>H168*0.769647013</f>
        <v>0</v>
      </c>
      <c r="AP168" s="35">
        <f>H168*(1-0.769647013)</f>
        <v>0</v>
      </c>
      <c r="AQ168" s="38" t="s">
        <v>65</v>
      </c>
      <c r="AV168" s="35">
        <f t="shared" si="204"/>
        <v>0</v>
      </c>
      <c r="AW168" s="35">
        <f t="shared" si="205"/>
        <v>0</v>
      </c>
      <c r="AX168" s="35">
        <f t="shared" si="206"/>
        <v>0</v>
      </c>
      <c r="AY168" s="38" t="s">
        <v>162</v>
      </c>
      <c r="AZ168" s="38" t="s">
        <v>364</v>
      </c>
      <c r="BA168" s="12" t="s">
        <v>225</v>
      </c>
      <c r="BC168" s="35">
        <f t="shared" si="207"/>
        <v>0</v>
      </c>
      <c r="BD168" s="35">
        <f t="shared" si="208"/>
        <v>0</v>
      </c>
      <c r="BE168" s="35">
        <v>0</v>
      </c>
      <c r="BF168" s="35">
        <f t="shared" si="209"/>
        <v>0</v>
      </c>
      <c r="BH168" s="35">
        <f t="shared" si="210"/>
        <v>0</v>
      </c>
      <c r="BI168" s="35">
        <f t="shared" si="211"/>
        <v>0</v>
      </c>
      <c r="BJ168" s="35">
        <f t="shared" si="212"/>
        <v>0</v>
      </c>
      <c r="BK168" s="38" t="s">
        <v>69</v>
      </c>
      <c r="BL168" s="35">
        <v>734</v>
      </c>
      <c r="BW168" s="35">
        <f t="shared" si="213"/>
        <v>21</v>
      </c>
      <c r="BX168" s="4" t="s">
        <v>537</v>
      </c>
    </row>
    <row r="169" spans="1:76" x14ac:dyDescent="0.25">
      <c r="A169" s="2" t="s">
        <v>538</v>
      </c>
      <c r="B169" s="3" t="s">
        <v>215</v>
      </c>
      <c r="C169" s="3" t="s">
        <v>539</v>
      </c>
      <c r="D169" s="70" t="s">
        <v>540</v>
      </c>
      <c r="E169" s="71"/>
      <c r="F169" s="3" t="s">
        <v>85</v>
      </c>
      <c r="G169" s="35">
        <v>2</v>
      </c>
      <c r="H169" s="68">
        <v>0</v>
      </c>
      <c r="I169" s="36">
        <v>21</v>
      </c>
      <c r="J169" s="35">
        <f t="shared" si="188"/>
        <v>0</v>
      </c>
      <c r="K169" s="35">
        <f t="shared" si="189"/>
        <v>0</v>
      </c>
      <c r="L169" s="35">
        <f t="shared" si="190"/>
        <v>0</v>
      </c>
      <c r="M169" s="35">
        <f t="shared" si="191"/>
        <v>0</v>
      </c>
      <c r="N169" s="35">
        <v>1E-3</v>
      </c>
      <c r="O169" s="35">
        <f t="shared" si="192"/>
        <v>2E-3</v>
      </c>
      <c r="P169" s="37" t="s">
        <v>64</v>
      </c>
      <c r="Z169" s="35">
        <f t="shared" si="193"/>
        <v>0</v>
      </c>
      <c r="AB169" s="35">
        <f t="shared" si="194"/>
        <v>0</v>
      </c>
      <c r="AC169" s="35">
        <f t="shared" si="195"/>
        <v>0</v>
      </c>
      <c r="AD169" s="35">
        <f t="shared" si="196"/>
        <v>0</v>
      </c>
      <c r="AE169" s="35">
        <f t="shared" si="197"/>
        <v>0</v>
      </c>
      <c r="AF169" s="35">
        <f t="shared" si="198"/>
        <v>0</v>
      </c>
      <c r="AG169" s="35">
        <f t="shared" si="199"/>
        <v>0</v>
      </c>
      <c r="AH169" s="35">
        <f t="shared" si="200"/>
        <v>0</v>
      </c>
      <c r="AI169" s="12" t="s">
        <v>215</v>
      </c>
      <c r="AJ169" s="35">
        <f t="shared" si="201"/>
        <v>0</v>
      </c>
      <c r="AK169" s="35">
        <f t="shared" si="202"/>
        <v>0</v>
      </c>
      <c r="AL169" s="35">
        <f t="shared" si="203"/>
        <v>0</v>
      </c>
      <c r="AN169" s="35">
        <v>21</v>
      </c>
      <c r="AO169" s="35">
        <f>H169*0.815868893</f>
        <v>0</v>
      </c>
      <c r="AP169" s="35">
        <f>H169*(1-0.815868893)</f>
        <v>0</v>
      </c>
      <c r="AQ169" s="38" t="s">
        <v>65</v>
      </c>
      <c r="AV169" s="35">
        <f t="shared" si="204"/>
        <v>0</v>
      </c>
      <c r="AW169" s="35">
        <f t="shared" si="205"/>
        <v>0</v>
      </c>
      <c r="AX169" s="35">
        <f t="shared" si="206"/>
        <v>0</v>
      </c>
      <c r="AY169" s="38" t="s">
        <v>162</v>
      </c>
      <c r="AZ169" s="38" t="s">
        <v>364</v>
      </c>
      <c r="BA169" s="12" t="s">
        <v>225</v>
      </c>
      <c r="BC169" s="35">
        <f t="shared" si="207"/>
        <v>0</v>
      </c>
      <c r="BD169" s="35">
        <f t="shared" si="208"/>
        <v>0</v>
      </c>
      <c r="BE169" s="35">
        <v>0</v>
      </c>
      <c r="BF169" s="35">
        <f t="shared" si="209"/>
        <v>2E-3</v>
      </c>
      <c r="BH169" s="35">
        <f t="shared" si="210"/>
        <v>0</v>
      </c>
      <c r="BI169" s="35">
        <f t="shared" si="211"/>
        <v>0</v>
      </c>
      <c r="BJ169" s="35">
        <f t="shared" si="212"/>
        <v>0</v>
      </c>
      <c r="BK169" s="38" t="s">
        <v>69</v>
      </c>
      <c r="BL169" s="35">
        <v>734</v>
      </c>
      <c r="BW169" s="35">
        <f t="shared" si="213"/>
        <v>21</v>
      </c>
      <c r="BX169" s="4" t="s">
        <v>540</v>
      </c>
    </row>
    <row r="170" spans="1:76" x14ac:dyDescent="0.25">
      <c r="A170" s="2" t="s">
        <v>541</v>
      </c>
      <c r="B170" s="3" t="s">
        <v>215</v>
      </c>
      <c r="C170" s="3" t="s">
        <v>542</v>
      </c>
      <c r="D170" s="70" t="s">
        <v>543</v>
      </c>
      <c r="E170" s="71"/>
      <c r="F170" s="3" t="s">
        <v>85</v>
      </c>
      <c r="G170" s="35">
        <v>2</v>
      </c>
      <c r="H170" s="68">
        <v>0</v>
      </c>
      <c r="I170" s="36">
        <v>21</v>
      </c>
      <c r="J170" s="35">
        <f t="shared" si="188"/>
        <v>0</v>
      </c>
      <c r="K170" s="35">
        <f t="shared" si="189"/>
        <v>0</v>
      </c>
      <c r="L170" s="35">
        <f t="shared" si="190"/>
        <v>0</v>
      </c>
      <c r="M170" s="35">
        <f t="shared" si="191"/>
        <v>0</v>
      </c>
      <c r="N170" s="35">
        <v>2.0160000000000001E-2</v>
      </c>
      <c r="O170" s="35">
        <f t="shared" si="192"/>
        <v>4.0320000000000002E-2</v>
      </c>
      <c r="P170" s="37" t="s">
        <v>64</v>
      </c>
      <c r="Z170" s="35">
        <f t="shared" si="193"/>
        <v>0</v>
      </c>
      <c r="AB170" s="35">
        <f t="shared" si="194"/>
        <v>0</v>
      </c>
      <c r="AC170" s="35">
        <f t="shared" si="195"/>
        <v>0</v>
      </c>
      <c r="AD170" s="35">
        <f t="shared" si="196"/>
        <v>0</v>
      </c>
      <c r="AE170" s="35">
        <f t="shared" si="197"/>
        <v>0</v>
      </c>
      <c r="AF170" s="35">
        <f t="shared" si="198"/>
        <v>0</v>
      </c>
      <c r="AG170" s="35">
        <f t="shared" si="199"/>
        <v>0</v>
      </c>
      <c r="AH170" s="35">
        <f t="shared" si="200"/>
        <v>0</v>
      </c>
      <c r="AI170" s="12" t="s">
        <v>215</v>
      </c>
      <c r="AJ170" s="35">
        <f t="shared" si="201"/>
        <v>0</v>
      </c>
      <c r="AK170" s="35">
        <f t="shared" si="202"/>
        <v>0</v>
      </c>
      <c r="AL170" s="35">
        <f t="shared" si="203"/>
        <v>0</v>
      </c>
      <c r="AN170" s="35">
        <v>21</v>
      </c>
      <c r="AO170" s="35">
        <f>H170*0.8525296</f>
        <v>0</v>
      </c>
      <c r="AP170" s="35">
        <f>H170*(1-0.8525296)</f>
        <v>0</v>
      </c>
      <c r="AQ170" s="38" t="s">
        <v>65</v>
      </c>
      <c r="AV170" s="35">
        <f t="shared" si="204"/>
        <v>0</v>
      </c>
      <c r="AW170" s="35">
        <f t="shared" si="205"/>
        <v>0</v>
      </c>
      <c r="AX170" s="35">
        <f t="shared" si="206"/>
        <v>0</v>
      </c>
      <c r="AY170" s="38" t="s">
        <v>162</v>
      </c>
      <c r="AZ170" s="38" t="s">
        <v>364</v>
      </c>
      <c r="BA170" s="12" t="s">
        <v>225</v>
      </c>
      <c r="BC170" s="35">
        <f t="shared" si="207"/>
        <v>0</v>
      </c>
      <c r="BD170" s="35">
        <f t="shared" si="208"/>
        <v>0</v>
      </c>
      <c r="BE170" s="35">
        <v>0</v>
      </c>
      <c r="BF170" s="35">
        <f t="shared" si="209"/>
        <v>4.0320000000000002E-2</v>
      </c>
      <c r="BH170" s="35">
        <f t="shared" si="210"/>
        <v>0</v>
      </c>
      <c r="BI170" s="35">
        <f t="shared" si="211"/>
        <v>0</v>
      </c>
      <c r="BJ170" s="35">
        <f t="shared" si="212"/>
        <v>0</v>
      </c>
      <c r="BK170" s="38" t="s">
        <v>69</v>
      </c>
      <c r="BL170" s="35">
        <v>734</v>
      </c>
      <c r="BW170" s="35">
        <f t="shared" si="213"/>
        <v>21</v>
      </c>
      <c r="BX170" s="4" t="s">
        <v>543</v>
      </c>
    </row>
    <row r="171" spans="1:76" x14ac:dyDescent="0.25">
      <c r="A171" s="2" t="s">
        <v>544</v>
      </c>
      <c r="B171" s="3" t="s">
        <v>215</v>
      </c>
      <c r="C171" s="3" t="s">
        <v>545</v>
      </c>
      <c r="D171" s="70" t="s">
        <v>546</v>
      </c>
      <c r="E171" s="71"/>
      <c r="F171" s="3" t="s">
        <v>85</v>
      </c>
      <c r="G171" s="35">
        <v>1</v>
      </c>
      <c r="H171" s="68">
        <v>0</v>
      </c>
      <c r="I171" s="36">
        <v>21</v>
      </c>
      <c r="J171" s="35">
        <f t="shared" si="188"/>
        <v>0</v>
      </c>
      <c r="K171" s="35">
        <f t="shared" si="189"/>
        <v>0</v>
      </c>
      <c r="L171" s="35">
        <f t="shared" si="190"/>
        <v>0</v>
      </c>
      <c r="M171" s="35">
        <f t="shared" si="191"/>
        <v>0</v>
      </c>
      <c r="N171" s="35">
        <v>4.02E-2</v>
      </c>
      <c r="O171" s="35">
        <f t="shared" si="192"/>
        <v>4.02E-2</v>
      </c>
      <c r="P171" s="37" t="s">
        <v>64</v>
      </c>
      <c r="Z171" s="35">
        <f t="shared" si="193"/>
        <v>0</v>
      </c>
      <c r="AB171" s="35">
        <f t="shared" si="194"/>
        <v>0</v>
      </c>
      <c r="AC171" s="35">
        <f t="shared" si="195"/>
        <v>0</v>
      </c>
      <c r="AD171" s="35">
        <f t="shared" si="196"/>
        <v>0</v>
      </c>
      <c r="AE171" s="35">
        <f t="shared" si="197"/>
        <v>0</v>
      </c>
      <c r="AF171" s="35">
        <f t="shared" si="198"/>
        <v>0</v>
      </c>
      <c r="AG171" s="35">
        <f t="shared" si="199"/>
        <v>0</v>
      </c>
      <c r="AH171" s="35">
        <f t="shared" si="200"/>
        <v>0</v>
      </c>
      <c r="AI171" s="12" t="s">
        <v>215</v>
      </c>
      <c r="AJ171" s="35">
        <f t="shared" si="201"/>
        <v>0</v>
      </c>
      <c r="AK171" s="35">
        <f t="shared" si="202"/>
        <v>0</v>
      </c>
      <c r="AL171" s="35">
        <f t="shared" si="203"/>
        <v>0</v>
      </c>
      <c r="AN171" s="35">
        <v>21</v>
      </c>
      <c r="AO171" s="35">
        <f>H171*0.841626452</f>
        <v>0</v>
      </c>
      <c r="AP171" s="35">
        <f>H171*(1-0.841626452)</f>
        <v>0</v>
      </c>
      <c r="AQ171" s="38" t="s">
        <v>65</v>
      </c>
      <c r="AV171" s="35">
        <f t="shared" si="204"/>
        <v>0</v>
      </c>
      <c r="AW171" s="35">
        <f t="shared" si="205"/>
        <v>0</v>
      </c>
      <c r="AX171" s="35">
        <f t="shared" si="206"/>
        <v>0</v>
      </c>
      <c r="AY171" s="38" t="s">
        <v>162</v>
      </c>
      <c r="AZ171" s="38" t="s">
        <v>364</v>
      </c>
      <c r="BA171" s="12" t="s">
        <v>225</v>
      </c>
      <c r="BC171" s="35">
        <f t="shared" si="207"/>
        <v>0</v>
      </c>
      <c r="BD171" s="35">
        <f t="shared" si="208"/>
        <v>0</v>
      </c>
      <c r="BE171" s="35">
        <v>0</v>
      </c>
      <c r="BF171" s="35">
        <f t="shared" si="209"/>
        <v>4.02E-2</v>
      </c>
      <c r="BH171" s="35">
        <f t="shared" si="210"/>
        <v>0</v>
      </c>
      <c r="BI171" s="35">
        <f t="shared" si="211"/>
        <v>0</v>
      </c>
      <c r="BJ171" s="35">
        <f t="shared" si="212"/>
        <v>0</v>
      </c>
      <c r="BK171" s="38" t="s">
        <v>69</v>
      </c>
      <c r="BL171" s="35">
        <v>734</v>
      </c>
      <c r="BW171" s="35">
        <f t="shared" si="213"/>
        <v>21</v>
      </c>
      <c r="BX171" s="4" t="s">
        <v>546</v>
      </c>
    </row>
    <row r="172" spans="1:76" x14ac:dyDescent="0.25">
      <c r="A172" s="2" t="s">
        <v>547</v>
      </c>
      <c r="B172" s="3" t="s">
        <v>215</v>
      </c>
      <c r="C172" s="3" t="s">
        <v>548</v>
      </c>
      <c r="D172" s="70" t="s">
        <v>549</v>
      </c>
      <c r="E172" s="71"/>
      <c r="F172" s="3" t="s">
        <v>85</v>
      </c>
      <c r="G172" s="35">
        <v>34</v>
      </c>
      <c r="H172" s="68">
        <v>0</v>
      </c>
      <c r="I172" s="36">
        <v>21</v>
      </c>
      <c r="J172" s="35">
        <f t="shared" si="188"/>
        <v>0</v>
      </c>
      <c r="K172" s="35">
        <f t="shared" si="189"/>
        <v>0</v>
      </c>
      <c r="L172" s="35">
        <f t="shared" si="190"/>
        <v>0</v>
      </c>
      <c r="M172" s="35">
        <f t="shared" si="191"/>
        <v>0</v>
      </c>
      <c r="N172" s="35">
        <v>1.9000000000000001E-4</v>
      </c>
      <c r="O172" s="35">
        <f t="shared" si="192"/>
        <v>6.4600000000000005E-3</v>
      </c>
      <c r="P172" s="37" t="s">
        <v>64</v>
      </c>
      <c r="Z172" s="35">
        <f t="shared" si="193"/>
        <v>0</v>
      </c>
      <c r="AB172" s="35">
        <f t="shared" si="194"/>
        <v>0</v>
      </c>
      <c r="AC172" s="35">
        <f t="shared" si="195"/>
        <v>0</v>
      </c>
      <c r="AD172" s="35">
        <f t="shared" si="196"/>
        <v>0</v>
      </c>
      <c r="AE172" s="35">
        <f t="shared" si="197"/>
        <v>0</v>
      </c>
      <c r="AF172" s="35">
        <f t="shared" si="198"/>
        <v>0</v>
      </c>
      <c r="AG172" s="35">
        <f t="shared" si="199"/>
        <v>0</v>
      </c>
      <c r="AH172" s="35">
        <f t="shared" si="200"/>
        <v>0</v>
      </c>
      <c r="AI172" s="12" t="s">
        <v>215</v>
      </c>
      <c r="AJ172" s="35">
        <f t="shared" si="201"/>
        <v>0</v>
      </c>
      <c r="AK172" s="35">
        <f t="shared" si="202"/>
        <v>0</v>
      </c>
      <c r="AL172" s="35">
        <f t="shared" si="203"/>
        <v>0</v>
      </c>
      <c r="AN172" s="35">
        <v>21</v>
      </c>
      <c r="AO172" s="35">
        <f>H172*0.827544379</f>
        <v>0</v>
      </c>
      <c r="AP172" s="35">
        <f>H172*(1-0.827544379)</f>
        <v>0</v>
      </c>
      <c r="AQ172" s="38" t="s">
        <v>65</v>
      </c>
      <c r="AV172" s="35">
        <f t="shared" si="204"/>
        <v>0</v>
      </c>
      <c r="AW172" s="35">
        <f t="shared" si="205"/>
        <v>0</v>
      </c>
      <c r="AX172" s="35">
        <f t="shared" si="206"/>
        <v>0</v>
      </c>
      <c r="AY172" s="38" t="s">
        <v>162</v>
      </c>
      <c r="AZ172" s="38" t="s">
        <v>364</v>
      </c>
      <c r="BA172" s="12" t="s">
        <v>225</v>
      </c>
      <c r="BC172" s="35">
        <f t="shared" si="207"/>
        <v>0</v>
      </c>
      <c r="BD172" s="35">
        <f t="shared" si="208"/>
        <v>0</v>
      </c>
      <c r="BE172" s="35">
        <v>0</v>
      </c>
      <c r="BF172" s="35">
        <f t="shared" si="209"/>
        <v>6.4600000000000005E-3</v>
      </c>
      <c r="BH172" s="35">
        <f t="shared" si="210"/>
        <v>0</v>
      </c>
      <c r="BI172" s="35">
        <f t="shared" si="211"/>
        <v>0</v>
      </c>
      <c r="BJ172" s="35">
        <f t="shared" si="212"/>
        <v>0</v>
      </c>
      <c r="BK172" s="38" t="s">
        <v>69</v>
      </c>
      <c r="BL172" s="35">
        <v>734</v>
      </c>
      <c r="BW172" s="35">
        <f t="shared" si="213"/>
        <v>21</v>
      </c>
      <c r="BX172" s="4" t="s">
        <v>549</v>
      </c>
    </row>
    <row r="173" spans="1:76" x14ac:dyDescent="0.25">
      <c r="A173" s="2" t="s">
        <v>550</v>
      </c>
      <c r="B173" s="3" t="s">
        <v>215</v>
      </c>
      <c r="C173" s="3" t="s">
        <v>551</v>
      </c>
      <c r="D173" s="70" t="s">
        <v>552</v>
      </c>
      <c r="E173" s="71"/>
      <c r="F173" s="3" t="s">
        <v>85</v>
      </c>
      <c r="G173" s="35">
        <v>4</v>
      </c>
      <c r="H173" s="68">
        <v>0</v>
      </c>
      <c r="I173" s="36">
        <v>21</v>
      </c>
      <c r="J173" s="35">
        <f t="shared" si="188"/>
        <v>0</v>
      </c>
      <c r="K173" s="35">
        <f t="shared" si="189"/>
        <v>0</v>
      </c>
      <c r="L173" s="35">
        <f t="shared" si="190"/>
        <v>0</v>
      </c>
      <c r="M173" s="35">
        <f t="shared" si="191"/>
        <v>0</v>
      </c>
      <c r="N173" s="35">
        <v>7.2000000000000005E-4</v>
      </c>
      <c r="O173" s="35">
        <f t="shared" si="192"/>
        <v>2.8800000000000002E-3</v>
      </c>
      <c r="P173" s="37" t="s">
        <v>64</v>
      </c>
      <c r="Z173" s="35">
        <f t="shared" si="193"/>
        <v>0</v>
      </c>
      <c r="AB173" s="35">
        <f t="shared" si="194"/>
        <v>0</v>
      </c>
      <c r="AC173" s="35">
        <f t="shared" si="195"/>
        <v>0</v>
      </c>
      <c r="AD173" s="35">
        <f t="shared" si="196"/>
        <v>0</v>
      </c>
      <c r="AE173" s="35">
        <f t="shared" si="197"/>
        <v>0</v>
      </c>
      <c r="AF173" s="35">
        <f t="shared" si="198"/>
        <v>0</v>
      </c>
      <c r="AG173" s="35">
        <f t="shared" si="199"/>
        <v>0</v>
      </c>
      <c r="AH173" s="35">
        <f t="shared" si="200"/>
        <v>0</v>
      </c>
      <c r="AI173" s="12" t="s">
        <v>215</v>
      </c>
      <c r="AJ173" s="35">
        <f t="shared" si="201"/>
        <v>0</v>
      </c>
      <c r="AK173" s="35">
        <f t="shared" si="202"/>
        <v>0</v>
      </c>
      <c r="AL173" s="35">
        <f t="shared" si="203"/>
        <v>0</v>
      </c>
      <c r="AN173" s="35">
        <v>21</v>
      </c>
      <c r="AO173" s="35">
        <f>H173*0.713019892</f>
        <v>0</v>
      </c>
      <c r="AP173" s="35">
        <f>H173*(1-0.713019892)</f>
        <v>0</v>
      </c>
      <c r="AQ173" s="38" t="s">
        <v>65</v>
      </c>
      <c r="AV173" s="35">
        <f t="shared" si="204"/>
        <v>0</v>
      </c>
      <c r="AW173" s="35">
        <f t="shared" si="205"/>
        <v>0</v>
      </c>
      <c r="AX173" s="35">
        <f t="shared" si="206"/>
        <v>0</v>
      </c>
      <c r="AY173" s="38" t="s">
        <v>162</v>
      </c>
      <c r="AZ173" s="38" t="s">
        <v>364</v>
      </c>
      <c r="BA173" s="12" t="s">
        <v>225</v>
      </c>
      <c r="BC173" s="35">
        <f t="shared" si="207"/>
        <v>0</v>
      </c>
      <c r="BD173" s="35">
        <f t="shared" si="208"/>
        <v>0</v>
      </c>
      <c r="BE173" s="35">
        <v>0</v>
      </c>
      <c r="BF173" s="35">
        <f t="shared" si="209"/>
        <v>2.8800000000000002E-3</v>
      </c>
      <c r="BH173" s="35">
        <f t="shared" si="210"/>
        <v>0</v>
      </c>
      <c r="BI173" s="35">
        <f t="shared" si="211"/>
        <v>0</v>
      </c>
      <c r="BJ173" s="35">
        <f t="shared" si="212"/>
        <v>0</v>
      </c>
      <c r="BK173" s="38" t="s">
        <v>69</v>
      </c>
      <c r="BL173" s="35">
        <v>734</v>
      </c>
      <c r="BW173" s="35">
        <f t="shared" si="213"/>
        <v>21</v>
      </c>
      <c r="BX173" s="4" t="s">
        <v>552</v>
      </c>
    </row>
    <row r="174" spans="1:76" x14ac:dyDescent="0.25">
      <c r="A174" s="2" t="s">
        <v>553</v>
      </c>
      <c r="B174" s="3" t="s">
        <v>215</v>
      </c>
      <c r="C174" s="3" t="s">
        <v>554</v>
      </c>
      <c r="D174" s="70" t="s">
        <v>555</v>
      </c>
      <c r="E174" s="71"/>
      <c r="F174" s="3" t="s">
        <v>85</v>
      </c>
      <c r="G174" s="35">
        <v>12</v>
      </c>
      <c r="H174" s="68">
        <v>0</v>
      </c>
      <c r="I174" s="36">
        <v>21</v>
      </c>
      <c r="J174" s="35">
        <f t="shared" si="188"/>
        <v>0</v>
      </c>
      <c r="K174" s="35">
        <f t="shared" si="189"/>
        <v>0</v>
      </c>
      <c r="L174" s="35">
        <f t="shared" si="190"/>
        <v>0</v>
      </c>
      <c r="M174" s="35">
        <f t="shared" si="191"/>
        <v>0</v>
      </c>
      <c r="N174" s="35">
        <v>1E-4</v>
      </c>
      <c r="O174" s="35">
        <f t="shared" si="192"/>
        <v>1.2000000000000001E-3</v>
      </c>
      <c r="P174" s="37" t="s">
        <v>64</v>
      </c>
      <c r="Z174" s="35">
        <f t="shared" si="193"/>
        <v>0</v>
      </c>
      <c r="AB174" s="35">
        <f t="shared" si="194"/>
        <v>0</v>
      </c>
      <c r="AC174" s="35">
        <f t="shared" si="195"/>
        <v>0</v>
      </c>
      <c r="AD174" s="35">
        <f t="shared" si="196"/>
        <v>0</v>
      </c>
      <c r="AE174" s="35">
        <f t="shared" si="197"/>
        <v>0</v>
      </c>
      <c r="AF174" s="35">
        <f t="shared" si="198"/>
        <v>0</v>
      </c>
      <c r="AG174" s="35">
        <f t="shared" si="199"/>
        <v>0</v>
      </c>
      <c r="AH174" s="35">
        <f t="shared" si="200"/>
        <v>0</v>
      </c>
      <c r="AI174" s="12" t="s">
        <v>215</v>
      </c>
      <c r="AJ174" s="35">
        <f t="shared" si="201"/>
        <v>0</v>
      </c>
      <c r="AK174" s="35">
        <f t="shared" si="202"/>
        <v>0</v>
      </c>
      <c r="AL174" s="35">
        <f t="shared" si="203"/>
        <v>0</v>
      </c>
      <c r="AN174" s="35">
        <v>21</v>
      </c>
      <c r="AO174" s="35">
        <f>H174*0.870579495</f>
        <v>0</v>
      </c>
      <c r="AP174" s="35">
        <f>H174*(1-0.870579495)</f>
        <v>0</v>
      </c>
      <c r="AQ174" s="38" t="s">
        <v>65</v>
      </c>
      <c r="AV174" s="35">
        <f t="shared" si="204"/>
        <v>0</v>
      </c>
      <c r="AW174" s="35">
        <f t="shared" si="205"/>
        <v>0</v>
      </c>
      <c r="AX174" s="35">
        <f t="shared" si="206"/>
        <v>0</v>
      </c>
      <c r="AY174" s="38" t="s">
        <v>162</v>
      </c>
      <c r="AZ174" s="38" t="s">
        <v>364</v>
      </c>
      <c r="BA174" s="12" t="s">
        <v>225</v>
      </c>
      <c r="BC174" s="35">
        <f t="shared" si="207"/>
        <v>0</v>
      </c>
      <c r="BD174" s="35">
        <f t="shared" si="208"/>
        <v>0</v>
      </c>
      <c r="BE174" s="35">
        <v>0</v>
      </c>
      <c r="BF174" s="35">
        <f t="shared" si="209"/>
        <v>1.2000000000000001E-3</v>
      </c>
      <c r="BH174" s="35">
        <f t="shared" si="210"/>
        <v>0</v>
      </c>
      <c r="BI174" s="35">
        <f t="shared" si="211"/>
        <v>0</v>
      </c>
      <c r="BJ174" s="35">
        <f t="shared" si="212"/>
        <v>0</v>
      </c>
      <c r="BK174" s="38" t="s">
        <v>69</v>
      </c>
      <c r="BL174" s="35">
        <v>734</v>
      </c>
      <c r="BW174" s="35">
        <f t="shared" si="213"/>
        <v>21</v>
      </c>
      <c r="BX174" s="4" t="s">
        <v>555</v>
      </c>
    </row>
    <row r="175" spans="1:76" x14ac:dyDescent="0.25">
      <c r="A175" s="2" t="s">
        <v>556</v>
      </c>
      <c r="B175" s="3" t="s">
        <v>215</v>
      </c>
      <c r="C175" s="3" t="s">
        <v>557</v>
      </c>
      <c r="D175" s="70" t="s">
        <v>558</v>
      </c>
      <c r="E175" s="71"/>
      <c r="F175" s="3" t="s">
        <v>85</v>
      </c>
      <c r="G175" s="35">
        <v>14</v>
      </c>
      <c r="H175" s="68">
        <v>0</v>
      </c>
      <c r="I175" s="36">
        <v>21</v>
      </c>
      <c r="J175" s="35">
        <f t="shared" si="188"/>
        <v>0</v>
      </c>
      <c r="K175" s="35">
        <f t="shared" si="189"/>
        <v>0</v>
      </c>
      <c r="L175" s="35">
        <f t="shared" si="190"/>
        <v>0</v>
      </c>
      <c r="M175" s="35">
        <f t="shared" si="191"/>
        <v>0</v>
      </c>
      <c r="N175" s="35">
        <v>6.7000000000000002E-4</v>
      </c>
      <c r="O175" s="35">
        <f t="shared" si="192"/>
        <v>9.3799999999999994E-3</v>
      </c>
      <c r="P175" s="37" t="s">
        <v>64</v>
      </c>
      <c r="Z175" s="35">
        <f t="shared" si="193"/>
        <v>0</v>
      </c>
      <c r="AB175" s="35">
        <f t="shared" si="194"/>
        <v>0</v>
      </c>
      <c r="AC175" s="35">
        <f t="shared" si="195"/>
        <v>0</v>
      </c>
      <c r="AD175" s="35">
        <f t="shared" si="196"/>
        <v>0</v>
      </c>
      <c r="AE175" s="35">
        <f t="shared" si="197"/>
        <v>0</v>
      </c>
      <c r="AF175" s="35">
        <f t="shared" si="198"/>
        <v>0</v>
      </c>
      <c r="AG175" s="35">
        <f t="shared" si="199"/>
        <v>0</v>
      </c>
      <c r="AH175" s="35">
        <f t="shared" si="200"/>
        <v>0</v>
      </c>
      <c r="AI175" s="12" t="s">
        <v>215</v>
      </c>
      <c r="AJ175" s="35">
        <f t="shared" si="201"/>
        <v>0</v>
      </c>
      <c r="AK175" s="35">
        <f t="shared" si="202"/>
        <v>0</v>
      </c>
      <c r="AL175" s="35">
        <f t="shared" si="203"/>
        <v>0</v>
      </c>
      <c r="AN175" s="35">
        <v>21</v>
      </c>
      <c r="AO175" s="35">
        <f>H175*0.73537092</f>
        <v>0</v>
      </c>
      <c r="AP175" s="35">
        <f>H175*(1-0.73537092)</f>
        <v>0</v>
      </c>
      <c r="AQ175" s="38" t="s">
        <v>65</v>
      </c>
      <c r="AV175" s="35">
        <f t="shared" si="204"/>
        <v>0</v>
      </c>
      <c r="AW175" s="35">
        <f t="shared" si="205"/>
        <v>0</v>
      </c>
      <c r="AX175" s="35">
        <f t="shared" si="206"/>
        <v>0</v>
      </c>
      <c r="AY175" s="38" t="s">
        <v>162</v>
      </c>
      <c r="AZ175" s="38" t="s">
        <v>364</v>
      </c>
      <c r="BA175" s="12" t="s">
        <v>225</v>
      </c>
      <c r="BC175" s="35">
        <f t="shared" si="207"/>
        <v>0</v>
      </c>
      <c r="BD175" s="35">
        <f t="shared" si="208"/>
        <v>0</v>
      </c>
      <c r="BE175" s="35">
        <v>0</v>
      </c>
      <c r="BF175" s="35">
        <f t="shared" si="209"/>
        <v>9.3799999999999994E-3</v>
      </c>
      <c r="BH175" s="35">
        <f t="shared" si="210"/>
        <v>0</v>
      </c>
      <c r="BI175" s="35">
        <f t="shared" si="211"/>
        <v>0</v>
      </c>
      <c r="BJ175" s="35">
        <f t="shared" si="212"/>
        <v>0</v>
      </c>
      <c r="BK175" s="38" t="s">
        <v>69</v>
      </c>
      <c r="BL175" s="35">
        <v>734</v>
      </c>
      <c r="BW175" s="35">
        <f t="shared" si="213"/>
        <v>21</v>
      </c>
      <c r="BX175" s="4" t="s">
        <v>558</v>
      </c>
    </row>
    <row r="176" spans="1:76" x14ac:dyDescent="0.25">
      <c r="A176" s="2" t="s">
        <v>559</v>
      </c>
      <c r="B176" s="3" t="s">
        <v>215</v>
      </c>
      <c r="C176" s="3" t="s">
        <v>560</v>
      </c>
      <c r="D176" s="70" t="s">
        <v>561</v>
      </c>
      <c r="E176" s="71"/>
      <c r="F176" s="3" t="s">
        <v>85</v>
      </c>
      <c r="G176" s="35">
        <v>14</v>
      </c>
      <c r="H176" s="68">
        <v>0</v>
      </c>
      <c r="I176" s="36">
        <v>21</v>
      </c>
      <c r="J176" s="35">
        <f t="shared" si="188"/>
        <v>0</v>
      </c>
      <c r="K176" s="35">
        <f t="shared" si="189"/>
        <v>0</v>
      </c>
      <c r="L176" s="35">
        <f t="shared" si="190"/>
        <v>0</v>
      </c>
      <c r="M176" s="35">
        <f t="shared" si="191"/>
        <v>0</v>
      </c>
      <c r="N176" s="35">
        <v>5.1000000000000004E-4</v>
      </c>
      <c r="O176" s="35">
        <f t="shared" si="192"/>
        <v>7.1400000000000005E-3</v>
      </c>
      <c r="P176" s="37" t="s">
        <v>64</v>
      </c>
      <c r="Z176" s="35">
        <f t="shared" si="193"/>
        <v>0</v>
      </c>
      <c r="AB176" s="35">
        <f t="shared" si="194"/>
        <v>0</v>
      </c>
      <c r="AC176" s="35">
        <f t="shared" si="195"/>
        <v>0</v>
      </c>
      <c r="AD176" s="35">
        <f t="shared" si="196"/>
        <v>0</v>
      </c>
      <c r="AE176" s="35">
        <f t="shared" si="197"/>
        <v>0</v>
      </c>
      <c r="AF176" s="35">
        <f t="shared" si="198"/>
        <v>0</v>
      </c>
      <c r="AG176" s="35">
        <f t="shared" si="199"/>
        <v>0</v>
      </c>
      <c r="AH176" s="35">
        <f t="shared" si="200"/>
        <v>0</v>
      </c>
      <c r="AI176" s="12" t="s">
        <v>215</v>
      </c>
      <c r="AJ176" s="35">
        <f t="shared" si="201"/>
        <v>0</v>
      </c>
      <c r="AK176" s="35">
        <f t="shared" si="202"/>
        <v>0</v>
      </c>
      <c r="AL176" s="35">
        <f t="shared" si="203"/>
        <v>0</v>
      </c>
      <c r="AN176" s="35">
        <v>21</v>
      </c>
      <c r="AO176" s="35">
        <f>H176*0.442246835</f>
        <v>0</v>
      </c>
      <c r="AP176" s="35">
        <f>H176*(1-0.442246835)</f>
        <v>0</v>
      </c>
      <c r="AQ176" s="38" t="s">
        <v>65</v>
      </c>
      <c r="AV176" s="35">
        <f t="shared" si="204"/>
        <v>0</v>
      </c>
      <c r="AW176" s="35">
        <f t="shared" si="205"/>
        <v>0</v>
      </c>
      <c r="AX176" s="35">
        <f t="shared" si="206"/>
        <v>0</v>
      </c>
      <c r="AY176" s="38" t="s">
        <v>162</v>
      </c>
      <c r="AZ176" s="38" t="s">
        <v>364</v>
      </c>
      <c r="BA176" s="12" t="s">
        <v>225</v>
      </c>
      <c r="BC176" s="35">
        <f t="shared" si="207"/>
        <v>0</v>
      </c>
      <c r="BD176" s="35">
        <f t="shared" si="208"/>
        <v>0</v>
      </c>
      <c r="BE176" s="35">
        <v>0</v>
      </c>
      <c r="BF176" s="35">
        <f t="shared" si="209"/>
        <v>7.1400000000000005E-3</v>
      </c>
      <c r="BH176" s="35">
        <f t="shared" si="210"/>
        <v>0</v>
      </c>
      <c r="BI176" s="35">
        <f t="shared" si="211"/>
        <v>0</v>
      </c>
      <c r="BJ176" s="35">
        <f t="shared" si="212"/>
        <v>0</v>
      </c>
      <c r="BK176" s="38" t="s">
        <v>69</v>
      </c>
      <c r="BL176" s="35">
        <v>734</v>
      </c>
      <c r="BW176" s="35">
        <f t="shared" si="213"/>
        <v>21</v>
      </c>
      <c r="BX176" s="4" t="s">
        <v>561</v>
      </c>
    </row>
    <row r="177" spans="1:76" x14ac:dyDescent="0.25">
      <c r="A177" s="2" t="s">
        <v>562</v>
      </c>
      <c r="B177" s="3" t="s">
        <v>215</v>
      </c>
      <c r="C177" s="3" t="s">
        <v>563</v>
      </c>
      <c r="D177" s="70" t="s">
        <v>564</v>
      </c>
      <c r="E177" s="71"/>
      <c r="F177" s="3" t="s">
        <v>85</v>
      </c>
      <c r="G177" s="35">
        <v>14</v>
      </c>
      <c r="H177" s="68">
        <v>0</v>
      </c>
      <c r="I177" s="36">
        <v>21</v>
      </c>
      <c r="J177" s="35">
        <f t="shared" si="188"/>
        <v>0</v>
      </c>
      <c r="K177" s="35">
        <f t="shared" si="189"/>
        <v>0</v>
      </c>
      <c r="L177" s="35">
        <f t="shared" si="190"/>
        <v>0</v>
      </c>
      <c r="M177" s="35">
        <f t="shared" si="191"/>
        <v>0</v>
      </c>
      <c r="N177" s="35">
        <v>2.7E-4</v>
      </c>
      <c r="O177" s="35">
        <f t="shared" si="192"/>
        <v>3.7799999999999999E-3</v>
      </c>
      <c r="P177" s="37" t="s">
        <v>64</v>
      </c>
      <c r="Z177" s="35">
        <f t="shared" si="193"/>
        <v>0</v>
      </c>
      <c r="AB177" s="35">
        <f t="shared" si="194"/>
        <v>0</v>
      </c>
      <c r="AC177" s="35">
        <f t="shared" si="195"/>
        <v>0</v>
      </c>
      <c r="AD177" s="35">
        <f t="shared" si="196"/>
        <v>0</v>
      </c>
      <c r="AE177" s="35">
        <f t="shared" si="197"/>
        <v>0</v>
      </c>
      <c r="AF177" s="35">
        <f t="shared" si="198"/>
        <v>0</v>
      </c>
      <c r="AG177" s="35">
        <f t="shared" si="199"/>
        <v>0</v>
      </c>
      <c r="AH177" s="35">
        <f t="shared" si="200"/>
        <v>0</v>
      </c>
      <c r="AI177" s="12" t="s">
        <v>215</v>
      </c>
      <c r="AJ177" s="35">
        <f t="shared" si="201"/>
        <v>0</v>
      </c>
      <c r="AK177" s="35">
        <f t="shared" si="202"/>
        <v>0</v>
      </c>
      <c r="AL177" s="35">
        <f t="shared" si="203"/>
        <v>0</v>
      </c>
      <c r="AN177" s="35">
        <v>21</v>
      </c>
      <c r="AO177" s="35">
        <f>H177*0.228472622</f>
        <v>0</v>
      </c>
      <c r="AP177" s="35">
        <f>H177*(1-0.228472622)</f>
        <v>0</v>
      </c>
      <c r="AQ177" s="38" t="s">
        <v>65</v>
      </c>
      <c r="AV177" s="35">
        <f t="shared" si="204"/>
        <v>0</v>
      </c>
      <c r="AW177" s="35">
        <f t="shared" si="205"/>
        <v>0</v>
      </c>
      <c r="AX177" s="35">
        <f t="shared" si="206"/>
        <v>0</v>
      </c>
      <c r="AY177" s="38" t="s">
        <v>162</v>
      </c>
      <c r="AZ177" s="38" t="s">
        <v>364</v>
      </c>
      <c r="BA177" s="12" t="s">
        <v>225</v>
      </c>
      <c r="BC177" s="35">
        <f t="shared" si="207"/>
        <v>0</v>
      </c>
      <c r="BD177" s="35">
        <f t="shared" si="208"/>
        <v>0</v>
      </c>
      <c r="BE177" s="35">
        <v>0</v>
      </c>
      <c r="BF177" s="35">
        <f t="shared" si="209"/>
        <v>3.7799999999999999E-3</v>
      </c>
      <c r="BH177" s="35">
        <f t="shared" si="210"/>
        <v>0</v>
      </c>
      <c r="BI177" s="35">
        <f t="shared" si="211"/>
        <v>0</v>
      </c>
      <c r="BJ177" s="35">
        <f t="shared" si="212"/>
        <v>0</v>
      </c>
      <c r="BK177" s="38" t="s">
        <v>69</v>
      </c>
      <c r="BL177" s="35">
        <v>734</v>
      </c>
      <c r="BW177" s="35">
        <f t="shared" si="213"/>
        <v>21</v>
      </c>
      <c r="BX177" s="4" t="s">
        <v>564</v>
      </c>
    </row>
    <row r="178" spans="1:76" x14ac:dyDescent="0.25">
      <c r="A178" s="2" t="s">
        <v>565</v>
      </c>
      <c r="B178" s="3" t="s">
        <v>215</v>
      </c>
      <c r="C178" s="3" t="s">
        <v>566</v>
      </c>
      <c r="D178" s="70" t="s">
        <v>567</v>
      </c>
      <c r="E178" s="71"/>
      <c r="F178" s="3" t="s">
        <v>397</v>
      </c>
      <c r="G178" s="35">
        <v>26</v>
      </c>
      <c r="H178" s="68">
        <v>0</v>
      </c>
      <c r="I178" s="36">
        <v>21</v>
      </c>
      <c r="J178" s="35">
        <f t="shared" si="188"/>
        <v>0</v>
      </c>
      <c r="K178" s="35">
        <f t="shared" si="189"/>
        <v>0</v>
      </c>
      <c r="L178" s="35">
        <f t="shared" si="190"/>
        <v>0</v>
      </c>
      <c r="M178" s="35">
        <f t="shared" si="191"/>
        <v>0</v>
      </c>
      <c r="N178" s="35">
        <v>0</v>
      </c>
      <c r="O178" s="35">
        <f t="shared" si="192"/>
        <v>0</v>
      </c>
      <c r="P178" s="37" t="s">
        <v>64</v>
      </c>
      <c r="Z178" s="35">
        <f t="shared" si="193"/>
        <v>0</v>
      </c>
      <c r="AB178" s="35">
        <f t="shared" si="194"/>
        <v>0</v>
      </c>
      <c r="AC178" s="35">
        <f t="shared" si="195"/>
        <v>0</v>
      </c>
      <c r="AD178" s="35">
        <f t="shared" si="196"/>
        <v>0</v>
      </c>
      <c r="AE178" s="35">
        <f t="shared" si="197"/>
        <v>0</v>
      </c>
      <c r="AF178" s="35">
        <f t="shared" si="198"/>
        <v>0</v>
      </c>
      <c r="AG178" s="35">
        <f t="shared" si="199"/>
        <v>0</v>
      </c>
      <c r="AH178" s="35">
        <f t="shared" si="200"/>
        <v>0</v>
      </c>
      <c r="AI178" s="12" t="s">
        <v>215</v>
      </c>
      <c r="AJ178" s="35">
        <f t="shared" si="201"/>
        <v>0</v>
      </c>
      <c r="AK178" s="35">
        <f t="shared" si="202"/>
        <v>0</v>
      </c>
      <c r="AL178" s="35">
        <f t="shared" si="203"/>
        <v>0</v>
      </c>
      <c r="AN178" s="35">
        <v>21</v>
      </c>
      <c r="AO178" s="35">
        <f>H178*1</f>
        <v>0</v>
      </c>
      <c r="AP178" s="35">
        <f>H178*(1-1)</f>
        <v>0</v>
      </c>
      <c r="AQ178" s="38" t="s">
        <v>65</v>
      </c>
      <c r="AV178" s="35">
        <f t="shared" si="204"/>
        <v>0</v>
      </c>
      <c r="AW178" s="35">
        <f t="shared" si="205"/>
        <v>0</v>
      </c>
      <c r="AX178" s="35">
        <f t="shared" si="206"/>
        <v>0</v>
      </c>
      <c r="AY178" s="38" t="s">
        <v>162</v>
      </c>
      <c r="AZ178" s="38" t="s">
        <v>364</v>
      </c>
      <c r="BA178" s="12" t="s">
        <v>225</v>
      </c>
      <c r="BC178" s="35">
        <f t="shared" si="207"/>
        <v>0</v>
      </c>
      <c r="BD178" s="35">
        <f t="shared" si="208"/>
        <v>0</v>
      </c>
      <c r="BE178" s="35">
        <v>0</v>
      </c>
      <c r="BF178" s="35">
        <f t="shared" si="209"/>
        <v>0</v>
      </c>
      <c r="BH178" s="35">
        <f t="shared" si="210"/>
        <v>0</v>
      </c>
      <c r="BI178" s="35">
        <f t="shared" si="211"/>
        <v>0</v>
      </c>
      <c r="BJ178" s="35">
        <f t="shared" si="212"/>
        <v>0</v>
      </c>
      <c r="BK178" s="38" t="s">
        <v>156</v>
      </c>
      <c r="BL178" s="35">
        <v>734</v>
      </c>
      <c r="BW178" s="35">
        <f t="shared" si="213"/>
        <v>21</v>
      </c>
      <c r="BX178" s="4" t="s">
        <v>567</v>
      </c>
    </row>
    <row r="179" spans="1:76" x14ac:dyDescent="0.25">
      <c r="A179" s="2" t="s">
        <v>568</v>
      </c>
      <c r="B179" s="3" t="s">
        <v>215</v>
      </c>
      <c r="C179" s="3" t="s">
        <v>569</v>
      </c>
      <c r="D179" s="70" t="s">
        <v>570</v>
      </c>
      <c r="E179" s="71"/>
      <c r="F179" s="3" t="s">
        <v>85</v>
      </c>
      <c r="G179" s="35">
        <v>18</v>
      </c>
      <c r="H179" s="68">
        <v>0</v>
      </c>
      <c r="I179" s="36">
        <v>21</v>
      </c>
      <c r="J179" s="35">
        <f t="shared" si="188"/>
        <v>0</v>
      </c>
      <c r="K179" s="35">
        <f t="shared" si="189"/>
        <v>0</v>
      </c>
      <c r="L179" s="35">
        <f t="shared" si="190"/>
        <v>0</v>
      </c>
      <c r="M179" s="35">
        <f t="shared" si="191"/>
        <v>0</v>
      </c>
      <c r="N179" s="35">
        <v>0</v>
      </c>
      <c r="O179" s="35">
        <f t="shared" si="192"/>
        <v>0</v>
      </c>
      <c r="P179" s="37" t="s">
        <v>64</v>
      </c>
      <c r="Z179" s="35">
        <f t="shared" si="193"/>
        <v>0</v>
      </c>
      <c r="AB179" s="35">
        <f t="shared" si="194"/>
        <v>0</v>
      </c>
      <c r="AC179" s="35">
        <f t="shared" si="195"/>
        <v>0</v>
      </c>
      <c r="AD179" s="35">
        <f t="shared" si="196"/>
        <v>0</v>
      </c>
      <c r="AE179" s="35">
        <f t="shared" si="197"/>
        <v>0</v>
      </c>
      <c r="AF179" s="35">
        <f t="shared" si="198"/>
        <v>0</v>
      </c>
      <c r="AG179" s="35">
        <f t="shared" si="199"/>
        <v>0</v>
      </c>
      <c r="AH179" s="35">
        <f t="shared" si="200"/>
        <v>0</v>
      </c>
      <c r="AI179" s="12" t="s">
        <v>215</v>
      </c>
      <c r="AJ179" s="35">
        <f t="shared" si="201"/>
        <v>0</v>
      </c>
      <c r="AK179" s="35">
        <f t="shared" si="202"/>
        <v>0</v>
      </c>
      <c r="AL179" s="35">
        <f t="shared" si="203"/>
        <v>0</v>
      </c>
      <c r="AN179" s="35">
        <v>21</v>
      </c>
      <c r="AO179" s="35">
        <f>H179*0</f>
        <v>0</v>
      </c>
      <c r="AP179" s="35">
        <f>H179*(1-0)</f>
        <v>0</v>
      </c>
      <c r="AQ179" s="38" t="s">
        <v>65</v>
      </c>
      <c r="AV179" s="35">
        <f t="shared" si="204"/>
        <v>0</v>
      </c>
      <c r="AW179" s="35">
        <f t="shared" si="205"/>
        <v>0</v>
      </c>
      <c r="AX179" s="35">
        <f t="shared" si="206"/>
        <v>0</v>
      </c>
      <c r="AY179" s="38" t="s">
        <v>162</v>
      </c>
      <c r="AZ179" s="38" t="s">
        <v>364</v>
      </c>
      <c r="BA179" s="12" t="s">
        <v>225</v>
      </c>
      <c r="BC179" s="35">
        <f t="shared" si="207"/>
        <v>0</v>
      </c>
      <c r="BD179" s="35">
        <f t="shared" si="208"/>
        <v>0</v>
      </c>
      <c r="BE179" s="35">
        <v>0</v>
      </c>
      <c r="BF179" s="35">
        <f t="shared" si="209"/>
        <v>0</v>
      </c>
      <c r="BH179" s="35">
        <f t="shared" si="210"/>
        <v>0</v>
      </c>
      <c r="BI179" s="35">
        <f t="shared" si="211"/>
        <v>0</v>
      </c>
      <c r="BJ179" s="35">
        <f t="shared" si="212"/>
        <v>0</v>
      </c>
      <c r="BK179" s="38" t="s">
        <v>69</v>
      </c>
      <c r="BL179" s="35">
        <v>734</v>
      </c>
      <c r="BW179" s="35">
        <f t="shared" si="213"/>
        <v>21</v>
      </c>
      <c r="BX179" s="4" t="s">
        <v>570</v>
      </c>
    </row>
    <row r="180" spans="1:76" x14ac:dyDescent="0.25">
      <c r="A180" s="2" t="s">
        <v>571</v>
      </c>
      <c r="B180" s="3" t="s">
        <v>215</v>
      </c>
      <c r="C180" s="3" t="s">
        <v>572</v>
      </c>
      <c r="D180" s="70" t="s">
        <v>573</v>
      </c>
      <c r="E180" s="71"/>
      <c r="F180" s="3" t="s">
        <v>85</v>
      </c>
      <c r="G180" s="35">
        <v>6</v>
      </c>
      <c r="H180" s="68">
        <v>0</v>
      </c>
      <c r="I180" s="36">
        <v>21</v>
      </c>
      <c r="J180" s="35">
        <f t="shared" si="188"/>
        <v>0</v>
      </c>
      <c r="K180" s="35">
        <f t="shared" si="189"/>
        <v>0</v>
      </c>
      <c r="L180" s="35">
        <f t="shared" si="190"/>
        <v>0</v>
      </c>
      <c r="M180" s="35">
        <f t="shared" si="191"/>
        <v>0</v>
      </c>
      <c r="N180" s="35">
        <v>2.5200000000000001E-3</v>
      </c>
      <c r="O180" s="35">
        <f t="shared" si="192"/>
        <v>1.5120000000000001E-2</v>
      </c>
      <c r="P180" s="37" t="s">
        <v>64</v>
      </c>
      <c r="Z180" s="35">
        <f t="shared" si="193"/>
        <v>0</v>
      </c>
      <c r="AB180" s="35">
        <f t="shared" si="194"/>
        <v>0</v>
      </c>
      <c r="AC180" s="35">
        <f t="shared" si="195"/>
        <v>0</v>
      </c>
      <c r="AD180" s="35">
        <f t="shared" si="196"/>
        <v>0</v>
      </c>
      <c r="AE180" s="35">
        <f t="shared" si="197"/>
        <v>0</v>
      </c>
      <c r="AF180" s="35">
        <f t="shared" si="198"/>
        <v>0</v>
      </c>
      <c r="AG180" s="35">
        <f t="shared" si="199"/>
        <v>0</v>
      </c>
      <c r="AH180" s="35">
        <f t="shared" si="200"/>
        <v>0</v>
      </c>
      <c r="AI180" s="12" t="s">
        <v>215</v>
      </c>
      <c r="AJ180" s="35">
        <f t="shared" si="201"/>
        <v>0</v>
      </c>
      <c r="AK180" s="35">
        <f t="shared" si="202"/>
        <v>0</v>
      </c>
      <c r="AL180" s="35">
        <f t="shared" si="203"/>
        <v>0</v>
      </c>
      <c r="AN180" s="35">
        <v>21</v>
      </c>
      <c r="AO180" s="35">
        <f>H180*0.888825919</f>
        <v>0</v>
      </c>
      <c r="AP180" s="35">
        <f>H180*(1-0.888825919)</f>
        <v>0</v>
      </c>
      <c r="AQ180" s="38" t="s">
        <v>65</v>
      </c>
      <c r="AV180" s="35">
        <f t="shared" si="204"/>
        <v>0</v>
      </c>
      <c r="AW180" s="35">
        <f t="shared" si="205"/>
        <v>0</v>
      </c>
      <c r="AX180" s="35">
        <f t="shared" si="206"/>
        <v>0</v>
      </c>
      <c r="AY180" s="38" t="s">
        <v>162</v>
      </c>
      <c r="AZ180" s="38" t="s">
        <v>364</v>
      </c>
      <c r="BA180" s="12" t="s">
        <v>225</v>
      </c>
      <c r="BC180" s="35">
        <f t="shared" si="207"/>
        <v>0</v>
      </c>
      <c r="BD180" s="35">
        <f t="shared" si="208"/>
        <v>0</v>
      </c>
      <c r="BE180" s="35">
        <v>0</v>
      </c>
      <c r="BF180" s="35">
        <f t="shared" si="209"/>
        <v>1.5120000000000001E-2</v>
      </c>
      <c r="BH180" s="35">
        <f t="shared" si="210"/>
        <v>0</v>
      </c>
      <c r="BI180" s="35">
        <f t="shared" si="211"/>
        <v>0</v>
      </c>
      <c r="BJ180" s="35">
        <f t="shared" si="212"/>
        <v>0</v>
      </c>
      <c r="BK180" s="38" t="s">
        <v>69</v>
      </c>
      <c r="BL180" s="35">
        <v>734</v>
      </c>
      <c r="BW180" s="35">
        <f t="shared" si="213"/>
        <v>21</v>
      </c>
      <c r="BX180" s="4" t="s">
        <v>573</v>
      </c>
    </row>
    <row r="181" spans="1:76" x14ac:dyDescent="0.25">
      <c r="A181" s="2" t="s">
        <v>574</v>
      </c>
      <c r="B181" s="3" t="s">
        <v>215</v>
      </c>
      <c r="C181" s="3" t="s">
        <v>572</v>
      </c>
      <c r="D181" s="70" t="s">
        <v>575</v>
      </c>
      <c r="E181" s="71"/>
      <c r="F181" s="3" t="s">
        <v>85</v>
      </c>
      <c r="G181" s="35">
        <v>4</v>
      </c>
      <c r="H181" s="68">
        <v>0</v>
      </c>
      <c r="I181" s="36">
        <v>21</v>
      </c>
      <c r="J181" s="35">
        <f t="shared" si="188"/>
        <v>0</v>
      </c>
      <c r="K181" s="35">
        <f t="shared" si="189"/>
        <v>0</v>
      </c>
      <c r="L181" s="35">
        <f t="shared" si="190"/>
        <v>0</v>
      </c>
      <c r="M181" s="35">
        <f t="shared" si="191"/>
        <v>0</v>
      </c>
      <c r="N181" s="35">
        <v>2.5200000000000001E-3</v>
      </c>
      <c r="O181" s="35">
        <f t="shared" si="192"/>
        <v>1.008E-2</v>
      </c>
      <c r="P181" s="37" t="s">
        <v>64</v>
      </c>
      <c r="Z181" s="35">
        <f t="shared" si="193"/>
        <v>0</v>
      </c>
      <c r="AB181" s="35">
        <f t="shared" si="194"/>
        <v>0</v>
      </c>
      <c r="AC181" s="35">
        <f t="shared" si="195"/>
        <v>0</v>
      </c>
      <c r="AD181" s="35">
        <f t="shared" si="196"/>
        <v>0</v>
      </c>
      <c r="AE181" s="35">
        <f t="shared" si="197"/>
        <v>0</v>
      </c>
      <c r="AF181" s="35">
        <f t="shared" si="198"/>
        <v>0</v>
      </c>
      <c r="AG181" s="35">
        <f t="shared" si="199"/>
        <v>0</v>
      </c>
      <c r="AH181" s="35">
        <f t="shared" si="200"/>
        <v>0</v>
      </c>
      <c r="AI181" s="12" t="s">
        <v>215</v>
      </c>
      <c r="AJ181" s="35">
        <f t="shared" si="201"/>
        <v>0</v>
      </c>
      <c r="AK181" s="35">
        <f t="shared" si="202"/>
        <v>0</v>
      </c>
      <c r="AL181" s="35">
        <f t="shared" si="203"/>
        <v>0</v>
      </c>
      <c r="AN181" s="35">
        <v>21</v>
      </c>
      <c r="AO181" s="35">
        <f>H181*0.888825919</f>
        <v>0</v>
      </c>
      <c r="AP181" s="35">
        <f>H181*(1-0.888825919)</f>
        <v>0</v>
      </c>
      <c r="AQ181" s="38" t="s">
        <v>65</v>
      </c>
      <c r="AV181" s="35">
        <f t="shared" si="204"/>
        <v>0</v>
      </c>
      <c r="AW181" s="35">
        <f t="shared" si="205"/>
        <v>0</v>
      </c>
      <c r="AX181" s="35">
        <f t="shared" si="206"/>
        <v>0</v>
      </c>
      <c r="AY181" s="38" t="s">
        <v>162</v>
      </c>
      <c r="AZ181" s="38" t="s">
        <v>364</v>
      </c>
      <c r="BA181" s="12" t="s">
        <v>225</v>
      </c>
      <c r="BC181" s="35">
        <f t="shared" si="207"/>
        <v>0</v>
      </c>
      <c r="BD181" s="35">
        <f t="shared" si="208"/>
        <v>0</v>
      </c>
      <c r="BE181" s="35">
        <v>0</v>
      </c>
      <c r="BF181" s="35">
        <f t="shared" si="209"/>
        <v>1.008E-2</v>
      </c>
      <c r="BH181" s="35">
        <f t="shared" si="210"/>
        <v>0</v>
      </c>
      <c r="BI181" s="35">
        <f t="shared" si="211"/>
        <v>0</v>
      </c>
      <c r="BJ181" s="35">
        <f t="shared" si="212"/>
        <v>0</v>
      </c>
      <c r="BK181" s="38" t="s">
        <v>69</v>
      </c>
      <c r="BL181" s="35">
        <v>734</v>
      </c>
      <c r="BW181" s="35">
        <f t="shared" si="213"/>
        <v>21</v>
      </c>
      <c r="BX181" s="4" t="s">
        <v>575</v>
      </c>
    </row>
    <row r="182" spans="1:76" x14ac:dyDescent="0.25">
      <c r="A182" s="2" t="s">
        <v>576</v>
      </c>
      <c r="B182" s="3" t="s">
        <v>215</v>
      </c>
      <c r="C182" s="3" t="s">
        <v>577</v>
      </c>
      <c r="D182" s="70" t="s">
        <v>578</v>
      </c>
      <c r="E182" s="71"/>
      <c r="F182" s="3" t="s">
        <v>85</v>
      </c>
      <c r="G182" s="35">
        <v>57</v>
      </c>
      <c r="H182" s="68">
        <v>0</v>
      </c>
      <c r="I182" s="36">
        <v>21</v>
      </c>
      <c r="J182" s="35">
        <f t="shared" si="188"/>
        <v>0</v>
      </c>
      <c r="K182" s="35">
        <f t="shared" si="189"/>
        <v>0</v>
      </c>
      <c r="L182" s="35">
        <f t="shared" si="190"/>
        <v>0</v>
      </c>
      <c r="M182" s="35">
        <f t="shared" si="191"/>
        <v>0</v>
      </c>
      <c r="N182" s="35">
        <v>0</v>
      </c>
      <c r="O182" s="35">
        <f t="shared" si="192"/>
        <v>0</v>
      </c>
      <c r="P182" s="37" t="s">
        <v>64</v>
      </c>
      <c r="Z182" s="35">
        <f t="shared" si="193"/>
        <v>0</v>
      </c>
      <c r="AB182" s="35">
        <f t="shared" si="194"/>
        <v>0</v>
      </c>
      <c r="AC182" s="35">
        <f t="shared" si="195"/>
        <v>0</v>
      </c>
      <c r="AD182" s="35">
        <f t="shared" si="196"/>
        <v>0</v>
      </c>
      <c r="AE182" s="35">
        <f t="shared" si="197"/>
        <v>0</v>
      </c>
      <c r="AF182" s="35">
        <f t="shared" si="198"/>
        <v>0</v>
      </c>
      <c r="AG182" s="35">
        <f t="shared" si="199"/>
        <v>0</v>
      </c>
      <c r="AH182" s="35">
        <f t="shared" si="200"/>
        <v>0</v>
      </c>
      <c r="AI182" s="12" t="s">
        <v>215</v>
      </c>
      <c r="AJ182" s="35">
        <f t="shared" si="201"/>
        <v>0</v>
      </c>
      <c r="AK182" s="35">
        <f t="shared" si="202"/>
        <v>0</v>
      </c>
      <c r="AL182" s="35">
        <f t="shared" si="203"/>
        <v>0</v>
      </c>
      <c r="AN182" s="35">
        <v>21</v>
      </c>
      <c r="AO182" s="35">
        <f>H182*0.056578947</f>
        <v>0</v>
      </c>
      <c r="AP182" s="35">
        <f>H182*(1-0.056578947)</f>
        <v>0</v>
      </c>
      <c r="AQ182" s="38" t="s">
        <v>65</v>
      </c>
      <c r="AV182" s="35">
        <f t="shared" si="204"/>
        <v>0</v>
      </c>
      <c r="AW182" s="35">
        <f t="shared" si="205"/>
        <v>0</v>
      </c>
      <c r="AX182" s="35">
        <f t="shared" si="206"/>
        <v>0</v>
      </c>
      <c r="AY182" s="38" t="s">
        <v>162</v>
      </c>
      <c r="AZ182" s="38" t="s">
        <v>364</v>
      </c>
      <c r="BA182" s="12" t="s">
        <v>225</v>
      </c>
      <c r="BC182" s="35">
        <f t="shared" si="207"/>
        <v>0</v>
      </c>
      <c r="BD182" s="35">
        <f t="shared" si="208"/>
        <v>0</v>
      </c>
      <c r="BE182" s="35">
        <v>0</v>
      </c>
      <c r="BF182" s="35">
        <f t="shared" si="209"/>
        <v>0</v>
      </c>
      <c r="BH182" s="35">
        <f t="shared" si="210"/>
        <v>0</v>
      </c>
      <c r="BI182" s="35">
        <f t="shared" si="211"/>
        <v>0</v>
      </c>
      <c r="BJ182" s="35">
        <f t="shared" si="212"/>
        <v>0</v>
      </c>
      <c r="BK182" s="38" t="s">
        <v>69</v>
      </c>
      <c r="BL182" s="35">
        <v>734</v>
      </c>
      <c r="BW182" s="35">
        <f t="shared" si="213"/>
        <v>21</v>
      </c>
      <c r="BX182" s="4" t="s">
        <v>578</v>
      </c>
    </row>
    <row r="183" spans="1:76" x14ac:dyDescent="0.25">
      <c r="A183" s="2" t="s">
        <v>579</v>
      </c>
      <c r="B183" s="3" t="s">
        <v>215</v>
      </c>
      <c r="C183" s="3" t="s">
        <v>580</v>
      </c>
      <c r="D183" s="70" t="s">
        <v>581</v>
      </c>
      <c r="E183" s="71"/>
      <c r="F183" s="3" t="s">
        <v>85</v>
      </c>
      <c r="G183" s="35">
        <v>6</v>
      </c>
      <c r="H183" s="68">
        <v>0</v>
      </c>
      <c r="I183" s="36">
        <v>21</v>
      </c>
      <c r="J183" s="35">
        <f t="shared" si="188"/>
        <v>0</v>
      </c>
      <c r="K183" s="35">
        <f t="shared" si="189"/>
        <v>0</v>
      </c>
      <c r="L183" s="35">
        <f t="shared" si="190"/>
        <v>0</v>
      </c>
      <c r="M183" s="35">
        <f t="shared" si="191"/>
        <v>0</v>
      </c>
      <c r="N183" s="35">
        <v>0</v>
      </c>
      <c r="O183" s="35">
        <f t="shared" si="192"/>
        <v>0</v>
      </c>
      <c r="P183" s="37" t="s">
        <v>64</v>
      </c>
      <c r="Z183" s="35">
        <f t="shared" si="193"/>
        <v>0</v>
      </c>
      <c r="AB183" s="35">
        <f t="shared" si="194"/>
        <v>0</v>
      </c>
      <c r="AC183" s="35">
        <f t="shared" si="195"/>
        <v>0</v>
      </c>
      <c r="AD183" s="35">
        <f t="shared" si="196"/>
        <v>0</v>
      </c>
      <c r="AE183" s="35">
        <f t="shared" si="197"/>
        <v>0</v>
      </c>
      <c r="AF183" s="35">
        <f t="shared" si="198"/>
        <v>0</v>
      </c>
      <c r="AG183" s="35">
        <f t="shared" si="199"/>
        <v>0</v>
      </c>
      <c r="AH183" s="35">
        <f t="shared" si="200"/>
        <v>0</v>
      </c>
      <c r="AI183" s="12" t="s">
        <v>215</v>
      </c>
      <c r="AJ183" s="35">
        <f t="shared" si="201"/>
        <v>0</v>
      </c>
      <c r="AK183" s="35">
        <f t="shared" si="202"/>
        <v>0</v>
      </c>
      <c r="AL183" s="35">
        <f t="shared" si="203"/>
        <v>0</v>
      </c>
      <c r="AN183" s="35">
        <v>21</v>
      </c>
      <c r="AO183" s="35">
        <f>H183*0.03807309</f>
        <v>0</v>
      </c>
      <c r="AP183" s="35">
        <f>H183*(1-0.03807309)</f>
        <v>0</v>
      </c>
      <c r="AQ183" s="38" t="s">
        <v>65</v>
      </c>
      <c r="AV183" s="35">
        <f t="shared" si="204"/>
        <v>0</v>
      </c>
      <c r="AW183" s="35">
        <f t="shared" si="205"/>
        <v>0</v>
      </c>
      <c r="AX183" s="35">
        <f t="shared" si="206"/>
        <v>0</v>
      </c>
      <c r="AY183" s="38" t="s">
        <v>162</v>
      </c>
      <c r="AZ183" s="38" t="s">
        <v>364</v>
      </c>
      <c r="BA183" s="12" t="s">
        <v>225</v>
      </c>
      <c r="BC183" s="35">
        <f t="shared" si="207"/>
        <v>0</v>
      </c>
      <c r="BD183" s="35">
        <f t="shared" si="208"/>
        <v>0</v>
      </c>
      <c r="BE183" s="35">
        <v>0</v>
      </c>
      <c r="BF183" s="35">
        <f t="shared" si="209"/>
        <v>0</v>
      </c>
      <c r="BH183" s="35">
        <f t="shared" si="210"/>
        <v>0</v>
      </c>
      <c r="BI183" s="35">
        <f t="shared" si="211"/>
        <v>0</v>
      </c>
      <c r="BJ183" s="35">
        <f t="shared" si="212"/>
        <v>0</v>
      </c>
      <c r="BK183" s="38" t="s">
        <v>69</v>
      </c>
      <c r="BL183" s="35">
        <v>734</v>
      </c>
      <c r="BW183" s="35">
        <f t="shared" si="213"/>
        <v>21</v>
      </c>
      <c r="BX183" s="4" t="s">
        <v>581</v>
      </c>
    </row>
    <row r="184" spans="1:76" x14ac:dyDescent="0.25">
      <c r="A184" s="2" t="s">
        <v>582</v>
      </c>
      <c r="B184" s="3" t="s">
        <v>215</v>
      </c>
      <c r="C184" s="3" t="s">
        <v>583</v>
      </c>
      <c r="D184" s="70" t="s">
        <v>584</v>
      </c>
      <c r="E184" s="71"/>
      <c r="F184" s="3" t="s">
        <v>85</v>
      </c>
      <c r="G184" s="35">
        <v>2</v>
      </c>
      <c r="H184" s="68">
        <v>0</v>
      </c>
      <c r="I184" s="36">
        <v>21</v>
      </c>
      <c r="J184" s="35">
        <f t="shared" si="188"/>
        <v>0</v>
      </c>
      <c r="K184" s="35">
        <f t="shared" si="189"/>
        <v>0</v>
      </c>
      <c r="L184" s="35">
        <f t="shared" si="190"/>
        <v>0</v>
      </c>
      <c r="M184" s="35">
        <f t="shared" si="191"/>
        <v>0</v>
      </c>
      <c r="N184" s="35">
        <v>0</v>
      </c>
      <c r="O184" s="35">
        <f t="shared" si="192"/>
        <v>0</v>
      </c>
      <c r="P184" s="37" t="s">
        <v>64</v>
      </c>
      <c r="Z184" s="35">
        <f t="shared" si="193"/>
        <v>0</v>
      </c>
      <c r="AB184" s="35">
        <f t="shared" si="194"/>
        <v>0</v>
      </c>
      <c r="AC184" s="35">
        <f t="shared" si="195"/>
        <v>0</v>
      </c>
      <c r="AD184" s="35">
        <f t="shared" si="196"/>
        <v>0</v>
      </c>
      <c r="AE184" s="35">
        <f t="shared" si="197"/>
        <v>0</v>
      </c>
      <c r="AF184" s="35">
        <f t="shared" si="198"/>
        <v>0</v>
      </c>
      <c r="AG184" s="35">
        <f t="shared" si="199"/>
        <v>0</v>
      </c>
      <c r="AH184" s="35">
        <f t="shared" si="200"/>
        <v>0</v>
      </c>
      <c r="AI184" s="12" t="s">
        <v>215</v>
      </c>
      <c r="AJ184" s="35">
        <f t="shared" si="201"/>
        <v>0</v>
      </c>
      <c r="AK184" s="35">
        <f t="shared" si="202"/>
        <v>0</v>
      </c>
      <c r="AL184" s="35">
        <f t="shared" si="203"/>
        <v>0</v>
      </c>
      <c r="AN184" s="35">
        <v>21</v>
      </c>
      <c r="AO184" s="35">
        <f>H184*0.051097923</f>
        <v>0</v>
      </c>
      <c r="AP184" s="35">
        <f>H184*(1-0.051097923)</f>
        <v>0</v>
      </c>
      <c r="AQ184" s="38" t="s">
        <v>65</v>
      </c>
      <c r="AV184" s="35">
        <f t="shared" si="204"/>
        <v>0</v>
      </c>
      <c r="AW184" s="35">
        <f t="shared" si="205"/>
        <v>0</v>
      </c>
      <c r="AX184" s="35">
        <f t="shared" si="206"/>
        <v>0</v>
      </c>
      <c r="AY184" s="38" t="s">
        <v>162</v>
      </c>
      <c r="AZ184" s="38" t="s">
        <v>364</v>
      </c>
      <c r="BA184" s="12" t="s">
        <v>225</v>
      </c>
      <c r="BC184" s="35">
        <f t="shared" si="207"/>
        <v>0</v>
      </c>
      <c r="BD184" s="35">
        <f t="shared" si="208"/>
        <v>0</v>
      </c>
      <c r="BE184" s="35">
        <v>0</v>
      </c>
      <c r="BF184" s="35">
        <f t="shared" si="209"/>
        <v>0</v>
      </c>
      <c r="BH184" s="35">
        <f t="shared" si="210"/>
        <v>0</v>
      </c>
      <c r="BI184" s="35">
        <f t="shared" si="211"/>
        <v>0</v>
      </c>
      <c r="BJ184" s="35">
        <f t="shared" si="212"/>
        <v>0</v>
      </c>
      <c r="BK184" s="38" t="s">
        <v>69</v>
      </c>
      <c r="BL184" s="35">
        <v>734</v>
      </c>
      <c r="BW184" s="35">
        <f t="shared" si="213"/>
        <v>21</v>
      </c>
      <c r="BX184" s="4" t="s">
        <v>584</v>
      </c>
    </row>
    <row r="185" spans="1:76" x14ac:dyDescent="0.25">
      <c r="A185" s="2" t="s">
        <v>585</v>
      </c>
      <c r="B185" s="3" t="s">
        <v>215</v>
      </c>
      <c r="C185" s="3" t="s">
        <v>586</v>
      </c>
      <c r="D185" s="70" t="s">
        <v>587</v>
      </c>
      <c r="E185" s="71"/>
      <c r="F185" s="3" t="s">
        <v>85</v>
      </c>
      <c r="G185" s="35">
        <v>7</v>
      </c>
      <c r="H185" s="68">
        <v>0</v>
      </c>
      <c r="I185" s="36">
        <v>21</v>
      </c>
      <c r="J185" s="35">
        <f t="shared" si="188"/>
        <v>0</v>
      </c>
      <c r="K185" s="35">
        <f t="shared" si="189"/>
        <v>0</v>
      </c>
      <c r="L185" s="35">
        <f t="shared" si="190"/>
        <v>0</v>
      </c>
      <c r="M185" s="35">
        <f t="shared" si="191"/>
        <v>0</v>
      </c>
      <c r="N185" s="35">
        <v>0</v>
      </c>
      <c r="O185" s="35">
        <f t="shared" si="192"/>
        <v>0</v>
      </c>
      <c r="P185" s="37" t="s">
        <v>64</v>
      </c>
      <c r="Z185" s="35">
        <f t="shared" si="193"/>
        <v>0</v>
      </c>
      <c r="AB185" s="35">
        <f t="shared" si="194"/>
        <v>0</v>
      </c>
      <c r="AC185" s="35">
        <f t="shared" si="195"/>
        <v>0</v>
      </c>
      <c r="AD185" s="35">
        <f t="shared" si="196"/>
        <v>0</v>
      </c>
      <c r="AE185" s="35">
        <f t="shared" si="197"/>
        <v>0</v>
      </c>
      <c r="AF185" s="35">
        <f t="shared" si="198"/>
        <v>0</v>
      </c>
      <c r="AG185" s="35">
        <f t="shared" si="199"/>
        <v>0</v>
      </c>
      <c r="AH185" s="35">
        <f t="shared" si="200"/>
        <v>0</v>
      </c>
      <c r="AI185" s="12" t="s">
        <v>215</v>
      </c>
      <c r="AJ185" s="35">
        <f t="shared" si="201"/>
        <v>0</v>
      </c>
      <c r="AK185" s="35">
        <f t="shared" si="202"/>
        <v>0</v>
      </c>
      <c r="AL185" s="35">
        <f t="shared" si="203"/>
        <v>0</v>
      </c>
      <c r="AN185" s="35">
        <v>21</v>
      </c>
      <c r="AO185" s="35">
        <f>H185*0.0574</f>
        <v>0</v>
      </c>
      <c r="AP185" s="35">
        <f>H185*(1-0.0574)</f>
        <v>0</v>
      </c>
      <c r="AQ185" s="38" t="s">
        <v>65</v>
      </c>
      <c r="AV185" s="35">
        <f t="shared" si="204"/>
        <v>0</v>
      </c>
      <c r="AW185" s="35">
        <f t="shared" si="205"/>
        <v>0</v>
      </c>
      <c r="AX185" s="35">
        <f t="shared" si="206"/>
        <v>0</v>
      </c>
      <c r="AY185" s="38" t="s">
        <v>162</v>
      </c>
      <c r="AZ185" s="38" t="s">
        <v>364</v>
      </c>
      <c r="BA185" s="12" t="s">
        <v>225</v>
      </c>
      <c r="BC185" s="35">
        <f t="shared" si="207"/>
        <v>0</v>
      </c>
      <c r="BD185" s="35">
        <f t="shared" si="208"/>
        <v>0</v>
      </c>
      <c r="BE185" s="35">
        <v>0</v>
      </c>
      <c r="BF185" s="35">
        <f t="shared" si="209"/>
        <v>0</v>
      </c>
      <c r="BH185" s="35">
        <f t="shared" si="210"/>
        <v>0</v>
      </c>
      <c r="BI185" s="35">
        <f t="shared" si="211"/>
        <v>0</v>
      </c>
      <c r="BJ185" s="35">
        <f t="shared" si="212"/>
        <v>0</v>
      </c>
      <c r="BK185" s="38" t="s">
        <v>69</v>
      </c>
      <c r="BL185" s="35">
        <v>734</v>
      </c>
      <c r="BW185" s="35">
        <f t="shared" si="213"/>
        <v>21</v>
      </c>
      <c r="BX185" s="4" t="s">
        <v>587</v>
      </c>
    </row>
    <row r="186" spans="1:76" x14ac:dyDescent="0.25">
      <c r="A186" s="2" t="s">
        <v>588</v>
      </c>
      <c r="B186" s="3" t="s">
        <v>215</v>
      </c>
      <c r="C186" s="3" t="s">
        <v>589</v>
      </c>
      <c r="D186" s="70" t="s">
        <v>590</v>
      </c>
      <c r="E186" s="71"/>
      <c r="F186" s="3" t="s">
        <v>85</v>
      </c>
      <c r="G186" s="35">
        <v>42</v>
      </c>
      <c r="H186" s="68">
        <v>0</v>
      </c>
      <c r="I186" s="36">
        <v>21</v>
      </c>
      <c r="J186" s="35">
        <f t="shared" si="188"/>
        <v>0</v>
      </c>
      <c r="K186" s="35">
        <f t="shared" si="189"/>
        <v>0</v>
      </c>
      <c r="L186" s="35">
        <f t="shared" si="190"/>
        <v>0</v>
      </c>
      <c r="M186" s="35">
        <f t="shared" si="191"/>
        <v>0</v>
      </c>
      <c r="N186" s="35">
        <v>0</v>
      </c>
      <c r="O186" s="35">
        <f t="shared" si="192"/>
        <v>0</v>
      </c>
      <c r="P186" s="37" t="s">
        <v>64</v>
      </c>
      <c r="Z186" s="35">
        <f t="shared" si="193"/>
        <v>0</v>
      </c>
      <c r="AB186" s="35">
        <f t="shared" si="194"/>
        <v>0</v>
      </c>
      <c r="AC186" s="35">
        <f t="shared" si="195"/>
        <v>0</v>
      </c>
      <c r="AD186" s="35">
        <f t="shared" si="196"/>
        <v>0</v>
      </c>
      <c r="AE186" s="35">
        <f t="shared" si="197"/>
        <v>0</v>
      </c>
      <c r="AF186" s="35">
        <f t="shared" si="198"/>
        <v>0</v>
      </c>
      <c r="AG186" s="35">
        <f t="shared" si="199"/>
        <v>0</v>
      </c>
      <c r="AH186" s="35">
        <f t="shared" si="200"/>
        <v>0</v>
      </c>
      <c r="AI186" s="12" t="s">
        <v>215</v>
      </c>
      <c r="AJ186" s="35">
        <f t="shared" si="201"/>
        <v>0</v>
      </c>
      <c r="AK186" s="35">
        <f t="shared" si="202"/>
        <v>0</v>
      </c>
      <c r="AL186" s="35">
        <f t="shared" si="203"/>
        <v>0</v>
      </c>
      <c r="AN186" s="35">
        <v>21</v>
      </c>
      <c r="AO186" s="35">
        <f>H186*0.060231307</f>
        <v>0</v>
      </c>
      <c r="AP186" s="35">
        <f>H186*(1-0.060231307)</f>
        <v>0</v>
      </c>
      <c r="AQ186" s="38" t="s">
        <v>65</v>
      </c>
      <c r="AV186" s="35">
        <f t="shared" si="204"/>
        <v>0</v>
      </c>
      <c r="AW186" s="35">
        <f t="shared" si="205"/>
        <v>0</v>
      </c>
      <c r="AX186" s="35">
        <f t="shared" si="206"/>
        <v>0</v>
      </c>
      <c r="AY186" s="38" t="s">
        <v>162</v>
      </c>
      <c r="AZ186" s="38" t="s">
        <v>364</v>
      </c>
      <c r="BA186" s="12" t="s">
        <v>225</v>
      </c>
      <c r="BC186" s="35">
        <f t="shared" si="207"/>
        <v>0</v>
      </c>
      <c r="BD186" s="35">
        <f t="shared" si="208"/>
        <v>0</v>
      </c>
      <c r="BE186" s="35">
        <v>0</v>
      </c>
      <c r="BF186" s="35">
        <f t="shared" si="209"/>
        <v>0</v>
      </c>
      <c r="BH186" s="35">
        <f t="shared" si="210"/>
        <v>0</v>
      </c>
      <c r="BI186" s="35">
        <f t="shared" si="211"/>
        <v>0</v>
      </c>
      <c r="BJ186" s="35">
        <f t="shared" si="212"/>
        <v>0</v>
      </c>
      <c r="BK186" s="38" t="s">
        <v>69</v>
      </c>
      <c r="BL186" s="35">
        <v>734</v>
      </c>
      <c r="BW186" s="35">
        <f t="shared" si="213"/>
        <v>21</v>
      </c>
      <c r="BX186" s="4" t="s">
        <v>590</v>
      </c>
    </row>
    <row r="187" spans="1:76" x14ac:dyDescent="0.25">
      <c r="A187" s="2" t="s">
        <v>591</v>
      </c>
      <c r="B187" s="3" t="s">
        <v>215</v>
      </c>
      <c r="C187" s="3" t="s">
        <v>592</v>
      </c>
      <c r="D187" s="70" t="s">
        <v>593</v>
      </c>
      <c r="E187" s="71"/>
      <c r="F187" s="3" t="s">
        <v>85</v>
      </c>
      <c r="G187" s="35">
        <v>28</v>
      </c>
      <c r="H187" s="68">
        <v>0</v>
      </c>
      <c r="I187" s="36">
        <v>21</v>
      </c>
      <c r="J187" s="35">
        <f t="shared" si="188"/>
        <v>0</v>
      </c>
      <c r="K187" s="35">
        <f t="shared" si="189"/>
        <v>0</v>
      </c>
      <c r="L187" s="35">
        <f t="shared" si="190"/>
        <v>0</v>
      </c>
      <c r="M187" s="35">
        <f t="shared" si="191"/>
        <v>0</v>
      </c>
      <c r="N187" s="35">
        <v>0</v>
      </c>
      <c r="O187" s="35">
        <f t="shared" si="192"/>
        <v>0</v>
      </c>
      <c r="P187" s="37" t="s">
        <v>64</v>
      </c>
      <c r="Z187" s="35">
        <f t="shared" si="193"/>
        <v>0</v>
      </c>
      <c r="AB187" s="35">
        <f t="shared" si="194"/>
        <v>0</v>
      </c>
      <c r="AC187" s="35">
        <f t="shared" si="195"/>
        <v>0</v>
      </c>
      <c r="AD187" s="35">
        <f t="shared" si="196"/>
        <v>0</v>
      </c>
      <c r="AE187" s="35">
        <f t="shared" si="197"/>
        <v>0</v>
      </c>
      <c r="AF187" s="35">
        <f t="shared" si="198"/>
        <v>0</v>
      </c>
      <c r="AG187" s="35">
        <f t="shared" si="199"/>
        <v>0</v>
      </c>
      <c r="AH187" s="35">
        <f t="shared" si="200"/>
        <v>0</v>
      </c>
      <c r="AI187" s="12" t="s">
        <v>215</v>
      </c>
      <c r="AJ187" s="35">
        <f t="shared" si="201"/>
        <v>0</v>
      </c>
      <c r="AK187" s="35">
        <f t="shared" si="202"/>
        <v>0</v>
      </c>
      <c r="AL187" s="35">
        <f t="shared" si="203"/>
        <v>0</v>
      </c>
      <c r="AN187" s="35">
        <v>21</v>
      </c>
      <c r="AO187" s="35">
        <f>H187*0.084138399</f>
        <v>0</v>
      </c>
      <c r="AP187" s="35">
        <f>H187*(1-0.084138399)</f>
        <v>0</v>
      </c>
      <c r="AQ187" s="38" t="s">
        <v>65</v>
      </c>
      <c r="AV187" s="35">
        <f t="shared" si="204"/>
        <v>0</v>
      </c>
      <c r="AW187" s="35">
        <f t="shared" si="205"/>
        <v>0</v>
      </c>
      <c r="AX187" s="35">
        <f t="shared" si="206"/>
        <v>0</v>
      </c>
      <c r="AY187" s="38" t="s">
        <v>162</v>
      </c>
      <c r="AZ187" s="38" t="s">
        <v>364</v>
      </c>
      <c r="BA187" s="12" t="s">
        <v>225</v>
      </c>
      <c r="BC187" s="35">
        <f t="shared" si="207"/>
        <v>0</v>
      </c>
      <c r="BD187" s="35">
        <f t="shared" si="208"/>
        <v>0</v>
      </c>
      <c r="BE187" s="35">
        <v>0</v>
      </c>
      <c r="BF187" s="35">
        <f t="shared" si="209"/>
        <v>0</v>
      </c>
      <c r="BH187" s="35">
        <f t="shared" si="210"/>
        <v>0</v>
      </c>
      <c r="BI187" s="35">
        <f t="shared" si="211"/>
        <v>0</v>
      </c>
      <c r="BJ187" s="35">
        <f t="shared" si="212"/>
        <v>0</v>
      </c>
      <c r="BK187" s="38" t="s">
        <v>69</v>
      </c>
      <c r="BL187" s="35">
        <v>734</v>
      </c>
      <c r="BW187" s="35">
        <f t="shared" si="213"/>
        <v>21</v>
      </c>
      <c r="BX187" s="4" t="s">
        <v>593</v>
      </c>
    </row>
    <row r="188" spans="1:76" x14ac:dyDescent="0.25">
      <c r="A188" s="2" t="s">
        <v>594</v>
      </c>
      <c r="B188" s="3" t="s">
        <v>215</v>
      </c>
      <c r="C188" s="3" t="s">
        <v>595</v>
      </c>
      <c r="D188" s="70" t="s">
        <v>596</v>
      </c>
      <c r="E188" s="71"/>
      <c r="F188" s="3" t="s">
        <v>85</v>
      </c>
      <c r="G188" s="35">
        <v>8</v>
      </c>
      <c r="H188" s="68">
        <v>0</v>
      </c>
      <c r="I188" s="36">
        <v>21</v>
      </c>
      <c r="J188" s="35">
        <f t="shared" si="188"/>
        <v>0</v>
      </c>
      <c r="K188" s="35">
        <f t="shared" si="189"/>
        <v>0</v>
      </c>
      <c r="L188" s="35">
        <f t="shared" si="190"/>
        <v>0</v>
      </c>
      <c r="M188" s="35">
        <f t="shared" si="191"/>
        <v>0</v>
      </c>
      <c r="N188" s="35">
        <v>0</v>
      </c>
      <c r="O188" s="35">
        <f t="shared" si="192"/>
        <v>0</v>
      </c>
      <c r="P188" s="37" t="s">
        <v>64</v>
      </c>
      <c r="Z188" s="35">
        <f t="shared" si="193"/>
        <v>0</v>
      </c>
      <c r="AB188" s="35">
        <f t="shared" si="194"/>
        <v>0</v>
      </c>
      <c r="AC188" s="35">
        <f t="shared" si="195"/>
        <v>0</v>
      </c>
      <c r="AD188" s="35">
        <f t="shared" si="196"/>
        <v>0</v>
      </c>
      <c r="AE188" s="35">
        <f t="shared" si="197"/>
        <v>0</v>
      </c>
      <c r="AF188" s="35">
        <f t="shared" si="198"/>
        <v>0</v>
      </c>
      <c r="AG188" s="35">
        <f t="shared" si="199"/>
        <v>0</v>
      </c>
      <c r="AH188" s="35">
        <f t="shared" si="200"/>
        <v>0</v>
      </c>
      <c r="AI188" s="12" t="s">
        <v>215</v>
      </c>
      <c r="AJ188" s="35">
        <f t="shared" si="201"/>
        <v>0</v>
      </c>
      <c r="AK188" s="35">
        <f t="shared" si="202"/>
        <v>0</v>
      </c>
      <c r="AL188" s="35">
        <f t="shared" si="203"/>
        <v>0</v>
      </c>
      <c r="AN188" s="35">
        <v>21</v>
      </c>
      <c r="AO188" s="35">
        <f>H188*0.02756587</f>
        <v>0</v>
      </c>
      <c r="AP188" s="35">
        <f>H188*(1-0.02756587)</f>
        <v>0</v>
      </c>
      <c r="AQ188" s="38" t="s">
        <v>65</v>
      </c>
      <c r="AV188" s="35">
        <f t="shared" si="204"/>
        <v>0</v>
      </c>
      <c r="AW188" s="35">
        <f t="shared" si="205"/>
        <v>0</v>
      </c>
      <c r="AX188" s="35">
        <f t="shared" si="206"/>
        <v>0</v>
      </c>
      <c r="AY188" s="38" t="s">
        <v>162</v>
      </c>
      <c r="AZ188" s="38" t="s">
        <v>364</v>
      </c>
      <c r="BA188" s="12" t="s">
        <v>225</v>
      </c>
      <c r="BC188" s="35">
        <f t="shared" si="207"/>
        <v>0</v>
      </c>
      <c r="BD188" s="35">
        <f t="shared" si="208"/>
        <v>0</v>
      </c>
      <c r="BE188" s="35">
        <v>0</v>
      </c>
      <c r="BF188" s="35">
        <f t="shared" si="209"/>
        <v>0</v>
      </c>
      <c r="BH188" s="35">
        <f t="shared" si="210"/>
        <v>0</v>
      </c>
      <c r="BI188" s="35">
        <f t="shared" si="211"/>
        <v>0</v>
      </c>
      <c r="BJ188" s="35">
        <f t="shared" si="212"/>
        <v>0</v>
      </c>
      <c r="BK188" s="38" t="s">
        <v>69</v>
      </c>
      <c r="BL188" s="35">
        <v>734</v>
      </c>
      <c r="BW188" s="35">
        <f t="shared" si="213"/>
        <v>21</v>
      </c>
      <c r="BX188" s="4" t="s">
        <v>596</v>
      </c>
    </row>
    <row r="189" spans="1:76" x14ac:dyDescent="0.25">
      <c r="A189" s="2" t="s">
        <v>597</v>
      </c>
      <c r="B189" s="3" t="s">
        <v>215</v>
      </c>
      <c r="C189" s="3" t="s">
        <v>598</v>
      </c>
      <c r="D189" s="70" t="s">
        <v>599</v>
      </c>
      <c r="E189" s="71"/>
      <c r="F189" s="3" t="s">
        <v>85</v>
      </c>
      <c r="G189" s="35">
        <v>1</v>
      </c>
      <c r="H189" s="68">
        <v>0</v>
      </c>
      <c r="I189" s="36">
        <v>21</v>
      </c>
      <c r="J189" s="35">
        <f t="shared" ref="J189:J208" si="214">ROUND(G189*AO189,2)</f>
        <v>0</v>
      </c>
      <c r="K189" s="35">
        <f t="shared" ref="K189:K208" si="215">ROUND(G189*AP189,2)</f>
        <v>0</v>
      </c>
      <c r="L189" s="35">
        <f t="shared" ref="L189:L208" si="216">ROUND(G189*H189,2)</f>
        <v>0</v>
      </c>
      <c r="M189" s="35">
        <f t="shared" ref="M189:M208" si="217">L189*(1+BW189/100)</f>
        <v>0</v>
      </c>
      <c r="N189" s="35">
        <v>0</v>
      </c>
      <c r="O189" s="35">
        <f t="shared" ref="O189:O208" si="218">G189*N189</f>
        <v>0</v>
      </c>
      <c r="P189" s="37" t="s">
        <v>64</v>
      </c>
      <c r="Z189" s="35">
        <f t="shared" ref="Z189:Z208" si="219">ROUND(IF(AQ189="5",BJ189,0),2)</f>
        <v>0</v>
      </c>
      <c r="AB189" s="35">
        <f t="shared" ref="AB189:AB208" si="220">ROUND(IF(AQ189="1",BH189,0),2)</f>
        <v>0</v>
      </c>
      <c r="AC189" s="35">
        <f t="shared" ref="AC189:AC208" si="221">ROUND(IF(AQ189="1",BI189,0),2)</f>
        <v>0</v>
      </c>
      <c r="AD189" s="35">
        <f t="shared" ref="AD189:AD208" si="222">ROUND(IF(AQ189="7",BH189,0),2)</f>
        <v>0</v>
      </c>
      <c r="AE189" s="35">
        <f t="shared" ref="AE189:AE208" si="223">ROUND(IF(AQ189="7",BI189,0),2)</f>
        <v>0</v>
      </c>
      <c r="AF189" s="35">
        <f t="shared" ref="AF189:AF208" si="224">ROUND(IF(AQ189="2",BH189,0),2)</f>
        <v>0</v>
      </c>
      <c r="AG189" s="35">
        <f t="shared" ref="AG189:AG208" si="225">ROUND(IF(AQ189="2",BI189,0),2)</f>
        <v>0</v>
      </c>
      <c r="AH189" s="35">
        <f t="shared" ref="AH189:AH208" si="226">ROUND(IF(AQ189="0",BJ189,0),2)</f>
        <v>0</v>
      </c>
      <c r="AI189" s="12" t="s">
        <v>215</v>
      </c>
      <c r="AJ189" s="35">
        <f t="shared" ref="AJ189:AJ208" si="227">IF(AN189=0,L189,0)</f>
        <v>0</v>
      </c>
      <c r="AK189" s="35">
        <f t="shared" ref="AK189:AK208" si="228">IF(AN189=15,L189,0)</f>
        <v>0</v>
      </c>
      <c r="AL189" s="35">
        <f t="shared" ref="AL189:AL208" si="229">IF(AN189=21,L189,0)</f>
        <v>0</v>
      </c>
      <c r="AN189" s="35">
        <v>21</v>
      </c>
      <c r="AO189" s="35">
        <f>H189*0.072166834</f>
        <v>0</v>
      </c>
      <c r="AP189" s="35">
        <f>H189*(1-0.072166834)</f>
        <v>0</v>
      </c>
      <c r="AQ189" s="38" t="s">
        <v>65</v>
      </c>
      <c r="AV189" s="35">
        <f t="shared" ref="AV189:AV208" si="230">ROUND(AW189+AX189,2)</f>
        <v>0</v>
      </c>
      <c r="AW189" s="35">
        <f t="shared" ref="AW189:AW208" si="231">ROUND(G189*AO189,2)</f>
        <v>0</v>
      </c>
      <c r="AX189" s="35">
        <f t="shared" ref="AX189:AX208" si="232">ROUND(G189*AP189,2)</f>
        <v>0</v>
      </c>
      <c r="AY189" s="38" t="s">
        <v>162</v>
      </c>
      <c r="AZ189" s="38" t="s">
        <v>364</v>
      </c>
      <c r="BA189" s="12" t="s">
        <v>225</v>
      </c>
      <c r="BC189" s="35">
        <f t="shared" ref="BC189:BC208" si="233">AW189+AX189</f>
        <v>0</v>
      </c>
      <c r="BD189" s="35">
        <f t="shared" ref="BD189:BD208" si="234">H189/(100-BE189)*100</f>
        <v>0</v>
      </c>
      <c r="BE189" s="35">
        <v>0</v>
      </c>
      <c r="BF189" s="35">
        <f t="shared" ref="BF189:BF208" si="235">O189</f>
        <v>0</v>
      </c>
      <c r="BH189" s="35">
        <f t="shared" ref="BH189:BH208" si="236">G189*AO189</f>
        <v>0</v>
      </c>
      <c r="BI189" s="35">
        <f t="shared" ref="BI189:BI208" si="237">G189*AP189</f>
        <v>0</v>
      </c>
      <c r="BJ189" s="35">
        <f t="shared" ref="BJ189:BJ208" si="238">G189*H189</f>
        <v>0</v>
      </c>
      <c r="BK189" s="38" t="s">
        <v>69</v>
      </c>
      <c r="BL189" s="35">
        <v>734</v>
      </c>
      <c r="BW189" s="35">
        <f t="shared" ref="BW189:BW208" si="239">I189</f>
        <v>21</v>
      </c>
      <c r="BX189" s="4" t="s">
        <v>599</v>
      </c>
    </row>
    <row r="190" spans="1:76" x14ac:dyDescent="0.25">
      <c r="A190" s="2" t="s">
        <v>600</v>
      </c>
      <c r="B190" s="3" t="s">
        <v>215</v>
      </c>
      <c r="C190" s="3" t="s">
        <v>598</v>
      </c>
      <c r="D190" s="70" t="s">
        <v>601</v>
      </c>
      <c r="E190" s="71"/>
      <c r="F190" s="3" t="s">
        <v>85</v>
      </c>
      <c r="G190" s="35">
        <v>2</v>
      </c>
      <c r="H190" s="68">
        <v>0</v>
      </c>
      <c r="I190" s="36">
        <v>21</v>
      </c>
      <c r="J190" s="35">
        <f t="shared" si="214"/>
        <v>0</v>
      </c>
      <c r="K190" s="35">
        <f t="shared" si="215"/>
        <v>0</v>
      </c>
      <c r="L190" s="35">
        <f t="shared" si="216"/>
        <v>0</v>
      </c>
      <c r="M190" s="35">
        <f t="shared" si="217"/>
        <v>0</v>
      </c>
      <c r="N190" s="35">
        <v>0</v>
      </c>
      <c r="O190" s="35">
        <f t="shared" si="218"/>
        <v>0</v>
      </c>
      <c r="P190" s="37" t="s">
        <v>64</v>
      </c>
      <c r="Z190" s="35">
        <f t="shared" si="219"/>
        <v>0</v>
      </c>
      <c r="AB190" s="35">
        <f t="shared" si="220"/>
        <v>0</v>
      </c>
      <c r="AC190" s="35">
        <f t="shared" si="221"/>
        <v>0</v>
      </c>
      <c r="AD190" s="35">
        <f t="shared" si="222"/>
        <v>0</v>
      </c>
      <c r="AE190" s="35">
        <f t="shared" si="223"/>
        <v>0</v>
      </c>
      <c r="AF190" s="35">
        <f t="shared" si="224"/>
        <v>0</v>
      </c>
      <c r="AG190" s="35">
        <f t="shared" si="225"/>
        <v>0</v>
      </c>
      <c r="AH190" s="35">
        <f t="shared" si="226"/>
        <v>0</v>
      </c>
      <c r="AI190" s="12" t="s">
        <v>215</v>
      </c>
      <c r="AJ190" s="35">
        <f t="shared" si="227"/>
        <v>0</v>
      </c>
      <c r="AK190" s="35">
        <f t="shared" si="228"/>
        <v>0</v>
      </c>
      <c r="AL190" s="35">
        <f t="shared" si="229"/>
        <v>0</v>
      </c>
      <c r="AN190" s="35">
        <v>21</v>
      </c>
      <c r="AO190" s="35">
        <f>H190*0.072166834</f>
        <v>0</v>
      </c>
      <c r="AP190" s="35">
        <f>H190*(1-0.072166834)</f>
        <v>0</v>
      </c>
      <c r="AQ190" s="38" t="s">
        <v>65</v>
      </c>
      <c r="AV190" s="35">
        <f t="shared" si="230"/>
        <v>0</v>
      </c>
      <c r="AW190" s="35">
        <f t="shared" si="231"/>
        <v>0</v>
      </c>
      <c r="AX190" s="35">
        <f t="shared" si="232"/>
        <v>0</v>
      </c>
      <c r="AY190" s="38" t="s">
        <v>162</v>
      </c>
      <c r="AZ190" s="38" t="s">
        <v>364</v>
      </c>
      <c r="BA190" s="12" t="s">
        <v>225</v>
      </c>
      <c r="BC190" s="35">
        <f t="shared" si="233"/>
        <v>0</v>
      </c>
      <c r="BD190" s="35">
        <f t="shared" si="234"/>
        <v>0</v>
      </c>
      <c r="BE190" s="35">
        <v>0</v>
      </c>
      <c r="BF190" s="35">
        <f t="shared" si="235"/>
        <v>0</v>
      </c>
      <c r="BH190" s="35">
        <f t="shared" si="236"/>
        <v>0</v>
      </c>
      <c r="BI190" s="35">
        <f t="shared" si="237"/>
        <v>0</v>
      </c>
      <c r="BJ190" s="35">
        <f t="shared" si="238"/>
        <v>0</v>
      </c>
      <c r="BK190" s="38" t="s">
        <v>69</v>
      </c>
      <c r="BL190" s="35">
        <v>734</v>
      </c>
      <c r="BW190" s="35">
        <f t="shared" si="239"/>
        <v>21</v>
      </c>
      <c r="BX190" s="4" t="s">
        <v>601</v>
      </c>
    </row>
    <row r="191" spans="1:76" x14ac:dyDescent="0.25">
      <c r="A191" s="2" t="s">
        <v>602</v>
      </c>
      <c r="B191" s="3" t="s">
        <v>215</v>
      </c>
      <c r="C191" s="3" t="s">
        <v>603</v>
      </c>
      <c r="D191" s="70" t="s">
        <v>604</v>
      </c>
      <c r="E191" s="71"/>
      <c r="F191" s="3" t="s">
        <v>85</v>
      </c>
      <c r="G191" s="35">
        <v>2</v>
      </c>
      <c r="H191" s="68">
        <v>0</v>
      </c>
      <c r="I191" s="36">
        <v>21</v>
      </c>
      <c r="J191" s="35">
        <f t="shared" si="214"/>
        <v>0</v>
      </c>
      <c r="K191" s="35">
        <f t="shared" si="215"/>
        <v>0</v>
      </c>
      <c r="L191" s="35">
        <f t="shared" si="216"/>
        <v>0</v>
      </c>
      <c r="M191" s="35">
        <f t="shared" si="217"/>
        <v>0</v>
      </c>
      <c r="N191" s="35">
        <v>0</v>
      </c>
      <c r="O191" s="35">
        <f t="shared" si="218"/>
        <v>0</v>
      </c>
      <c r="P191" s="37" t="s">
        <v>64</v>
      </c>
      <c r="Z191" s="35">
        <f t="shared" si="219"/>
        <v>0</v>
      </c>
      <c r="AB191" s="35">
        <f t="shared" si="220"/>
        <v>0</v>
      </c>
      <c r="AC191" s="35">
        <f t="shared" si="221"/>
        <v>0</v>
      </c>
      <c r="AD191" s="35">
        <f t="shared" si="222"/>
        <v>0</v>
      </c>
      <c r="AE191" s="35">
        <f t="shared" si="223"/>
        <v>0</v>
      </c>
      <c r="AF191" s="35">
        <f t="shared" si="224"/>
        <v>0</v>
      </c>
      <c r="AG191" s="35">
        <f t="shared" si="225"/>
        <v>0</v>
      </c>
      <c r="AH191" s="35">
        <f t="shared" si="226"/>
        <v>0</v>
      </c>
      <c r="AI191" s="12" t="s">
        <v>215</v>
      </c>
      <c r="AJ191" s="35">
        <f t="shared" si="227"/>
        <v>0</v>
      </c>
      <c r="AK191" s="35">
        <f t="shared" si="228"/>
        <v>0</v>
      </c>
      <c r="AL191" s="35">
        <f t="shared" si="229"/>
        <v>0</v>
      </c>
      <c r="AN191" s="35">
        <v>21</v>
      </c>
      <c r="AO191" s="35">
        <f>H191*0.10146402</f>
        <v>0</v>
      </c>
      <c r="AP191" s="35">
        <f>H191*(1-0.10146402)</f>
        <v>0</v>
      </c>
      <c r="AQ191" s="38" t="s">
        <v>65</v>
      </c>
      <c r="AV191" s="35">
        <f t="shared" si="230"/>
        <v>0</v>
      </c>
      <c r="AW191" s="35">
        <f t="shared" si="231"/>
        <v>0</v>
      </c>
      <c r="AX191" s="35">
        <f t="shared" si="232"/>
        <v>0</v>
      </c>
      <c r="AY191" s="38" t="s">
        <v>162</v>
      </c>
      <c r="AZ191" s="38" t="s">
        <v>364</v>
      </c>
      <c r="BA191" s="12" t="s">
        <v>225</v>
      </c>
      <c r="BC191" s="35">
        <f t="shared" si="233"/>
        <v>0</v>
      </c>
      <c r="BD191" s="35">
        <f t="shared" si="234"/>
        <v>0</v>
      </c>
      <c r="BE191" s="35">
        <v>0</v>
      </c>
      <c r="BF191" s="35">
        <f t="shared" si="235"/>
        <v>0</v>
      </c>
      <c r="BH191" s="35">
        <f t="shared" si="236"/>
        <v>0</v>
      </c>
      <c r="BI191" s="35">
        <f t="shared" si="237"/>
        <v>0</v>
      </c>
      <c r="BJ191" s="35">
        <f t="shared" si="238"/>
        <v>0</v>
      </c>
      <c r="BK191" s="38" t="s">
        <v>69</v>
      </c>
      <c r="BL191" s="35">
        <v>734</v>
      </c>
      <c r="BW191" s="35">
        <f t="shared" si="239"/>
        <v>21</v>
      </c>
      <c r="BX191" s="4" t="s">
        <v>604</v>
      </c>
    </row>
    <row r="192" spans="1:76" x14ac:dyDescent="0.25">
      <c r="A192" s="2" t="s">
        <v>605</v>
      </c>
      <c r="B192" s="3" t="s">
        <v>215</v>
      </c>
      <c r="C192" s="3" t="s">
        <v>606</v>
      </c>
      <c r="D192" s="70" t="s">
        <v>607</v>
      </c>
      <c r="E192" s="71"/>
      <c r="F192" s="3" t="s">
        <v>85</v>
      </c>
      <c r="G192" s="35">
        <v>50</v>
      </c>
      <c r="H192" s="68">
        <v>0</v>
      </c>
      <c r="I192" s="36">
        <v>21</v>
      </c>
      <c r="J192" s="35">
        <f t="shared" si="214"/>
        <v>0</v>
      </c>
      <c r="K192" s="35">
        <f t="shared" si="215"/>
        <v>0</v>
      </c>
      <c r="L192" s="35">
        <f t="shared" si="216"/>
        <v>0</v>
      </c>
      <c r="M192" s="35">
        <f t="shared" si="217"/>
        <v>0</v>
      </c>
      <c r="N192" s="35">
        <v>2.4000000000000001E-4</v>
      </c>
      <c r="O192" s="35">
        <f t="shared" si="218"/>
        <v>1.2E-2</v>
      </c>
      <c r="P192" s="37" t="s">
        <v>64</v>
      </c>
      <c r="Z192" s="35">
        <f t="shared" si="219"/>
        <v>0</v>
      </c>
      <c r="AB192" s="35">
        <f t="shared" si="220"/>
        <v>0</v>
      </c>
      <c r="AC192" s="35">
        <f t="shared" si="221"/>
        <v>0</v>
      </c>
      <c r="AD192" s="35">
        <f t="shared" si="222"/>
        <v>0</v>
      </c>
      <c r="AE192" s="35">
        <f t="shared" si="223"/>
        <v>0</v>
      </c>
      <c r="AF192" s="35">
        <f t="shared" si="224"/>
        <v>0</v>
      </c>
      <c r="AG192" s="35">
        <f t="shared" si="225"/>
        <v>0</v>
      </c>
      <c r="AH192" s="35">
        <f t="shared" si="226"/>
        <v>0</v>
      </c>
      <c r="AI192" s="12" t="s">
        <v>215</v>
      </c>
      <c r="AJ192" s="35">
        <f t="shared" si="227"/>
        <v>0</v>
      </c>
      <c r="AK192" s="35">
        <f t="shared" si="228"/>
        <v>0</v>
      </c>
      <c r="AL192" s="35">
        <f t="shared" si="229"/>
        <v>0</v>
      </c>
      <c r="AN192" s="35">
        <v>21</v>
      </c>
      <c r="AO192" s="35">
        <f>H192*0.245268167</f>
        <v>0</v>
      </c>
      <c r="AP192" s="35">
        <f>H192*(1-0.245268167)</f>
        <v>0</v>
      </c>
      <c r="AQ192" s="38" t="s">
        <v>65</v>
      </c>
      <c r="AV192" s="35">
        <f t="shared" si="230"/>
        <v>0</v>
      </c>
      <c r="AW192" s="35">
        <f t="shared" si="231"/>
        <v>0</v>
      </c>
      <c r="AX192" s="35">
        <f t="shared" si="232"/>
        <v>0</v>
      </c>
      <c r="AY192" s="38" t="s">
        <v>162</v>
      </c>
      <c r="AZ192" s="38" t="s">
        <v>364</v>
      </c>
      <c r="BA192" s="12" t="s">
        <v>225</v>
      </c>
      <c r="BC192" s="35">
        <f t="shared" si="233"/>
        <v>0</v>
      </c>
      <c r="BD192" s="35">
        <f t="shared" si="234"/>
        <v>0</v>
      </c>
      <c r="BE192" s="35">
        <v>0</v>
      </c>
      <c r="BF192" s="35">
        <f t="shared" si="235"/>
        <v>1.2E-2</v>
      </c>
      <c r="BH192" s="35">
        <f t="shared" si="236"/>
        <v>0</v>
      </c>
      <c r="BI192" s="35">
        <f t="shared" si="237"/>
        <v>0</v>
      </c>
      <c r="BJ192" s="35">
        <f t="shared" si="238"/>
        <v>0</v>
      </c>
      <c r="BK192" s="38" t="s">
        <v>69</v>
      </c>
      <c r="BL192" s="35">
        <v>734</v>
      </c>
      <c r="BW192" s="35">
        <f t="shared" si="239"/>
        <v>21</v>
      </c>
      <c r="BX192" s="4" t="s">
        <v>607</v>
      </c>
    </row>
    <row r="193" spans="1:76" x14ac:dyDescent="0.25">
      <c r="A193" s="2" t="s">
        <v>608</v>
      </c>
      <c r="B193" s="3" t="s">
        <v>215</v>
      </c>
      <c r="C193" s="3" t="s">
        <v>609</v>
      </c>
      <c r="D193" s="70" t="s">
        <v>610</v>
      </c>
      <c r="E193" s="71"/>
      <c r="F193" s="3" t="s">
        <v>85</v>
      </c>
      <c r="G193" s="35">
        <v>12</v>
      </c>
      <c r="H193" s="68">
        <v>0</v>
      </c>
      <c r="I193" s="36">
        <v>21</v>
      </c>
      <c r="J193" s="35">
        <f t="shared" si="214"/>
        <v>0</v>
      </c>
      <c r="K193" s="35">
        <f t="shared" si="215"/>
        <v>0</v>
      </c>
      <c r="L193" s="35">
        <f t="shared" si="216"/>
        <v>0</v>
      </c>
      <c r="M193" s="35">
        <f t="shared" si="217"/>
        <v>0</v>
      </c>
      <c r="N193" s="35">
        <v>2.5999999999999998E-4</v>
      </c>
      <c r="O193" s="35">
        <f t="shared" si="218"/>
        <v>3.1199999999999995E-3</v>
      </c>
      <c r="P193" s="37" t="s">
        <v>64</v>
      </c>
      <c r="Z193" s="35">
        <f t="shared" si="219"/>
        <v>0</v>
      </c>
      <c r="AB193" s="35">
        <f t="shared" si="220"/>
        <v>0</v>
      </c>
      <c r="AC193" s="35">
        <f t="shared" si="221"/>
        <v>0</v>
      </c>
      <c r="AD193" s="35">
        <f t="shared" si="222"/>
        <v>0</v>
      </c>
      <c r="AE193" s="35">
        <f t="shared" si="223"/>
        <v>0</v>
      </c>
      <c r="AF193" s="35">
        <f t="shared" si="224"/>
        <v>0</v>
      </c>
      <c r="AG193" s="35">
        <f t="shared" si="225"/>
        <v>0</v>
      </c>
      <c r="AH193" s="35">
        <f t="shared" si="226"/>
        <v>0</v>
      </c>
      <c r="AI193" s="12" t="s">
        <v>215</v>
      </c>
      <c r="AJ193" s="35">
        <f t="shared" si="227"/>
        <v>0</v>
      </c>
      <c r="AK193" s="35">
        <f t="shared" si="228"/>
        <v>0</v>
      </c>
      <c r="AL193" s="35">
        <f t="shared" si="229"/>
        <v>0</v>
      </c>
      <c r="AN193" s="35">
        <v>21</v>
      </c>
      <c r="AO193" s="35">
        <f>H193*0.263918461</f>
        <v>0</v>
      </c>
      <c r="AP193" s="35">
        <f>H193*(1-0.263918461)</f>
        <v>0</v>
      </c>
      <c r="AQ193" s="38" t="s">
        <v>65</v>
      </c>
      <c r="AV193" s="35">
        <f t="shared" si="230"/>
        <v>0</v>
      </c>
      <c r="AW193" s="35">
        <f t="shared" si="231"/>
        <v>0</v>
      </c>
      <c r="AX193" s="35">
        <f t="shared" si="232"/>
        <v>0</v>
      </c>
      <c r="AY193" s="38" t="s">
        <v>162</v>
      </c>
      <c r="AZ193" s="38" t="s">
        <v>364</v>
      </c>
      <c r="BA193" s="12" t="s">
        <v>225</v>
      </c>
      <c r="BC193" s="35">
        <f t="shared" si="233"/>
        <v>0</v>
      </c>
      <c r="BD193" s="35">
        <f t="shared" si="234"/>
        <v>0</v>
      </c>
      <c r="BE193" s="35">
        <v>0</v>
      </c>
      <c r="BF193" s="35">
        <f t="shared" si="235"/>
        <v>3.1199999999999995E-3</v>
      </c>
      <c r="BH193" s="35">
        <f t="shared" si="236"/>
        <v>0</v>
      </c>
      <c r="BI193" s="35">
        <f t="shared" si="237"/>
        <v>0</v>
      </c>
      <c r="BJ193" s="35">
        <f t="shared" si="238"/>
        <v>0</v>
      </c>
      <c r="BK193" s="38" t="s">
        <v>69</v>
      </c>
      <c r="BL193" s="35">
        <v>734</v>
      </c>
      <c r="BW193" s="35">
        <f t="shared" si="239"/>
        <v>21</v>
      </c>
      <c r="BX193" s="4" t="s">
        <v>610</v>
      </c>
    </row>
    <row r="194" spans="1:76" x14ac:dyDescent="0.25">
      <c r="A194" s="2" t="s">
        <v>611</v>
      </c>
      <c r="B194" s="3" t="s">
        <v>215</v>
      </c>
      <c r="C194" s="3" t="s">
        <v>612</v>
      </c>
      <c r="D194" s="70" t="s">
        <v>613</v>
      </c>
      <c r="E194" s="71"/>
      <c r="F194" s="3" t="s">
        <v>85</v>
      </c>
      <c r="G194" s="35">
        <v>4</v>
      </c>
      <c r="H194" s="68">
        <v>0</v>
      </c>
      <c r="I194" s="36">
        <v>21</v>
      </c>
      <c r="J194" s="35">
        <f t="shared" si="214"/>
        <v>0</v>
      </c>
      <c r="K194" s="35">
        <f t="shared" si="215"/>
        <v>0</v>
      </c>
      <c r="L194" s="35">
        <f t="shared" si="216"/>
        <v>0</v>
      </c>
      <c r="M194" s="35">
        <f t="shared" si="217"/>
        <v>0</v>
      </c>
      <c r="N194" s="35">
        <v>3.6999999999999999E-4</v>
      </c>
      <c r="O194" s="35">
        <f t="shared" si="218"/>
        <v>1.48E-3</v>
      </c>
      <c r="P194" s="37" t="s">
        <v>64</v>
      </c>
      <c r="Z194" s="35">
        <f t="shared" si="219"/>
        <v>0</v>
      </c>
      <c r="AB194" s="35">
        <f t="shared" si="220"/>
        <v>0</v>
      </c>
      <c r="AC194" s="35">
        <f t="shared" si="221"/>
        <v>0</v>
      </c>
      <c r="AD194" s="35">
        <f t="shared" si="222"/>
        <v>0</v>
      </c>
      <c r="AE194" s="35">
        <f t="shared" si="223"/>
        <v>0</v>
      </c>
      <c r="AF194" s="35">
        <f t="shared" si="224"/>
        <v>0</v>
      </c>
      <c r="AG194" s="35">
        <f t="shared" si="225"/>
        <v>0</v>
      </c>
      <c r="AH194" s="35">
        <f t="shared" si="226"/>
        <v>0</v>
      </c>
      <c r="AI194" s="12" t="s">
        <v>215</v>
      </c>
      <c r="AJ194" s="35">
        <f t="shared" si="227"/>
        <v>0</v>
      </c>
      <c r="AK194" s="35">
        <f t="shared" si="228"/>
        <v>0</v>
      </c>
      <c r="AL194" s="35">
        <f t="shared" si="229"/>
        <v>0</v>
      </c>
      <c r="AN194" s="35">
        <v>21</v>
      </c>
      <c r="AO194" s="35">
        <f>H194*0.292289248</f>
        <v>0</v>
      </c>
      <c r="AP194" s="35">
        <f>H194*(1-0.292289248)</f>
        <v>0</v>
      </c>
      <c r="AQ194" s="38" t="s">
        <v>65</v>
      </c>
      <c r="AV194" s="35">
        <f t="shared" si="230"/>
        <v>0</v>
      </c>
      <c r="AW194" s="35">
        <f t="shared" si="231"/>
        <v>0</v>
      </c>
      <c r="AX194" s="35">
        <f t="shared" si="232"/>
        <v>0</v>
      </c>
      <c r="AY194" s="38" t="s">
        <v>162</v>
      </c>
      <c r="AZ194" s="38" t="s">
        <v>364</v>
      </c>
      <c r="BA194" s="12" t="s">
        <v>225</v>
      </c>
      <c r="BC194" s="35">
        <f t="shared" si="233"/>
        <v>0</v>
      </c>
      <c r="BD194" s="35">
        <f t="shared" si="234"/>
        <v>0</v>
      </c>
      <c r="BE194" s="35">
        <v>0</v>
      </c>
      <c r="BF194" s="35">
        <f t="shared" si="235"/>
        <v>1.48E-3</v>
      </c>
      <c r="BH194" s="35">
        <f t="shared" si="236"/>
        <v>0</v>
      </c>
      <c r="BI194" s="35">
        <f t="shared" si="237"/>
        <v>0</v>
      </c>
      <c r="BJ194" s="35">
        <f t="shared" si="238"/>
        <v>0</v>
      </c>
      <c r="BK194" s="38" t="s">
        <v>69</v>
      </c>
      <c r="BL194" s="35">
        <v>734</v>
      </c>
      <c r="BW194" s="35">
        <f t="shared" si="239"/>
        <v>21</v>
      </c>
      <c r="BX194" s="4" t="s">
        <v>613</v>
      </c>
    </row>
    <row r="195" spans="1:76" x14ac:dyDescent="0.25">
      <c r="A195" s="2" t="s">
        <v>614</v>
      </c>
      <c r="B195" s="3" t="s">
        <v>215</v>
      </c>
      <c r="C195" s="3" t="s">
        <v>615</v>
      </c>
      <c r="D195" s="70" t="s">
        <v>616</v>
      </c>
      <c r="E195" s="71"/>
      <c r="F195" s="3" t="s">
        <v>85</v>
      </c>
      <c r="G195" s="35">
        <v>14</v>
      </c>
      <c r="H195" s="68">
        <v>0</v>
      </c>
      <c r="I195" s="36">
        <v>21</v>
      </c>
      <c r="J195" s="35">
        <f t="shared" si="214"/>
        <v>0</v>
      </c>
      <c r="K195" s="35">
        <f t="shared" si="215"/>
        <v>0</v>
      </c>
      <c r="L195" s="35">
        <f t="shared" si="216"/>
        <v>0</v>
      </c>
      <c r="M195" s="35">
        <f t="shared" si="217"/>
        <v>0</v>
      </c>
      <c r="N195" s="35">
        <v>4.2000000000000002E-4</v>
      </c>
      <c r="O195" s="35">
        <f t="shared" si="218"/>
        <v>5.8799999999999998E-3</v>
      </c>
      <c r="P195" s="37" t="s">
        <v>64</v>
      </c>
      <c r="Z195" s="35">
        <f t="shared" si="219"/>
        <v>0</v>
      </c>
      <c r="AB195" s="35">
        <f t="shared" si="220"/>
        <v>0</v>
      </c>
      <c r="AC195" s="35">
        <f t="shared" si="221"/>
        <v>0</v>
      </c>
      <c r="AD195" s="35">
        <f t="shared" si="222"/>
        <v>0</v>
      </c>
      <c r="AE195" s="35">
        <f t="shared" si="223"/>
        <v>0</v>
      </c>
      <c r="AF195" s="35">
        <f t="shared" si="224"/>
        <v>0</v>
      </c>
      <c r="AG195" s="35">
        <f t="shared" si="225"/>
        <v>0</v>
      </c>
      <c r="AH195" s="35">
        <f t="shared" si="226"/>
        <v>0</v>
      </c>
      <c r="AI195" s="12" t="s">
        <v>215</v>
      </c>
      <c r="AJ195" s="35">
        <f t="shared" si="227"/>
        <v>0</v>
      </c>
      <c r="AK195" s="35">
        <f t="shared" si="228"/>
        <v>0</v>
      </c>
      <c r="AL195" s="35">
        <f t="shared" si="229"/>
        <v>0</v>
      </c>
      <c r="AN195" s="35">
        <v>21</v>
      </c>
      <c r="AO195" s="35">
        <f>H195*0.307053021</f>
        <v>0</v>
      </c>
      <c r="AP195" s="35">
        <f>H195*(1-0.307053021)</f>
        <v>0</v>
      </c>
      <c r="AQ195" s="38" t="s">
        <v>65</v>
      </c>
      <c r="AV195" s="35">
        <f t="shared" si="230"/>
        <v>0</v>
      </c>
      <c r="AW195" s="35">
        <f t="shared" si="231"/>
        <v>0</v>
      </c>
      <c r="AX195" s="35">
        <f t="shared" si="232"/>
        <v>0</v>
      </c>
      <c r="AY195" s="38" t="s">
        <v>162</v>
      </c>
      <c r="AZ195" s="38" t="s">
        <v>364</v>
      </c>
      <c r="BA195" s="12" t="s">
        <v>225</v>
      </c>
      <c r="BC195" s="35">
        <f t="shared" si="233"/>
        <v>0</v>
      </c>
      <c r="BD195" s="35">
        <f t="shared" si="234"/>
        <v>0</v>
      </c>
      <c r="BE195" s="35">
        <v>0</v>
      </c>
      <c r="BF195" s="35">
        <f t="shared" si="235"/>
        <v>5.8799999999999998E-3</v>
      </c>
      <c r="BH195" s="35">
        <f t="shared" si="236"/>
        <v>0</v>
      </c>
      <c r="BI195" s="35">
        <f t="shared" si="237"/>
        <v>0</v>
      </c>
      <c r="BJ195" s="35">
        <f t="shared" si="238"/>
        <v>0</v>
      </c>
      <c r="BK195" s="38" t="s">
        <v>69</v>
      </c>
      <c r="BL195" s="35">
        <v>734</v>
      </c>
      <c r="BW195" s="35">
        <f t="shared" si="239"/>
        <v>21</v>
      </c>
      <c r="BX195" s="4" t="s">
        <v>616</v>
      </c>
    </row>
    <row r="196" spans="1:76" x14ac:dyDescent="0.25">
      <c r="A196" s="2" t="s">
        <v>617</v>
      </c>
      <c r="B196" s="3" t="s">
        <v>215</v>
      </c>
      <c r="C196" s="3" t="s">
        <v>618</v>
      </c>
      <c r="D196" s="70" t="s">
        <v>619</v>
      </c>
      <c r="E196" s="71"/>
      <c r="F196" s="3" t="s">
        <v>85</v>
      </c>
      <c r="G196" s="35">
        <v>88</v>
      </c>
      <c r="H196" s="68">
        <v>0</v>
      </c>
      <c r="I196" s="36">
        <v>21</v>
      </c>
      <c r="J196" s="35">
        <f t="shared" si="214"/>
        <v>0</v>
      </c>
      <c r="K196" s="35">
        <f t="shared" si="215"/>
        <v>0</v>
      </c>
      <c r="L196" s="35">
        <f t="shared" si="216"/>
        <v>0</v>
      </c>
      <c r="M196" s="35">
        <f t="shared" si="217"/>
        <v>0</v>
      </c>
      <c r="N196" s="35">
        <v>5.1000000000000004E-4</v>
      </c>
      <c r="O196" s="35">
        <f t="shared" si="218"/>
        <v>4.4880000000000003E-2</v>
      </c>
      <c r="P196" s="37" t="s">
        <v>64</v>
      </c>
      <c r="Z196" s="35">
        <f t="shared" si="219"/>
        <v>0</v>
      </c>
      <c r="AB196" s="35">
        <f t="shared" si="220"/>
        <v>0</v>
      </c>
      <c r="AC196" s="35">
        <f t="shared" si="221"/>
        <v>0</v>
      </c>
      <c r="AD196" s="35">
        <f t="shared" si="222"/>
        <v>0</v>
      </c>
      <c r="AE196" s="35">
        <f t="shared" si="223"/>
        <v>0</v>
      </c>
      <c r="AF196" s="35">
        <f t="shared" si="224"/>
        <v>0</v>
      </c>
      <c r="AG196" s="35">
        <f t="shared" si="225"/>
        <v>0</v>
      </c>
      <c r="AH196" s="35">
        <f t="shared" si="226"/>
        <v>0</v>
      </c>
      <c r="AI196" s="12" t="s">
        <v>215</v>
      </c>
      <c r="AJ196" s="35">
        <f t="shared" si="227"/>
        <v>0</v>
      </c>
      <c r="AK196" s="35">
        <f t="shared" si="228"/>
        <v>0</v>
      </c>
      <c r="AL196" s="35">
        <f t="shared" si="229"/>
        <v>0</v>
      </c>
      <c r="AN196" s="35">
        <v>21</v>
      </c>
      <c r="AO196" s="35">
        <f>H196*0.313933054</f>
        <v>0</v>
      </c>
      <c r="AP196" s="35">
        <f>H196*(1-0.313933054)</f>
        <v>0</v>
      </c>
      <c r="AQ196" s="38" t="s">
        <v>65</v>
      </c>
      <c r="AV196" s="35">
        <f t="shared" si="230"/>
        <v>0</v>
      </c>
      <c r="AW196" s="35">
        <f t="shared" si="231"/>
        <v>0</v>
      </c>
      <c r="AX196" s="35">
        <f t="shared" si="232"/>
        <v>0</v>
      </c>
      <c r="AY196" s="38" t="s">
        <v>162</v>
      </c>
      <c r="AZ196" s="38" t="s">
        <v>364</v>
      </c>
      <c r="BA196" s="12" t="s">
        <v>225</v>
      </c>
      <c r="BC196" s="35">
        <f t="shared" si="233"/>
        <v>0</v>
      </c>
      <c r="BD196" s="35">
        <f t="shared" si="234"/>
        <v>0</v>
      </c>
      <c r="BE196" s="35">
        <v>0</v>
      </c>
      <c r="BF196" s="35">
        <f t="shared" si="235"/>
        <v>4.4880000000000003E-2</v>
      </c>
      <c r="BH196" s="35">
        <f t="shared" si="236"/>
        <v>0</v>
      </c>
      <c r="BI196" s="35">
        <f t="shared" si="237"/>
        <v>0</v>
      </c>
      <c r="BJ196" s="35">
        <f t="shared" si="238"/>
        <v>0</v>
      </c>
      <c r="BK196" s="38" t="s">
        <v>69</v>
      </c>
      <c r="BL196" s="35">
        <v>734</v>
      </c>
      <c r="BW196" s="35">
        <f t="shared" si="239"/>
        <v>21</v>
      </c>
      <c r="BX196" s="4" t="s">
        <v>619</v>
      </c>
    </row>
    <row r="197" spans="1:76" x14ac:dyDescent="0.25">
      <c r="A197" s="2" t="s">
        <v>620</v>
      </c>
      <c r="B197" s="3" t="s">
        <v>215</v>
      </c>
      <c r="C197" s="3" t="s">
        <v>621</v>
      </c>
      <c r="D197" s="70" t="s">
        <v>622</v>
      </c>
      <c r="E197" s="71"/>
      <c r="F197" s="3" t="s">
        <v>85</v>
      </c>
      <c r="G197" s="35">
        <v>62</v>
      </c>
      <c r="H197" s="68">
        <v>0</v>
      </c>
      <c r="I197" s="36">
        <v>21</v>
      </c>
      <c r="J197" s="35">
        <f t="shared" si="214"/>
        <v>0</v>
      </c>
      <c r="K197" s="35">
        <f t="shared" si="215"/>
        <v>0</v>
      </c>
      <c r="L197" s="35">
        <f t="shared" si="216"/>
        <v>0</v>
      </c>
      <c r="M197" s="35">
        <f t="shared" si="217"/>
        <v>0</v>
      </c>
      <c r="N197" s="35">
        <v>7.9000000000000001E-4</v>
      </c>
      <c r="O197" s="35">
        <f t="shared" si="218"/>
        <v>4.8980000000000003E-2</v>
      </c>
      <c r="P197" s="37" t="s">
        <v>64</v>
      </c>
      <c r="Z197" s="35">
        <f t="shared" si="219"/>
        <v>0</v>
      </c>
      <c r="AB197" s="35">
        <f t="shared" si="220"/>
        <v>0</v>
      </c>
      <c r="AC197" s="35">
        <f t="shared" si="221"/>
        <v>0</v>
      </c>
      <c r="AD197" s="35">
        <f t="shared" si="222"/>
        <v>0</v>
      </c>
      <c r="AE197" s="35">
        <f t="shared" si="223"/>
        <v>0</v>
      </c>
      <c r="AF197" s="35">
        <f t="shared" si="224"/>
        <v>0</v>
      </c>
      <c r="AG197" s="35">
        <f t="shared" si="225"/>
        <v>0</v>
      </c>
      <c r="AH197" s="35">
        <f t="shared" si="226"/>
        <v>0</v>
      </c>
      <c r="AI197" s="12" t="s">
        <v>215</v>
      </c>
      <c r="AJ197" s="35">
        <f t="shared" si="227"/>
        <v>0</v>
      </c>
      <c r="AK197" s="35">
        <f t="shared" si="228"/>
        <v>0</v>
      </c>
      <c r="AL197" s="35">
        <f t="shared" si="229"/>
        <v>0</v>
      </c>
      <c r="AN197" s="35">
        <v>21</v>
      </c>
      <c r="AO197" s="35">
        <f>H197*0.340613599</f>
        <v>0</v>
      </c>
      <c r="AP197" s="35">
        <f>H197*(1-0.340613599)</f>
        <v>0</v>
      </c>
      <c r="AQ197" s="38" t="s">
        <v>65</v>
      </c>
      <c r="AV197" s="35">
        <f t="shared" si="230"/>
        <v>0</v>
      </c>
      <c r="AW197" s="35">
        <f t="shared" si="231"/>
        <v>0</v>
      </c>
      <c r="AX197" s="35">
        <f t="shared" si="232"/>
        <v>0</v>
      </c>
      <c r="AY197" s="38" t="s">
        <v>162</v>
      </c>
      <c r="AZ197" s="38" t="s">
        <v>364</v>
      </c>
      <c r="BA197" s="12" t="s">
        <v>225</v>
      </c>
      <c r="BC197" s="35">
        <f t="shared" si="233"/>
        <v>0</v>
      </c>
      <c r="BD197" s="35">
        <f t="shared" si="234"/>
        <v>0</v>
      </c>
      <c r="BE197" s="35">
        <v>0</v>
      </c>
      <c r="BF197" s="35">
        <f t="shared" si="235"/>
        <v>4.8980000000000003E-2</v>
      </c>
      <c r="BH197" s="35">
        <f t="shared" si="236"/>
        <v>0</v>
      </c>
      <c r="BI197" s="35">
        <f t="shared" si="237"/>
        <v>0</v>
      </c>
      <c r="BJ197" s="35">
        <f t="shared" si="238"/>
        <v>0</v>
      </c>
      <c r="BK197" s="38" t="s">
        <v>69</v>
      </c>
      <c r="BL197" s="35">
        <v>734</v>
      </c>
      <c r="BW197" s="35">
        <f t="shared" si="239"/>
        <v>21</v>
      </c>
      <c r="BX197" s="4" t="s">
        <v>622</v>
      </c>
    </row>
    <row r="198" spans="1:76" x14ac:dyDescent="0.25">
      <c r="A198" s="2" t="s">
        <v>623</v>
      </c>
      <c r="B198" s="3" t="s">
        <v>215</v>
      </c>
      <c r="C198" s="3" t="s">
        <v>624</v>
      </c>
      <c r="D198" s="70" t="s">
        <v>625</v>
      </c>
      <c r="E198" s="71"/>
      <c r="F198" s="3" t="s">
        <v>85</v>
      </c>
      <c r="G198" s="35">
        <v>6</v>
      </c>
      <c r="H198" s="68">
        <v>0</v>
      </c>
      <c r="I198" s="36">
        <v>21</v>
      </c>
      <c r="J198" s="35">
        <f t="shared" si="214"/>
        <v>0</v>
      </c>
      <c r="K198" s="35">
        <f t="shared" si="215"/>
        <v>0</v>
      </c>
      <c r="L198" s="35">
        <f t="shared" si="216"/>
        <v>0</v>
      </c>
      <c r="M198" s="35">
        <f t="shared" si="217"/>
        <v>0</v>
      </c>
      <c r="N198" s="35">
        <v>4.13E-3</v>
      </c>
      <c r="O198" s="35">
        <f t="shared" si="218"/>
        <v>2.478E-2</v>
      </c>
      <c r="P198" s="37" t="s">
        <v>64</v>
      </c>
      <c r="Z198" s="35">
        <f t="shared" si="219"/>
        <v>0</v>
      </c>
      <c r="AB198" s="35">
        <f t="shared" si="220"/>
        <v>0</v>
      </c>
      <c r="AC198" s="35">
        <f t="shared" si="221"/>
        <v>0</v>
      </c>
      <c r="AD198" s="35">
        <f t="shared" si="222"/>
        <v>0</v>
      </c>
      <c r="AE198" s="35">
        <f t="shared" si="223"/>
        <v>0</v>
      </c>
      <c r="AF198" s="35">
        <f t="shared" si="224"/>
        <v>0</v>
      </c>
      <c r="AG198" s="35">
        <f t="shared" si="225"/>
        <v>0</v>
      </c>
      <c r="AH198" s="35">
        <f t="shared" si="226"/>
        <v>0</v>
      </c>
      <c r="AI198" s="12" t="s">
        <v>215</v>
      </c>
      <c r="AJ198" s="35">
        <f t="shared" si="227"/>
        <v>0</v>
      </c>
      <c r="AK198" s="35">
        <f t="shared" si="228"/>
        <v>0</v>
      </c>
      <c r="AL198" s="35">
        <f t="shared" si="229"/>
        <v>0</v>
      </c>
      <c r="AN198" s="35">
        <v>21</v>
      </c>
      <c r="AO198" s="35">
        <f>H198*0.947294931</f>
        <v>0</v>
      </c>
      <c r="AP198" s="35">
        <f>H198*(1-0.947294931)</f>
        <v>0</v>
      </c>
      <c r="AQ198" s="38" t="s">
        <v>65</v>
      </c>
      <c r="AV198" s="35">
        <f t="shared" si="230"/>
        <v>0</v>
      </c>
      <c r="AW198" s="35">
        <f t="shared" si="231"/>
        <v>0</v>
      </c>
      <c r="AX198" s="35">
        <f t="shared" si="232"/>
        <v>0</v>
      </c>
      <c r="AY198" s="38" t="s">
        <v>162</v>
      </c>
      <c r="AZ198" s="38" t="s">
        <v>364</v>
      </c>
      <c r="BA198" s="12" t="s">
        <v>225</v>
      </c>
      <c r="BC198" s="35">
        <f t="shared" si="233"/>
        <v>0</v>
      </c>
      <c r="BD198" s="35">
        <f t="shared" si="234"/>
        <v>0</v>
      </c>
      <c r="BE198" s="35">
        <v>0</v>
      </c>
      <c r="BF198" s="35">
        <f t="shared" si="235"/>
        <v>2.478E-2</v>
      </c>
      <c r="BH198" s="35">
        <f t="shared" si="236"/>
        <v>0</v>
      </c>
      <c r="BI198" s="35">
        <f t="shared" si="237"/>
        <v>0</v>
      </c>
      <c r="BJ198" s="35">
        <f t="shared" si="238"/>
        <v>0</v>
      </c>
      <c r="BK198" s="38" t="s">
        <v>69</v>
      </c>
      <c r="BL198" s="35">
        <v>734</v>
      </c>
      <c r="BW198" s="35">
        <f t="shared" si="239"/>
        <v>21</v>
      </c>
      <c r="BX198" s="4" t="s">
        <v>625</v>
      </c>
    </row>
    <row r="199" spans="1:76" x14ac:dyDescent="0.25">
      <c r="A199" s="2" t="s">
        <v>626</v>
      </c>
      <c r="B199" s="3" t="s">
        <v>215</v>
      </c>
      <c r="C199" s="3" t="s">
        <v>627</v>
      </c>
      <c r="D199" s="70" t="s">
        <v>628</v>
      </c>
      <c r="E199" s="71"/>
      <c r="F199" s="3" t="s">
        <v>85</v>
      </c>
      <c r="G199" s="35">
        <v>6</v>
      </c>
      <c r="H199" s="68">
        <v>0</v>
      </c>
      <c r="I199" s="36">
        <v>21</v>
      </c>
      <c r="J199" s="35">
        <f t="shared" si="214"/>
        <v>0</v>
      </c>
      <c r="K199" s="35">
        <f t="shared" si="215"/>
        <v>0</v>
      </c>
      <c r="L199" s="35">
        <f t="shared" si="216"/>
        <v>0</v>
      </c>
      <c r="M199" s="35">
        <f t="shared" si="217"/>
        <v>0</v>
      </c>
      <c r="N199" s="35">
        <v>7.0800000000000004E-3</v>
      </c>
      <c r="O199" s="35">
        <f t="shared" si="218"/>
        <v>4.2480000000000004E-2</v>
      </c>
      <c r="P199" s="37" t="s">
        <v>64</v>
      </c>
      <c r="Z199" s="35">
        <f t="shared" si="219"/>
        <v>0</v>
      </c>
      <c r="AB199" s="35">
        <f t="shared" si="220"/>
        <v>0</v>
      </c>
      <c r="AC199" s="35">
        <f t="shared" si="221"/>
        <v>0</v>
      </c>
      <c r="AD199" s="35">
        <f t="shared" si="222"/>
        <v>0</v>
      </c>
      <c r="AE199" s="35">
        <f t="shared" si="223"/>
        <v>0</v>
      </c>
      <c r="AF199" s="35">
        <f t="shared" si="224"/>
        <v>0</v>
      </c>
      <c r="AG199" s="35">
        <f t="shared" si="225"/>
        <v>0</v>
      </c>
      <c r="AH199" s="35">
        <f t="shared" si="226"/>
        <v>0</v>
      </c>
      <c r="AI199" s="12" t="s">
        <v>215</v>
      </c>
      <c r="AJ199" s="35">
        <f t="shared" si="227"/>
        <v>0</v>
      </c>
      <c r="AK199" s="35">
        <f t="shared" si="228"/>
        <v>0</v>
      </c>
      <c r="AL199" s="35">
        <f t="shared" si="229"/>
        <v>0</v>
      </c>
      <c r="AN199" s="35">
        <v>21</v>
      </c>
      <c r="AO199" s="35">
        <f>H199*0.941254086</f>
        <v>0</v>
      </c>
      <c r="AP199" s="35">
        <f>H199*(1-0.941254086)</f>
        <v>0</v>
      </c>
      <c r="AQ199" s="38" t="s">
        <v>65</v>
      </c>
      <c r="AV199" s="35">
        <f t="shared" si="230"/>
        <v>0</v>
      </c>
      <c r="AW199" s="35">
        <f t="shared" si="231"/>
        <v>0</v>
      </c>
      <c r="AX199" s="35">
        <f t="shared" si="232"/>
        <v>0</v>
      </c>
      <c r="AY199" s="38" t="s">
        <v>162</v>
      </c>
      <c r="AZ199" s="38" t="s">
        <v>364</v>
      </c>
      <c r="BA199" s="12" t="s">
        <v>225</v>
      </c>
      <c r="BC199" s="35">
        <f t="shared" si="233"/>
        <v>0</v>
      </c>
      <c r="BD199" s="35">
        <f t="shared" si="234"/>
        <v>0</v>
      </c>
      <c r="BE199" s="35">
        <v>0</v>
      </c>
      <c r="BF199" s="35">
        <f t="shared" si="235"/>
        <v>4.2480000000000004E-2</v>
      </c>
      <c r="BH199" s="35">
        <f t="shared" si="236"/>
        <v>0</v>
      </c>
      <c r="BI199" s="35">
        <f t="shared" si="237"/>
        <v>0</v>
      </c>
      <c r="BJ199" s="35">
        <f t="shared" si="238"/>
        <v>0</v>
      </c>
      <c r="BK199" s="38" t="s">
        <v>69</v>
      </c>
      <c r="BL199" s="35">
        <v>734</v>
      </c>
      <c r="BW199" s="35">
        <f t="shared" si="239"/>
        <v>21</v>
      </c>
      <c r="BX199" s="4" t="s">
        <v>628</v>
      </c>
    </row>
    <row r="200" spans="1:76" x14ac:dyDescent="0.25">
      <c r="A200" s="2" t="s">
        <v>629</v>
      </c>
      <c r="B200" s="3" t="s">
        <v>215</v>
      </c>
      <c r="C200" s="3" t="s">
        <v>630</v>
      </c>
      <c r="D200" s="70" t="s">
        <v>631</v>
      </c>
      <c r="E200" s="71"/>
      <c r="F200" s="3" t="s">
        <v>85</v>
      </c>
      <c r="G200" s="35">
        <v>2</v>
      </c>
      <c r="H200" s="68">
        <v>0</v>
      </c>
      <c r="I200" s="36">
        <v>21</v>
      </c>
      <c r="J200" s="35">
        <f t="shared" si="214"/>
        <v>0</v>
      </c>
      <c r="K200" s="35">
        <f t="shared" si="215"/>
        <v>0</v>
      </c>
      <c r="L200" s="35">
        <f t="shared" si="216"/>
        <v>0</v>
      </c>
      <c r="M200" s="35">
        <f t="shared" si="217"/>
        <v>0</v>
      </c>
      <c r="N200" s="35">
        <v>4.2300000000000003E-3</v>
      </c>
      <c r="O200" s="35">
        <f t="shared" si="218"/>
        <v>8.4600000000000005E-3</v>
      </c>
      <c r="P200" s="37" t="s">
        <v>64</v>
      </c>
      <c r="Z200" s="35">
        <f t="shared" si="219"/>
        <v>0</v>
      </c>
      <c r="AB200" s="35">
        <f t="shared" si="220"/>
        <v>0</v>
      </c>
      <c r="AC200" s="35">
        <f t="shared" si="221"/>
        <v>0</v>
      </c>
      <c r="AD200" s="35">
        <f t="shared" si="222"/>
        <v>0</v>
      </c>
      <c r="AE200" s="35">
        <f t="shared" si="223"/>
        <v>0</v>
      </c>
      <c r="AF200" s="35">
        <f t="shared" si="224"/>
        <v>0</v>
      </c>
      <c r="AG200" s="35">
        <f t="shared" si="225"/>
        <v>0</v>
      </c>
      <c r="AH200" s="35">
        <f t="shared" si="226"/>
        <v>0</v>
      </c>
      <c r="AI200" s="12" t="s">
        <v>215</v>
      </c>
      <c r="AJ200" s="35">
        <f t="shared" si="227"/>
        <v>0</v>
      </c>
      <c r="AK200" s="35">
        <f t="shared" si="228"/>
        <v>0</v>
      </c>
      <c r="AL200" s="35">
        <f t="shared" si="229"/>
        <v>0</v>
      </c>
      <c r="AN200" s="35">
        <v>21</v>
      </c>
      <c r="AO200" s="35">
        <f>H200*0.95787477</f>
        <v>0</v>
      </c>
      <c r="AP200" s="35">
        <f>H200*(1-0.95787477)</f>
        <v>0</v>
      </c>
      <c r="AQ200" s="38" t="s">
        <v>65</v>
      </c>
      <c r="AV200" s="35">
        <f t="shared" si="230"/>
        <v>0</v>
      </c>
      <c r="AW200" s="35">
        <f t="shared" si="231"/>
        <v>0</v>
      </c>
      <c r="AX200" s="35">
        <f t="shared" si="232"/>
        <v>0</v>
      </c>
      <c r="AY200" s="38" t="s">
        <v>162</v>
      </c>
      <c r="AZ200" s="38" t="s">
        <v>364</v>
      </c>
      <c r="BA200" s="12" t="s">
        <v>225</v>
      </c>
      <c r="BC200" s="35">
        <f t="shared" si="233"/>
        <v>0</v>
      </c>
      <c r="BD200" s="35">
        <f t="shared" si="234"/>
        <v>0</v>
      </c>
      <c r="BE200" s="35">
        <v>0</v>
      </c>
      <c r="BF200" s="35">
        <f t="shared" si="235"/>
        <v>8.4600000000000005E-3</v>
      </c>
      <c r="BH200" s="35">
        <f t="shared" si="236"/>
        <v>0</v>
      </c>
      <c r="BI200" s="35">
        <f t="shared" si="237"/>
        <v>0</v>
      </c>
      <c r="BJ200" s="35">
        <f t="shared" si="238"/>
        <v>0</v>
      </c>
      <c r="BK200" s="38" t="s">
        <v>69</v>
      </c>
      <c r="BL200" s="35">
        <v>734</v>
      </c>
      <c r="BW200" s="35">
        <f t="shared" si="239"/>
        <v>21</v>
      </c>
      <c r="BX200" s="4" t="s">
        <v>631</v>
      </c>
    </row>
    <row r="201" spans="1:76" x14ac:dyDescent="0.25">
      <c r="A201" s="2" t="s">
        <v>632</v>
      </c>
      <c r="B201" s="3" t="s">
        <v>215</v>
      </c>
      <c r="C201" s="3" t="s">
        <v>633</v>
      </c>
      <c r="D201" s="70" t="s">
        <v>634</v>
      </c>
      <c r="E201" s="71"/>
      <c r="F201" s="3" t="s">
        <v>130</v>
      </c>
      <c r="G201" s="35">
        <v>10</v>
      </c>
      <c r="H201" s="68">
        <v>0</v>
      </c>
      <c r="I201" s="36">
        <v>21</v>
      </c>
      <c r="J201" s="35">
        <f t="shared" si="214"/>
        <v>0</v>
      </c>
      <c r="K201" s="35">
        <f t="shared" si="215"/>
        <v>0</v>
      </c>
      <c r="L201" s="35">
        <f t="shared" si="216"/>
        <v>0</v>
      </c>
      <c r="M201" s="35">
        <f t="shared" si="217"/>
        <v>0</v>
      </c>
      <c r="N201" s="35">
        <v>6.8300000000000001E-3</v>
      </c>
      <c r="O201" s="35">
        <f t="shared" si="218"/>
        <v>6.83E-2</v>
      </c>
      <c r="P201" s="37" t="s">
        <v>64</v>
      </c>
      <c r="Z201" s="35">
        <f t="shared" si="219"/>
        <v>0</v>
      </c>
      <c r="AB201" s="35">
        <f t="shared" si="220"/>
        <v>0</v>
      </c>
      <c r="AC201" s="35">
        <f t="shared" si="221"/>
        <v>0</v>
      </c>
      <c r="AD201" s="35">
        <f t="shared" si="222"/>
        <v>0</v>
      </c>
      <c r="AE201" s="35">
        <f t="shared" si="223"/>
        <v>0</v>
      </c>
      <c r="AF201" s="35">
        <f t="shared" si="224"/>
        <v>0</v>
      </c>
      <c r="AG201" s="35">
        <f t="shared" si="225"/>
        <v>0</v>
      </c>
      <c r="AH201" s="35">
        <f t="shared" si="226"/>
        <v>0</v>
      </c>
      <c r="AI201" s="12" t="s">
        <v>215</v>
      </c>
      <c r="AJ201" s="35">
        <f t="shared" si="227"/>
        <v>0</v>
      </c>
      <c r="AK201" s="35">
        <f t="shared" si="228"/>
        <v>0</v>
      </c>
      <c r="AL201" s="35">
        <f t="shared" si="229"/>
        <v>0</v>
      </c>
      <c r="AN201" s="35">
        <v>21</v>
      </c>
      <c r="AO201" s="35">
        <f>H201*0.568662252</f>
        <v>0</v>
      </c>
      <c r="AP201" s="35">
        <f>H201*(1-0.568662252)</f>
        <v>0</v>
      </c>
      <c r="AQ201" s="38" t="s">
        <v>65</v>
      </c>
      <c r="AV201" s="35">
        <f t="shared" si="230"/>
        <v>0</v>
      </c>
      <c r="AW201" s="35">
        <f t="shared" si="231"/>
        <v>0</v>
      </c>
      <c r="AX201" s="35">
        <f t="shared" si="232"/>
        <v>0</v>
      </c>
      <c r="AY201" s="38" t="s">
        <v>162</v>
      </c>
      <c r="AZ201" s="38" t="s">
        <v>364</v>
      </c>
      <c r="BA201" s="12" t="s">
        <v>225</v>
      </c>
      <c r="BC201" s="35">
        <f t="shared" si="233"/>
        <v>0</v>
      </c>
      <c r="BD201" s="35">
        <f t="shared" si="234"/>
        <v>0</v>
      </c>
      <c r="BE201" s="35">
        <v>0</v>
      </c>
      <c r="BF201" s="35">
        <f t="shared" si="235"/>
        <v>6.83E-2</v>
      </c>
      <c r="BH201" s="35">
        <f t="shared" si="236"/>
        <v>0</v>
      </c>
      <c r="BI201" s="35">
        <f t="shared" si="237"/>
        <v>0</v>
      </c>
      <c r="BJ201" s="35">
        <f t="shared" si="238"/>
        <v>0</v>
      </c>
      <c r="BK201" s="38" t="s">
        <v>69</v>
      </c>
      <c r="BL201" s="35">
        <v>734</v>
      </c>
      <c r="BW201" s="35">
        <f t="shared" si="239"/>
        <v>21</v>
      </c>
      <c r="BX201" s="4" t="s">
        <v>634</v>
      </c>
    </row>
    <row r="202" spans="1:76" x14ac:dyDescent="0.25">
      <c r="A202" s="2" t="s">
        <v>635</v>
      </c>
      <c r="B202" s="3" t="s">
        <v>215</v>
      </c>
      <c r="C202" s="3" t="s">
        <v>636</v>
      </c>
      <c r="D202" s="70" t="s">
        <v>637</v>
      </c>
      <c r="E202" s="71"/>
      <c r="F202" s="3" t="s">
        <v>130</v>
      </c>
      <c r="G202" s="35">
        <v>7</v>
      </c>
      <c r="H202" s="68">
        <v>0</v>
      </c>
      <c r="I202" s="36">
        <v>21</v>
      </c>
      <c r="J202" s="35">
        <f t="shared" si="214"/>
        <v>0</v>
      </c>
      <c r="K202" s="35">
        <f t="shared" si="215"/>
        <v>0</v>
      </c>
      <c r="L202" s="35">
        <f t="shared" si="216"/>
        <v>0</v>
      </c>
      <c r="M202" s="35">
        <f t="shared" si="217"/>
        <v>0</v>
      </c>
      <c r="N202" s="35">
        <v>1.0529999999999999E-2</v>
      </c>
      <c r="O202" s="35">
        <f t="shared" si="218"/>
        <v>7.3709999999999998E-2</v>
      </c>
      <c r="P202" s="37" t="s">
        <v>64</v>
      </c>
      <c r="Z202" s="35">
        <f t="shared" si="219"/>
        <v>0</v>
      </c>
      <c r="AB202" s="35">
        <f t="shared" si="220"/>
        <v>0</v>
      </c>
      <c r="AC202" s="35">
        <f t="shared" si="221"/>
        <v>0</v>
      </c>
      <c r="AD202" s="35">
        <f t="shared" si="222"/>
        <v>0</v>
      </c>
      <c r="AE202" s="35">
        <f t="shared" si="223"/>
        <v>0</v>
      </c>
      <c r="AF202" s="35">
        <f t="shared" si="224"/>
        <v>0</v>
      </c>
      <c r="AG202" s="35">
        <f t="shared" si="225"/>
        <v>0</v>
      </c>
      <c r="AH202" s="35">
        <f t="shared" si="226"/>
        <v>0</v>
      </c>
      <c r="AI202" s="12" t="s">
        <v>215</v>
      </c>
      <c r="AJ202" s="35">
        <f t="shared" si="227"/>
        <v>0</v>
      </c>
      <c r="AK202" s="35">
        <f t="shared" si="228"/>
        <v>0</v>
      </c>
      <c r="AL202" s="35">
        <f t="shared" si="229"/>
        <v>0</v>
      </c>
      <c r="AN202" s="35">
        <v>21</v>
      </c>
      <c r="AO202" s="35">
        <f>H202*0.470391489</f>
        <v>0</v>
      </c>
      <c r="AP202" s="35">
        <f>H202*(1-0.470391489)</f>
        <v>0</v>
      </c>
      <c r="AQ202" s="38" t="s">
        <v>65</v>
      </c>
      <c r="AV202" s="35">
        <f t="shared" si="230"/>
        <v>0</v>
      </c>
      <c r="AW202" s="35">
        <f t="shared" si="231"/>
        <v>0</v>
      </c>
      <c r="AX202" s="35">
        <f t="shared" si="232"/>
        <v>0</v>
      </c>
      <c r="AY202" s="38" t="s">
        <v>162</v>
      </c>
      <c r="AZ202" s="38" t="s">
        <v>364</v>
      </c>
      <c r="BA202" s="12" t="s">
        <v>225</v>
      </c>
      <c r="BC202" s="35">
        <f t="shared" si="233"/>
        <v>0</v>
      </c>
      <c r="BD202" s="35">
        <f t="shared" si="234"/>
        <v>0</v>
      </c>
      <c r="BE202" s="35">
        <v>0</v>
      </c>
      <c r="BF202" s="35">
        <f t="shared" si="235"/>
        <v>7.3709999999999998E-2</v>
      </c>
      <c r="BH202" s="35">
        <f t="shared" si="236"/>
        <v>0</v>
      </c>
      <c r="BI202" s="35">
        <f t="shared" si="237"/>
        <v>0</v>
      </c>
      <c r="BJ202" s="35">
        <f t="shared" si="238"/>
        <v>0</v>
      </c>
      <c r="BK202" s="38" t="s">
        <v>69</v>
      </c>
      <c r="BL202" s="35">
        <v>734</v>
      </c>
      <c r="BW202" s="35">
        <f t="shared" si="239"/>
        <v>21</v>
      </c>
      <c r="BX202" s="4" t="s">
        <v>637</v>
      </c>
    </row>
    <row r="203" spans="1:76" x14ac:dyDescent="0.25">
      <c r="A203" s="2" t="s">
        <v>638</v>
      </c>
      <c r="B203" s="3" t="s">
        <v>215</v>
      </c>
      <c r="C203" s="3" t="s">
        <v>639</v>
      </c>
      <c r="D203" s="70" t="s">
        <v>640</v>
      </c>
      <c r="E203" s="71"/>
      <c r="F203" s="3" t="s">
        <v>130</v>
      </c>
      <c r="G203" s="35">
        <v>3</v>
      </c>
      <c r="H203" s="68">
        <v>0</v>
      </c>
      <c r="I203" s="36">
        <v>21</v>
      </c>
      <c r="J203" s="35">
        <f t="shared" si="214"/>
        <v>0</v>
      </c>
      <c r="K203" s="35">
        <f t="shared" si="215"/>
        <v>0</v>
      </c>
      <c r="L203" s="35">
        <f t="shared" si="216"/>
        <v>0</v>
      </c>
      <c r="M203" s="35">
        <f t="shared" si="217"/>
        <v>0</v>
      </c>
      <c r="N203" s="35">
        <v>3.7499999999999999E-3</v>
      </c>
      <c r="O203" s="35">
        <f t="shared" si="218"/>
        <v>1.125E-2</v>
      </c>
      <c r="P203" s="37" t="s">
        <v>64</v>
      </c>
      <c r="Z203" s="35">
        <f t="shared" si="219"/>
        <v>0</v>
      </c>
      <c r="AB203" s="35">
        <f t="shared" si="220"/>
        <v>0</v>
      </c>
      <c r="AC203" s="35">
        <f t="shared" si="221"/>
        <v>0</v>
      </c>
      <c r="AD203" s="35">
        <f t="shared" si="222"/>
        <v>0</v>
      </c>
      <c r="AE203" s="35">
        <f t="shared" si="223"/>
        <v>0</v>
      </c>
      <c r="AF203" s="35">
        <f t="shared" si="224"/>
        <v>0</v>
      </c>
      <c r="AG203" s="35">
        <f t="shared" si="225"/>
        <v>0</v>
      </c>
      <c r="AH203" s="35">
        <f t="shared" si="226"/>
        <v>0</v>
      </c>
      <c r="AI203" s="12" t="s">
        <v>215</v>
      </c>
      <c r="AJ203" s="35">
        <f t="shared" si="227"/>
        <v>0</v>
      </c>
      <c r="AK203" s="35">
        <f t="shared" si="228"/>
        <v>0</v>
      </c>
      <c r="AL203" s="35">
        <f t="shared" si="229"/>
        <v>0</v>
      </c>
      <c r="AN203" s="35">
        <v>21</v>
      </c>
      <c r="AO203" s="35">
        <f>H203*0.520415645</f>
        <v>0</v>
      </c>
      <c r="AP203" s="35">
        <f>H203*(1-0.520415645)</f>
        <v>0</v>
      </c>
      <c r="AQ203" s="38" t="s">
        <v>65</v>
      </c>
      <c r="AV203" s="35">
        <f t="shared" si="230"/>
        <v>0</v>
      </c>
      <c r="AW203" s="35">
        <f t="shared" si="231"/>
        <v>0</v>
      </c>
      <c r="AX203" s="35">
        <f t="shared" si="232"/>
        <v>0</v>
      </c>
      <c r="AY203" s="38" t="s">
        <v>162</v>
      </c>
      <c r="AZ203" s="38" t="s">
        <v>364</v>
      </c>
      <c r="BA203" s="12" t="s">
        <v>225</v>
      </c>
      <c r="BC203" s="35">
        <f t="shared" si="233"/>
        <v>0</v>
      </c>
      <c r="BD203" s="35">
        <f t="shared" si="234"/>
        <v>0</v>
      </c>
      <c r="BE203" s="35">
        <v>0</v>
      </c>
      <c r="BF203" s="35">
        <f t="shared" si="235"/>
        <v>1.125E-2</v>
      </c>
      <c r="BH203" s="35">
        <f t="shared" si="236"/>
        <v>0</v>
      </c>
      <c r="BI203" s="35">
        <f t="shared" si="237"/>
        <v>0</v>
      </c>
      <c r="BJ203" s="35">
        <f t="shared" si="238"/>
        <v>0</v>
      </c>
      <c r="BK203" s="38" t="s">
        <v>69</v>
      </c>
      <c r="BL203" s="35">
        <v>734</v>
      </c>
      <c r="BW203" s="35">
        <f t="shared" si="239"/>
        <v>21</v>
      </c>
      <c r="BX203" s="4" t="s">
        <v>640</v>
      </c>
    </row>
    <row r="204" spans="1:76" x14ac:dyDescent="0.25">
      <c r="A204" s="2" t="s">
        <v>641</v>
      </c>
      <c r="B204" s="3" t="s">
        <v>215</v>
      </c>
      <c r="C204" s="3" t="s">
        <v>642</v>
      </c>
      <c r="D204" s="70" t="s">
        <v>643</v>
      </c>
      <c r="E204" s="71"/>
      <c r="F204" s="3" t="s">
        <v>85</v>
      </c>
      <c r="G204" s="35">
        <v>1</v>
      </c>
      <c r="H204" s="68">
        <v>0</v>
      </c>
      <c r="I204" s="36">
        <v>21</v>
      </c>
      <c r="J204" s="35">
        <f t="shared" si="214"/>
        <v>0</v>
      </c>
      <c r="K204" s="35">
        <f t="shared" si="215"/>
        <v>0</v>
      </c>
      <c r="L204" s="35">
        <f t="shared" si="216"/>
        <v>0</v>
      </c>
      <c r="M204" s="35">
        <f t="shared" si="217"/>
        <v>0</v>
      </c>
      <c r="N204" s="35">
        <v>2.1000000000000001E-4</v>
      </c>
      <c r="O204" s="35">
        <f t="shared" si="218"/>
        <v>2.1000000000000001E-4</v>
      </c>
      <c r="P204" s="37" t="s">
        <v>64</v>
      </c>
      <c r="Z204" s="35">
        <f t="shared" si="219"/>
        <v>0</v>
      </c>
      <c r="AB204" s="35">
        <f t="shared" si="220"/>
        <v>0</v>
      </c>
      <c r="AC204" s="35">
        <f t="shared" si="221"/>
        <v>0</v>
      </c>
      <c r="AD204" s="35">
        <f t="shared" si="222"/>
        <v>0</v>
      </c>
      <c r="AE204" s="35">
        <f t="shared" si="223"/>
        <v>0</v>
      </c>
      <c r="AF204" s="35">
        <f t="shared" si="224"/>
        <v>0</v>
      </c>
      <c r="AG204" s="35">
        <f t="shared" si="225"/>
        <v>0</v>
      </c>
      <c r="AH204" s="35">
        <f t="shared" si="226"/>
        <v>0</v>
      </c>
      <c r="AI204" s="12" t="s">
        <v>215</v>
      </c>
      <c r="AJ204" s="35">
        <f t="shared" si="227"/>
        <v>0</v>
      </c>
      <c r="AK204" s="35">
        <f t="shared" si="228"/>
        <v>0</v>
      </c>
      <c r="AL204" s="35">
        <f t="shared" si="229"/>
        <v>0</v>
      </c>
      <c r="AN204" s="35">
        <v>21</v>
      </c>
      <c r="AO204" s="35">
        <f>H204*0.824967145</f>
        <v>0</v>
      </c>
      <c r="AP204" s="35">
        <f>H204*(1-0.824967145)</f>
        <v>0</v>
      </c>
      <c r="AQ204" s="38" t="s">
        <v>65</v>
      </c>
      <c r="AV204" s="35">
        <f t="shared" si="230"/>
        <v>0</v>
      </c>
      <c r="AW204" s="35">
        <f t="shared" si="231"/>
        <v>0</v>
      </c>
      <c r="AX204" s="35">
        <f t="shared" si="232"/>
        <v>0</v>
      </c>
      <c r="AY204" s="38" t="s">
        <v>162</v>
      </c>
      <c r="AZ204" s="38" t="s">
        <v>364</v>
      </c>
      <c r="BA204" s="12" t="s">
        <v>225</v>
      </c>
      <c r="BC204" s="35">
        <f t="shared" si="233"/>
        <v>0</v>
      </c>
      <c r="BD204" s="35">
        <f t="shared" si="234"/>
        <v>0</v>
      </c>
      <c r="BE204" s="35">
        <v>0</v>
      </c>
      <c r="BF204" s="35">
        <f t="shared" si="235"/>
        <v>2.1000000000000001E-4</v>
      </c>
      <c r="BH204" s="35">
        <f t="shared" si="236"/>
        <v>0</v>
      </c>
      <c r="BI204" s="35">
        <f t="shared" si="237"/>
        <v>0</v>
      </c>
      <c r="BJ204" s="35">
        <f t="shared" si="238"/>
        <v>0</v>
      </c>
      <c r="BK204" s="38" t="s">
        <v>69</v>
      </c>
      <c r="BL204" s="35">
        <v>734</v>
      </c>
      <c r="BW204" s="35">
        <f t="shared" si="239"/>
        <v>21</v>
      </c>
      <c r="BX204" s="4" t="s">
        <v>643</v>
      </c>
    </row>
    <row r="205" spans="1:76" x14ac:dyDescent="0.25">
      <c r="A205" s="2" t="s">
        <v>644</v>
      </c>
      <c r="B205" s="3" t="s">
        <v>215</v>
      </c>
      <c r="C205" s="3" t="s">
        <v>645</v>
      </c>
      <c r="D205" s="70" t="s">
        <v>646</v>
      </c>
      <c r="E205" s="71"/>
      <c r="F205" s="3" t="s">
        <v>85</v>
      </c>
      <c r="G205" s="35">
        <v>4</v>
      </c>
      <c r="H205" s="68">
        <v>0</v>
      </c>
      <c r="I205" s="36">
        <v>21</v>
      </c>
      <c r="J205" s="35">
        <f t="shared" si="214"/>
        <v>0</v>
      </c>
      <c r="K205" s="35">
        <f t="shared" si="215"/>
        <v>0</v>
      </c>
      <c r="L205" s="35">
        <f t="shared" si="216"/>
        <v>0</v>
      </c>
      <c r="M205" s="35">
        <f t="shared" si="217"/>
        <v>0</v>
      </c>
      <c r="N205" s="35">
        <v>3.4000000000000002E-4</v>
      </c>
      <c r="O205" s="35">
        <f t="shared" si="218"/>
        <v>1.3600000000000001E-3</v>
      </c>
      <c r="P205" s="37" t="s">
        <v>64</v>
      </c>
      <c r="Z205" s="35">
        <f t="shared" si="219"/>
        <v>0</v>
      </c>
      <c r="AB205" s="35">
        <f t="shared" si="220"/>
        <v>0</v>
      </c>
      <c r="AC205" s="35">
        <f t="shared" si="221"/>
        <v>0</v>
      </c>
      <c r="AD205" s="35">
        <f t="shared" si="222"/>
        <v>0</v>
      </c>
      <c r="AE205" s="35">
        <f t="shared" si="223"/>
        <v>0</v>
      </c>
      <c r="AF205" s="35">
        <f t="shared" si="224"/>
        <v>0</v>
      </c>
      <c r="AG205" s="35">
        <f t="shared" si="225"/>
        <v>0</v>
      </c>
      <c r="AH205" s="35">
        <f t="shared" si="226"/>
        <v>0</v>
      </c>
      <c r="AI205" s="12" t="s">
        <v>215</v>
      </c>
      <c r="AJ205" s="35">
        <f t="shared" si="227"/>
        <v>0</v>
      </c>
      <c r="AK205" s="35">
        <f t="shared" si="228"/>
        <v>0</v>
      </c>
      <c r="AL205" s="35">
        <f t="shared" si="229"/>
        <v>0</v>
      </c>
      <c r="AN205" s="35">
        <v>21</v>
      </c>
      <c r="AO205" s="35">
        <f>H205*0.830011751</f>
        <v>0</v>
      </c>
      <c r="AP205" s="35">
        <f>H205*(1-0.830011751)</f>
        <v>0</v>
      </c>
      <c r="AQ205" s="38" t="s">
        <v>65</v>
      </c>
      <c r="AV205" s="35">
        <f t="shared" si="230"/>
        <v>0</v>
      </c>
      <c r="AW205" s="35">
        <f t="shared" si="231"/>
        <v>0</v>
      </c>
      <c r="AX205" s="35">
        <f t="shared" si="232"/>
        <v>0</v>
      </c>
      <c r="AY205" s="38" t="s">
        <v>162</v>
      </c>
      <c r="AZ205" s="38" t="s">
        <v>364</v>
      </c>
      <c r="BA205" s="12" t="s">
        <v>225</v>
      </c>
      <c r="BC205" s="35">
        <f t="shared" si="233"/>
        <v>0</v>
      </c>
      <c r="BD205" s="35">
        <f t="shared" si="234"/>
        <v>0</v>
      </c>
      <c r="BE205" s="35">
        <v>0</v>
      </c>
      <c r="BF205" s="35">
        <f t="shared" si="235"/>
        <v>1.3600000000000001E-3</v>
      </c>
      <c r="BH205" s="35">
        <f t="shared" si="236"/>
        <v>0</v>
      </c>
      <c r="BI205" s="35">
        <f t="shared" si="237"/>
        <v>0</v>
      </c>
      <c r="BJ205" s="35">
        <f t="shared" si="238"/>
        <v>0</v>
      </c>
      <c r="BK205" s="38" t="s">
        <v>69</v>
      </c>
      <c r="BL205" s="35">
        <v>734</v>
      </c>
      <c r="BW205" s="35">
        <f t="shared" si="239"/>
        <v>21</v>
      </c>
      <c r="BX205" s="4" t="s">
        <v>646</v>
      </c>
    </row>
    <row r="206" spans="1:76" x14ac:dyDescent="0.25">
      <c r="A206" s="2" t="s">
        <v>647</v>
      </c>
      <c r="B206" s="3" t="s">
        <v>215</v>
      </c>
      <c r="C206" s="3" t="s">
        <v>648</v>
      </c>
      <c r="D206" s="70" t="s">
        <v>649</v>
      </c>
      <c r="E206" s="71"/>
      <c r="F206" s="3" t="s">
        <v>130</v>
      </c>
      <c r="G206" s="35">
        <v>2</v>
      </c>
      <c r="H206" s="68">
        <v>0</v>
      </c>
      <c r="I206" s="36">
        <v>21</v>
      </c>
      <c r="J206" s="35">
        <f t="shared" si="214"/>
        <v>0</v>
      </c>
      <c r="K206" s="35">
        <f t="shared" si="215"/>
        <v>0</v>
      </c>
      <c r="L206" s="35">
        <f t="shared" si="216"/>
        <v>0</v>
      </c>
      <c r="M206" s="35">
        <f t="shared" si="217"/>
        <v>0</v>
      </c>
      <c r="N206" s="35">
        <v>5.11E-3</v>
      </c>
      <c r="O206" s="35">
        <f t="shared" si="218"/>
        <v>1.022E-2</v>
      </c>
      <c r="P206" s="37" t="s">
        <v>64</v>
      </c>
      <c r="Z206" s="35">
        <f t="shared" si="219"/>
        <v>0</v>
      </c>
      <c r="AB206" s="35">
        <f t="shared" si="220"/>
        <v>0</v>
      </c>
      <c r="AC206" s="35">
        <f t="shared" si="221"/>
        <v>0</v>
      </c>
      <c r="AD206" s="35">
        <f t="shared" si="222"/>
        <v>0</v>
      </c>
      <c r="AE206" s="35">
        <f t="shared" si="223"/>
        <v>0</v>
      </c>
      <c r="AF206" s="35">
        <f t="shared" si="224"/>
        <v>0</v>
      </c>
      <c r="AG206" s="35">
        <f t="shared" si="225"/>
        <v>0</v>
      </c>
      <c r="AH206" s="35">
        <f t="shared" si="226"/>
        <v>0</v>
      </c>
      <c r="AI206" s="12" t="s">
        <v>215</v>
      </c>
      <c r="AJ206" s="35">
        <f t="shared" si="227"/>
        <v>0</v>
      </c>
      <c r="AK206" s="35">
        <f t="shared" si="228"/>
        <v>0</v>
      </c>
      <c r="AL206" s="35">
        <f t="shared" si="229"/>
        <v>0</v>
      </c>
      <c r="AN206" s="35">
        <v>21</v>
      </c>
      <c r="AO206" s="35">
        <f>H206*0.427365546</f>
        <v>0</v>
      </c>
      <c r="AP206" s="35">
        <f>H206*(1-0.427365546)</f>
        <v>0</v>
      </c>
      <c r="AQ206" s="38" t="s">
        <v>65</v>
      </c>
      <c r="AV206" s="35">
        <f t="shared" si="230"/>
        <v>0</v>
      </c>
      <c r="AW206" s="35">
        <f t="shared" si="231"/>
        <v>0</v>
      </c>
      <c r="AX206" s="35">
        <f t="shared" si="232"/>
        <v>0</v>
      </c>
      <c r="AY206" s="38" t="s">
        <v>162</v>
      </c>
      <c r="AZ206" s="38" t="s">
        <v>364</v>
      </c>
      <c r="BA206" s="12" t="s">
        <v>225</v>
      </c>
      <c r="BC206" s="35">
        <f t="shared" si="233"/>
        <v>0</v>
      </c>
      <c r="BD206" s="35">
        <f t="shared" si="234"/>
        <v>0</v>
      </c>
      <c r="BE206" s="35">
        <v>0</v>
      </c>
      <c r="BF206" s="35">
        <f t="shared" si="235"/>
        <v>1.022E-2</v>
      </c>
      <c r="BH206" s="35">
        <f t="shared" si="236"/>
        <v>0</v>
      </c>
      <c r="BI206" s="35">
        <f t="shared" si="237"/>
        <v>0</v>
      </c>
      <c r="BJ206" s="35">
        <f t="shared" si="238"/>
        <v>0</v>
      </c>
      <c r="BK206" s="38" t="s">
        <v>69</v>
      </c>
      <c r="BL206" s="35">
        <v>734</v>
      </c>
      <c r="BW206" s="35">
        <f t="shared" si="239"/>
        <v>21</v>
      </c>
      <c r="BX206" s="4" t="s">
        <v>649</v>
      </c>
    </row>
    <row r="207" spans="1:76" x14ac:dyDescent="0.25">
      <c r="A207" s="2" t="s">
        <v>650</v>
      </c>
      <c r="B207" s="3" t="s">
        <v>215</v>
      </c>
      <c r="C207" s="3" t="s">
        <v>651</v>
      </c>
      <c r="D207" s="70" t="s">
        <v>652</v>
      </c>
      <c r="E207" s="71"/>
      <c r="F207" s="3" t="s">
        <v>130</v>
      </c>
      <c r="G207" s="35">
        <v>1</v>
      </c>
      <c r="H207" s="68">
        <v>0</v>
      </c>
      <c r="I207" s="36">
        <v>21</v>
      </c>
      <c r="J207" s="35">
        <f t="shared" si="214"/>
        <v>0</v>
      </c>
      <c r="K207" s="35">
        <f t="shared" si="215"/>
        <v>0</v>
      </c>
      <c r="L207" s="35">
        <f t="shared" si="216"/>
        <v>0</v>
      </c>
      <c r="M207" s="35">
        <f t="shared" si="217"/>
        <v>0</v>
      </c>
      <c r="N207" s="35">
        <v>1.5E-3</v>
      </c>
      <c r="O207" s="35">
        <f t="shared" si="218"/>
        <v>1.5E-3</v>
      </c>
      <c r="P207" s="37" t="s">
        <v>64</v>
      </c>
      <c r="Z207" s="35">
        <f t="shared" si="219"/>
        <v>0</v>
      </c>
      <c r="AB207" s="35">
        <f t="shared" si="220"/>
        <v>0</v>
      </c>
      <c r="AC207" s="35">
        <f t="shared" si="221"/>
        <v>0</v>
      </c>
      <c r="AD207" s="35">
        <f t="shared" si="222"/>
        <v>0</v>
      </c>
      <c r="AE207" s="35">
        <f t="shared" si="223"/>
        <v>0</v>
      </c>
      <c r="AF207" s="35">
        <f t="shared" si="224"/>
        <v>0</v>
      </c>
      <c r="AG207" s="35">
        <f t="shared" si="225"/>
        <v>0</v>
      </c>
      <c r="AH207" s="35">
        <f t="shared" si="226"/>
        <v>0</v>
      </c>
      <c r="AI207" s="12" t="s">
        <v>215</v>
      </c>
      <c r="AJ207" s="35">
        <f t="shared" si="227"/>
        <v>0</v>
      </c>
      <c r="AK207" s="35">
        <f t="shared" si="228"/>
        <v>0</v>
      </c>
      <c r="AL207" s="35">
        <f t="shared" si="229"/>
        <v>0</v>
      </c>
      <c r="AN207" s="35">
        <v>21</v>
      </c>
      <c r="AO207" s="35">
        <f>H207*0.473052109</f>
        <v>0</v>
      </c>
      <c r="AP207" s="35">
        <f>H207*(1-0.473052109)</f>
        <v>0</v>
      </c>
      <c r="AQ207" s="38" t="s">
        <v>65</v>
      </c>
      <c r="AV207" s="35">
        <f t="shared" si="230"/>
        <v>0</v>
      </c>
      <c r="AW207" s="35">
        <f t="shared" si="231"/>
        <v>0</v>
      </c>
      <c r="AX207" s="35">
        <f t="shared" si="232"/>
        <v>0</v>
      </c>
      <c r="AY207" s="38" t="s">
        <v>162</v>
      </c>
      <c r="AZ207" s="38" t="s">
        <v>364</v>
      </c>
      <c r="BA207" s="12" t="s">
        <v>225</v>
      </c>
      <c r="BC207" s="35">
        <f t="shared" si="233"/>
        <v>0</v>
      </c>
      <c r="BD207" s="35">
        <f t="shared" si="234"/>
        <v>0</v>
      </c>
      <c r="BE207" s="35">
        <v>0</v>
      </c>
      <c r="BF207" s="35">
        <f t="shared" si="235"/>
        <v>1.5E-3</v>
      </c>
      <c r="BH207" s="35">
        <f t="shared" si="236"/>
        <v>0</v>
      </c>
      <c r="BI207" s="35">
        <f t="shared" si="237"/>
        <v>0</v>
      </c>
      <c r="BJ207" s="35">
        <f t="shared" si="238"/>
        <v>0</v>
      </c>
      <c r="BK207" s="38" t="s">
        <v>69</v>
      </c>
      <c r="BL207" s="35">
        <v>734</v>
      </c>
      <c r="BW207" s="35">
        <f t="shared" si="239"/>
        <v>21</v>
      </c>
      <c r="BX207" s="4" t="s">
        <v>652</v>
      </c>
    </row>
    <row r="208" spans="1:76" x14ac:dyDescent="0.25">
      <c r="A208" s="2" t="s">
        <v>653</v>
      </c>
      <c r="B208" s="3" t="s">
        <v>215</v>
      </c>
      <c r="C208" s="3" t="s">
        <v>654</v>
      </c>
      <c r="D208" s="70" t="s">
        <v>655</v>
      </c>
      <c r="E208" s="71"/>
      <c r="F208" s="3" t="s">
        <v>130</v>
      </c>
      <c r="G208" s="35">
        <v>1</v>
      </c>
      <c r="H208" s="68">
        <v>0</v>
      </c>
      <c r="I208" s="36">
        <v>21</v>
      </c>
      <c r="J208" s="35">
        <f t="shared" si="214"/>
        <v>0</v>
      </c>
      <c r="K208" s="35">
        <f t="shared" si="215"/>
        <v>0</v>
      </c>
      <c r="L208" s="35">
        <f t="shared" si="216"/>
        <v>0</v>
      </c>
      <c r="M208" s="35">
        <f t="shared" si="217"/>
        <v>0</v>
      </c>
      <c r="N208" s="35">
        <v>1.089E-2</v>
      </c>
      <c r="O208" s="35">
        <f t="shared" si="218"/>
        <v>1.089E-2</v>
      </c>
      <c r="P208" s="37" t="s">
        <v>64</v>
      </c>
      <c r="Z208" s="35">
        <f t="shared" si="219"/>
        <v>0</v>
      </c>
      <c r="AB208" s="35">
        <f t="shared" si="220"/>
        <v>0</v>
      </c>
      <c r="AC208" s="35">
        <f t="shared" si="221"/>
        <v>0</v>
      </c>
      <c r="AD208" s="35">
        <f t="shared" si="222"/>
        <v>0</v>
      </c>
      <c r="AE208" s="35">
        <f t="shared" si="223"/>
        <v>0</v>
      </c>
      <c r="AF208" s="35">
        <f t="shared" si="224"/>
        <v>0</v>
      </c>
      <c r="AG208" s="35">
        <f t="shared" si="225"/>
        <v>0</v>
      </c>
      <c r="AH208" s="35">
        <f t="shared" si="226"/>
        <v>0</v>
      </c>
      <c r="AI208" s="12" t="s">
        <v>215</v>
      </c>
      <c r="AJ208" s="35">
        <f t="shared" si="227"/>
        <v>0</v>
      </c>
      <c r="AK208" s="35">
        <f t="shared" si="228"/>
        <v>0</v>
      </c>
      <c r="AL208" s="35">
        <f t="shared" si="229"/>
        <v>0</v>
      </c>
      <c r="AN208" s="35">
        <v>21</v>
      </c>
      <c r="AO208" s="35">
        <f>H208*0.491399716</f>
        <v>0</v>
      </c>
      <c r="AP208" s="35">
        <f>H208*(1-0.491399716)</f>
        <v>0</v>
      </c>
      <c r="AQ208" s="38" t="s">
        <v>65</v>
      </c>
      <c r="AV208" s="35">
        <f t="shared" si="230"/>
        <v>0</v>
      </c>
      <c r="AW208" s="35">
        <f t="shared" si="231"/>
        <v>0</v>
      </c>
      <c r="AX208" s="35">
        <f t="shared" si="232"/>
        <v>0</v>
      </c>
      <c r="AY208" s="38" t="s">
        <v>162</v>
      </c>
      <c r="AZ208" s="38" t="s">
        <v>364</v>
      </c>
      <c r="BA208" s="12" t="s">
        <v>225</v>
      </c>
      <c r="BC208" s="35">
        <f t="shared" si="233"/>
        <v>0</v>
      </c>
      <c r="BD208" s="35">
        <f t="shared" si="234"/>
        <v>0</v>
      </c>
      <c r="BE208" s="35">
        <v>0</v>
      </c>
      <c r="BF208" s="35">
        <f t="shared" si="235"/>
        <v>1.089E-2</v>
      </c>
      <c r="BH208" s="35">
        <f t="shared" si="236"/>
        <v>0</v>
      </c>
      <c r="BI208" s="35">
        <f t="shared" si="237"/>
        <v>0</v>
      </c>
      <c r="BJ208" s="35">
        <f t="shared" si="238"/>
        <v>0</v>
      </c>
      <c r="BK208" s="38" t="s">
        <v>69</v>
      </c>
      <c r="BL208" s="35">
        <v>734</v>
      </c>
      <c r="BW208" s="35">
        <f t="shared" si="239"/>
        <v>21</v>
      </c>
      <c r="BX208" s="4" t="s">
        <v>655</v>
      </c>
    </row>
    <row r="209" spans="1:76" x14ac:dyDescent="0.25">
      <c r="A209" s="31" t="s">
        <v>55</v>
      </c>
      <c r="B209" s="32" t="s">
        <v>215</v>
      </c>
      <c r="C209" s="32" t="s">
        <v>164</v>
      </c>
      <c r="D209" s="128" t="s">
        <v>165</v>
      </c>
      <c r="E209" s="129"/>
      <c r="F209" s="33" t="s">
        <v>4</v>
      </c>
      <c r="G209" s="33" t="s">
        <v>4</v>
      </c>
      <c r="H209" s="33" t="s">
        <v>4</v>
      </c>
      <c r="I209" s="33" t="s">
        <v>4</v>
      </c>
      <c r="J209" s="1">
        <f>SUM(J210:J210)</f>
        <v>0</v>
      </c>
      <c r="K209" s="1">
        <f>SUM(K210:K210)</f>
        <v>0</v>
      </c>
      <c r="L209" s="1">
        <f>SUM(L210:L210)</f>
        <v>0</v>
      </c>
      <c r="M209" s="1">
        <f>SUM(M210:M210)</f>
        <v>0</v>
      </c>
      <c r="N209" s="12" t="s">
        <v>55</v>
      </c>
      <c r="O209" s="1">
        <f>SUM(O210:O210)</f>
        <v>1.584E-2</v>
      </c>
      <c r="P209" s="34" t="s">
        <v>55</v>
      </c>
      <c r="AI209" s="12" t="s">
        <v>215</v>
      </c>
      <c r="AS209" s="1">
        <f>SUM(AJ210:AJ210)</f>
        <v>0</v>
      </c>
      <c r="AT209" s="1">
        <f>SUM(AK210:AK210)</f>
        <v>0</v>
      </c>
      <c r="AU209" s="1">
        <f>SUM(AL210:AL210)</f>
        <v>0</v>
      </c>
    </row>
    <row r="210" spans="1:76" x14ac:dyDescent="0.25">
      <c r="A210" s="2" t="s">
        <v>656</v>
      </c>
      <c r="B210" s="3" t="s">
        <v>215</v>
      </c>
      <c r="C210" s="3" t="s">
        <v>172</v>
      </c>
      <c r="D210" s="70" t="s">
        <v>657</v>
      </c>
      <c r="E210" s="71"/>
      <c r="F210" s="3" t="s">
        <v>63</v>
      </c>
      <c r="G210" s="35">
        <v>132</v>
      </c>
      <c r="H210" s="68">
        <v>0</v>
      </c>
      <c r="I210" s="36">
        <v>21</v>
      </c>
      <c r="J210" s="35">
        <f>ROUND(G210*AO210,2)</f>
        <v>0</v>
      </c>
      <c r="K210" s="35">
        <f>ROUND(G210*AP210,2)</f>
        <v>0</v>
      </c>
      <c r="L210" s="35">
        <f>ROUND(G210*H210,2)</f>
        <v>0</v>
      </c>
      <c r="M210" s="35">
        <f>L210*(1+BW210/100)</f>
        <v>0</v>
      </c>
      <c r="N210" s="35">
        <v>1.2E-4</v>
      </c>
      <c r="O210" s="35">
        <f>G210*N210</f>
        <v>1.584E-2</v>
      </c>
      <c r="P210" s="37" t="s">
        <v>64</v>
      </c>
      <c r="Z210" s="35">
        <f>ROUND(IF(AQ210="5",BJ210,0),2)</f>
        <v>0</v>
      </c>
      <c r="AB210" s="35">
        <f>ROUND(IF(AQ210="1",BH210,0),2)</f>
        <v>0</v>
      </c>
      <c r="AC210" s="35">
        <f>ROUND(IF(AQ210="1",BI210,0),2)</f>
        <v>0</v>
      </c>
      <c r="AD210" s="35">
        <f>ROUND(IF(AQ210="7",BH210,0),2)</f>
        <v>0</v>
      </c>
      <c r="AE210" s="35">
        <f>ROUND(IF(AQ210="7",BI210,0),2)</f>
        <v>0</v>
      </c>
      <c r="AF210" s="35">
        <f>ROUND(IF(AQ210="2",BH210,0),2)</f>
        <v>0</v>
      </c>
      <c r="AG210" s="35">
        <f>ROUND(IF(AQ210="2",BI210,0),2)</f>
        <v>0</v>
      </c>
      <c r="AH210" s="35">
        <f>ROUND(IF(AQ210="0",BJ210,0),2)</f>
        <v>0</v>
      </c>
      <c r="AI210" s="12" t="s">
        <v>215</v>
      </c>
      <c r="AJ210" s="35">
        <f>IF(AN210=0,L210,0)</f>
        <v>0</v>
      </c>
      <c r="AK210" s="35">
        <f>IF(AN210=15,L210,0)</f>
        <v>0</v>
      </c>
      <c r="AL210" s="35">
        <f>IF(AN210=21,L210,0)</f>
        <v>0</v>
      </c>
      <c r="AN210" s="35">
        <v>21</v>
      </c>
      <c r="AO210" s="35">
        <f>H210*0.198211382</f>
        <v>0</v>
      </c>
      <c r="AP210" s="35">
        <f>H210*(1-0.198211382)</f>
        <v>0</v>
      </c>
      <c r="AQ210" s="38" t="s">
        <v>65</v>
      </c>
      <c r="AV210" s="35">
        <f>ROUND(AW210+AX210,2)</f>
        <v>0</v>
      </c>
      <c r="AW210" s="35">
        <f>ROUND(G210*AO210,2)</f>
        <v>0</v>
      </c>
      <c r="AX210" s="35">
        <f>ROUND(G210*AP210,2)</f>
        <v>0</v>
      </c>
      <c r="AY210" s="38" t="s">
        <v>169</v>
      </c>
      <c r="AZ210" s="38" t="s">
        <v>658</v>
      </c>
      <c r="BA210" s="12" t="s">
        <v>225</v>
      </c>
      <c r="BC210" s="35">
        <f>AW210+AX210</f>
        <v>0</v>
      </c>
      <c r="BD210" s="35">
        <f>H210/(100-BE210)*100</f>
        <v>0</v>
      </c>
      <c r="BE210" s="35">
        <v>0</v>
      </c>
      <c r="BF210" s="35">
        <f>O210</f>
        <v>1.584E-2</v>
      </c>
      <c r="BH210" s="35">
        <f>G210*AO210</f>
        <v>0</v>
      </c>
      <c r="BI210" s="35">
        <f>G210*AP210</f>
        <v>0</v>
      </c>
      <c r="BJ210" s="35">
        <f>G210*H210</f>
        <v>0</v>
      </c>
      <c r="BK210" s="38" t="s">
        <v>69</v>
      </c>
      <c r="BL210" s="35">
        <v>783</v>
      </c>
      <c r="BW210" s="35">
        <f>I210</f>
        <v>21</v>
      </c>
      <c r="BX210" s="4" t="s">
        <v>657</v>
      </c>
    </row>
    <row r="211" spans="1:76" x14ac:dyDescent="0.25">
      <c r="A211" s="31" t="s">
        <v>55</v>
      </c>
      <c r="B211" s="32" t="s">
        <v>215</v>
      </c>
      <c r="C211" s="32" t="s">
        <v>174</v>
      </c>
      <c r="D211" s="128" t="s">
        <v>175</v>
      </c>
      <c r="E211" s="129"/>
      <c r="F211" s="33" t="s">
        <v>4</v>
      </c>
      <c r="G211" s="33" t="s">
        <v>4</v>
      </c>
      <c r="H211" s="33" t="s">
        <v>4</v>
      </c>
      <c r="I211" s="33" t="s">
        <v>4</v>
      </c>
      <c r="J211" s="1">
        <f>SUM(J212:J219)</f>
        <v>0</v>
      </c>
      <c r="K211" s="1">
        <f>SUM(K212:K219)</f>
        <v>0</v>
      </c>
      <c r="L211" s="1">
        <f>SUM(L212:L219)</f>
        <v>0</v>
      </c>
      <c r="M211" s="1">
        <f>SUM(M212:M219)</f>
        <v>0</v>
      </c>
      <c r="N211" s="12" t="s">
        <v>55</v>
      </c>
      <c r="O211" s="1">
        <f>SUM(O212:O219)</f>
        <v>0</v>
      </c>
      <c r="P211" s="34" t="s">
        <v>55</v>
      </c>
      <c r="AI211" s="12" t="s">
        <v>215</v>
      </c>
      <c r="AS211" s="1">
        <f>SUM(AJ212:AJ219)</f>
        <v>0</v>
      </c>
      <c r="AT211" s="1">
        <f>SUM(AK212:AK219)</f>
        <v>0</v>
      </c>
      <c r="AU211" s="1">
        <f>SUM(AL212:AL219)</f>
        <v>0</v>
      </c>
    </row>
    <row r="212" spans="1:76" x14ac:dyDescent="0.25">
      <c r="A212" s="2" t="s">
        <v>659</v>
      </c>
      <c r="B212" s="3" t="s">
        <v>215</v>
      </c>
      <c r="C212" s="3" t="s">
        <v>660</v>
      </c>
      <c r="D212" s="70" t="s">
        <v>661</v>
      </c>
      <c r="E212" s="71"/>
      <c r="F212" s="3" t="s">
        <v>179</v>
      </c>
      <c r="G212" s="35">
        <v>24</v>
      </c>
      <c r="H212" s="68">
        <v>0</v>
      </c>
      <c r="I212" s="36">
        <v>21</v>
      </c>
      <c r="J212" s="35">
        <f t="shared" ref="J212:J219" si="240">ROUND(G212*AO212,2)</f>
        <v>0</v>
      </c>
      <c r="K212" s="35">
        <f t="shared" ref="K212:K219" si="241">ROUND(G212*AP212,2)</f>
        <v>0</v>
      </c>
      <c r="L212" s="35">
        <f t="shared" ref="L212:L219" si="242">ROUND(G212*H212,2)</f>
        <v>0</v>
      </c>
      <c r="M212" s="35">
        <f t="shared" ref="M212:M219" si="243">L212*(1+BW212/100)</f>
        <v>0</v>
      </c>
      <c r="N212" s="35">
        <v>0</v>
      </c>
      <c r="O212" s="35">
        <f t="shared" ref="O212:O219" si="244">G212*N212</f>
        <v>0</v>
      </c>
      <c r="P212" s="37" t="s">
        <v>64</v>
      </c>
      <c r="Z212" s="35">
        <f t="shared" ref="Z212:Z219" si="245">ROUND(IF(AQ212="5",BJ212,0),2)</f>
        <v>0</v>
      </c>
      <c r="AB212" s="35">
        <f t="shared" ref="AB212:AB219" si="246">ROUND(IF(AQ212="1",BH212,0),2)</f>
        <v>0</v>
      </c>
      <c r="AC212" s="35">
        <f t="shared" ref="AC212:AC219" si="247">ROUND(IF(AQ212="1",BI212,0),2)</f>
        <v>0</v>
      </c>
      <c r="AD212" s="35">
        <f t="shared" ref="AD212:AD219" si="248">ROUND(IF(AQ212="7",BH212,0),2)</f>
        <v>0</v>
      </c>
      <c r="AE212" s="35">
        <f t="shared" ref="AE212:AE219" si="249">ROUND(IF(AQ212="7",BI212,0),2)</f>
        <v>0</v>
      </c>
      <c r="AF212" s="35">
        <f t="shared" ref="AF212:AF219" si="250">ROUND(IF(AQ212="2",BH212,0),2)</f>
        <v>0</v>
      </c>
      <c r="AG212" s="35">
        <f t="shared" ref="AG212:AG219" si="251">ROUND(IF(AQ212="2",BI212,0),2)</f>
        <v>0</v>
      </c>
      <c r="AH212" s="35">
        <f t="shared" ref="AH212:AH219" si="252">ROUND(IF(AQ212="0",BJ212,0),2)</f>
        <v>0</v>
      </c>
      <c r="AI212" s="12" t="s">
        <v>215</v>
      </c>
      <c r="AJ212" s="35">
        <f t="shared" ref="AJ212:AJ219" si="253">IF(AN212=0,L212,0)</f>
        <v>0</v>
      </c>
      <c r="AK212" s="35">
        <f t="shared" ref="AK212:AK219" si="254">IF(AN212=15,L212,0)</f>
        <v>0</v>
      </c>
      <c r="AL212" s="35">
        <f t="shared" ref="AL212:AL219" si="255">IF(AN212=21,L212,0)</f>
        <v>0</v>
      </c>
      <c r="AN212" s="35">
        <v>21</v>
      </c>
      <c r="AO212" s="35">
        <f t="shared" ref="AO212:AO219" si="256">H212*0</f>
        <v>0</v>
      </c>
      <c r="AP212" s="35">
        <f t="shared" ref="AP212:AP219" si="257">H212*(1-0)</f>
        <v>0</v>
      </c>
      <c r="AQ212" s="38" t="s">
        <v>60</v>
      </c>
      <c r="AV212" s="35">
        <f t="shared" ref="AV212:AV219" si="258">ROUND(AW212+AX212,2)</f>
        <v>0</v>
      </c>
      <c r="AW212" s="35">
        <f t="shared" ref="AW212:AW219" si="259">ROUND(G212*AO212,2)</f>
        <v>0</v>
      </c>
      <c r="AX212" s="35">
        <f t="shared" ref="AX212:AX219" si="260">ROUND(G212*AP212,2)</f>
        <v>0</v>
      </c>
      <c r="AY212" s="38" t="s">
        <v>180</v>
      </c>
      <c r="AZ212" s="38" t="s">
        <v>662</v>
      </c>
      <c r="BA212" s="12" t="s">
        <v>225</v>
      </c>
      <c r="BC212" s="35">
        <f t="shared" ref="BC212:BC219" si="261">AW212+AX212</f>
        <v>0</v>
      </c>
      <c r="BD212" s="35">
        <f t="shared" ref="BD212:BD219" si="262">H212/(100-BE212)*100</f>
        <v>0</v>
      </c>
      <c r="BE212" s="35">
        <v>0</v>
      </c>
      <c r="BF212" s="35">
        <f t="shared" ref="BF212:BF219" si="263">O212</f>
        <v>0</v>
      </c>
      <c r="BH212" s="35">
        <f t="shared" ref="BH212:BH219" si="264">G212*AO212</f>
        <v>0</v>
      </c>
      <c r="BI212" s="35">
        <f t="shared" ref="BI212:BI219" si="265">G212*AP212</f>
        <v>0</v>
      </c>
      <c r="BJ212" s="35">
        <f t="shared" ref="BJ212:BJ219" si="266">G212*H212</f>
        <v>0</v>
      </c>
      <c r="BK212" s="38" t="s">
        <v>69</v>
      </c>
      <c r="BL212" s="35">
        <v>90</v>
      </c>
      <c r="BW212" s="35">
        <f t="shared" ref="BW212:BW219" si="267">I212</f>
        <v>21</v>
      </c>
      <c r="BX212" s="4" t="s">
        <v>661</v>
      </c>
    </row>
    <row r="213" spans="1:76" x14ac:dyDescent="0.25">
      <c r="A213" s="2" t="s">
        <v>663</v>
      </c>
      <c r="B213" s="3" t="s">
        <v>215</v>
      </c>
      <c r="C213" s="3" t="s">
        <v>177</v>
      </c>
      <c r="D213" s="70" t="s">
        <v>664</v>
      </c>
      <c r="E213" s="71"/>
      <c r="F213" s="3" t="s">
        <v>179</v>
      </c>
      <c r="G213" s="35">
        <v>120</v>
      </c>
      <c r="H213" s="68">
        <v>0</v>
      </c>
      <c r="I213" s="36">
        <v>21</v>
      </c>
      <c r="J213" s="35">
        <f t="shared" si="240"/>
        <v>0</v>
      </c>
      <c r="K213" s="35">
        <f t="shared" si="241"/>
        <v>0</v>
      </c>
      <c r="L213" s="35">
        <f t="shared" si="242"/>
        <v>0</v>
      </c>
      <c r="M213" s="35">
        <f t="shared" si="243"/>
        <v>0</v>
      </c>
      <c r="N213" s="35">
        <v>0</v>
      </c>
      <c r="O213" s="35">
        <f t="shared" si="244"/>
        <v>0</v>
      </c>
      <c r="P213" s="37" t="s">
        <v>64</v>
      </c>
      <c r="Z213" s="35">
        <f t="shared" si="245"/>
        <v>0</v>
      </c>
      <c r="AB213" s="35">
        <f t="shared" si="246"/>
        <v>0</v>
      </c>
      <c r="AC213" s="35">
        <f t="shared" si="247"/>
        <v>0</v>
      </c>
      <c r="AD213" s="35">
        <f t="shared" si="248"/>
        <v>0</v>
      </c>
      <c r="AE213" s="35">
        <f t="shared" si="249"/>
        <v>0</v>
      </c>
      <c r="AF213" s="35">
        <f t="shared" si="250"/>
        <v>0</v>
      </c>
      <c r="AG213" s="35">
        <f t="shared" si="251"/>
        <v>0</v>
      </c>
      <c r="AH213" s="35">
        <f t="shared" si="252"/>
        <v>0</v>
      </c>
      <c r="AI213" s="12" t="s">
        <v>215</v>
      </c>
      <c r="AJ213" s="35">
        <f t="shared" si="253"/>
        <v>0</v>
      </c>
      <c r="AK213" s="35">
        <f t="shared" si="254"/>
        <v>0</v>
      </c>
      <c r="AL213" s="35">
        <f t="shared" si="255"/>
        <v>0</v>
      </c>
      <c r="AN213" s="35">
        <v>21</v>
      </c>
      <c r="AO213" s="35">
        <f t="shared" si="256"/>
        <v>0</v>
      </c>
      <c r="AP213" s="35">
        <f t="shared" si="257"/>
        <v>0</v>
      </c>
      <c r="AQ213" s="38" t="s">
        <v>60</v>
      </c>
      <c r="AV213" s="35">
        <f t="shared" si="258"/>
        <v>0</v>
      </c>
      <c r="AW213" s="35">
        <f t="shared" si="259"/>
        <v>0</v>
      </c>
      <c r="AX213" s="35">
        <f t="shared" si="260"/>
        <v>0</v>
      </c>
      <c r="AY213" s="38" t="s">
        <v>180</v>
      </c>
      <c r="AZ213" s="38" t="s">
        <v>662</v>
      </c>
      <c r="BA213" s="12" t="s">
        <v>225</v>
      </c>
      <c r="BC213" s="35">
        <f t="shared" si="261"/>
        <v>0</v>
      </c>
      <c r="BD213" s="35">
        <f t="shared" si="262"/>
        <v>0</v>
      </c>
      <c r="BE213" s="35">
        <v>0</v>
      </c>
      <c r="BF213" s="35">
        <f t="shared" si="263"/>
        <v>0</v>
      </c>
      <c r="BH213" s="35">
        <f t="shared" si="264"/>
        <v>0</v>
      </c>
      <c r="BI213" s="35">
        <f t="shared" si="265"/>
        <v>0</v>
      </c>
      <c r="BJ213" s="35">
        <f t="shared" si="266"/>
        <v>0</v>
      </c>
      <c r="BK213" s="38" t="s">
        <v>69</v>
      </c>
      <c r="BL213" s="35">
        <v>90</v>
      </c>
      <c r="BW213" s="35">
        <f t="shared" si="267"/>
        <v>21</v>
      </c>
      <c r="BX213" s="4" t="s">
        <v>664</v>
      </c>
    </row>
    <row r="214" spans="1:76" x14ac:dyDescent="0.25">
      <c r="A214" s="2" t="s">
        <v>665</v>
      </c>
      <c r="B214" s="3" t="s">
        <v>215</v>
      </c>
      <c r="C214" s="3" t="s">
        <v>177</v>
      </c>
      <c r="D214" s="70" t="s">
        <v>666</v>
      </c>
      <c r="E214" s="71"/>
      <c r="F214" s="3" t="s">
        <v>179</v>
      </c>
      <c r="G214" s="35">
        <v>94</v>
      </c>
      <c r="H214" s="68">
        <v>0</v>
      </c>
      <c r="I214" s="36">
        <v>21</v>
      </c>
      <c r="J214" s="35">
        <f t="shared" si="240"/>
        <v>0</v>
      </c>
      <c r="K214" s="35">
        <f t="shared" si="241"/>
        <v>0</v>
      </c>
      <c r="L214" s="35">
        <f t="shared" si="242"/>
        <v>0</v>
      </c>
      <c r="M214" s="35">
        <f t="shared" si="243"/>
        <v>0</v>
      </c>
      <c r="N214" s="35">
        <v>0</v>
      </c>
      <c r="O214" s="35">
        <f t="shared" si="244"/>
        <v>0</v>
      </c>
      <c r="P214" s="37" t="s">
        <v>64</v>
      </c>
      <c r="Z214" s="35">
        <f t="shared" si="245"/>
        <v>0</v>
      </c>
      <c r="AB214" s="35">
        <f t="shared" si="246"/>
        <v>0</v>
      </c>
      <c r="AC214" s="35">
        <f t="shared" si="247"/>
        <v>0</v>
      </c>
      <c r="AD214" s="35">
        <f t="shared" si="248"/>
        <v>0</v>
      </c>
      <c r="AE214" s="35">
        <f t="shared" si="249"/>
        <v>0</v>
      </c>
      <c r="AF214" s="35">
        <f t="shared" si="250"/>
        <v>0</v>
      </c>
      <c r="AG214" s="35">
        <f t="shared" si="251"/>
        <v>0</v>
      </c>
      <c r="AH214" s="35">
        <f t="shared" si="252"/>
        <v>0</v>
      </c>
      <c r="AI214" s="12" t="s">
        <v>215</v>
      </c>
      <c r="AJ214" s="35">
        <f t="shared" si="253"/>
        <v>0</v>
      </c>
      <c r="AK214" s="35">
        <f t="shared" si="254"/>
        <v>0</v>
      </c>
      <c r="AL214" s="35">
        <f t="shared" si="255"/>
        <v>0</v>
      </c>
      <c r="AN214" s="35">
        <v>21</v>
      </c>
      <c r="AO214" s="35">
        <f t="shared" si="256"/>
        <v>0</v>
      </c>
      <c r="AP214" s="35">
        <f t="shared" si="257"/>
        <v>0</v>
      </c>
      <c r="AQ214" s="38" t="s">
        <v>60</v>
      </c>
      <c r="AV214" s="35">
        <f t="shared" si="258"/>
        <v>0</v>
      </c>
      <c r="AW214" s="35">
        <f t="shared" si="259"/>
        <v>0</v>
      </c>
      <c r="AX214" s="35">
        <f t="shared" si="260"/>
        <v>0</v>
      </c>
      <c r="AY214" s="38" t="s">
        <v>180</v>
      </c>
      <c r="AZ214" s="38" t="s">
        <v>662</v>
      </c>
      <c r="BA214" s="12" t="s">
        <v>225</v>
      </c>
      <c r="BC214" s="35">
        <f t="shared" si="261"/>
        <v>0</v>
      </c>
      <c r="BD214" s="35">
        <f t="shared" si="262"/>
        <v>0</v>
      </c>
      <c r="BE214" s="35">
        <v>0</v>
      </c>
      <c r="BF214" s="35">
        <f t="shared" si="263"/>
        <v>0</v>
      </c>
      <c r="BH214" s="35">
        <f t="shared" si="264"/>
        <v>0</v>
      </c>
      <c r="BI214" s="35">
        <f t="shared" si="265"/>
        <v>0</v>
      </c>
      <c r="BJ214" s="35">
        <f t="shared" si="266"/>
        <v>0</v>
      </c>
      <c r="BK214" s="38" t="s">
        <v>69</v>
      </c>
      <c r="BL214" s="35">
        <v>90</v>
      </c>
      <c r="BW214" s="35">
        <f t="shared" si="267"/>
        <v>21</v>
      </c>
      <c r="BX214" s="4" t="s">
        <v>666</v>
      </c>
    </row>
    <row r="215" spans="1:76" x14ac:dyDescent="0.25">
      <c r="A215" s="2" t="s">
        <v>667</v>
      </c>
      <c r="B215" s="3" t="s">
        <v>215</v>
      </c>
      <c r="C215" s="3" t="s">
        <v>660</v>
      </c>
      <c r="D215" s="70" t="s">
        <v>668</v>
      </c>
      <c r="E215" s="71"/>
      <c r="F215" s="3" t="s">
        <v>179</v>
      </c>
      <c r="G215" s="35">
        <v>72</v>
      </c>
      <c r="H215" s="68">
        <v>0</v>
      </c>
      <c r="I215" s="36">
        <v>21</v>
      </c>
      <c r="J215" s="35">
        <f t="shared" si="240"/>
        <v>0</v>
      </c>
      <c r="K215" s="35">
        <f t="shared" si="241"/>
        <v>0</v>
      </c>
      <c r="L215" s="35">
        <f t="shared" si="242"/>
        <v>0</v>
      </c>
      <c r="M215" s="35">
        <f t="shared" si="243"/>
        <v>0</v>
      </c>
      <c r="N215" s="35">
        <v>0</v>
      </c>
      <c r="O215" s="35">
        <f t="shared" si="244"/>
        <v>0</v>
      </c>
      <c r="P215" s="37" t="s">
        <v>64</v>
      </c>
      <c r="Z215" s="35">
        <f t="shared" si="245"/>
        <v>0</v>
      </c>
      <c r="AB215" s="35">
        <f t="shared" si="246"/>
        <v>0</v>
      </c>
      <c r="AC215" s="35">
        <f t="shared" si="247"/>
        <v>0</v>
      </c>
      <c r="AD215" s="35">
        <f t="shared" si="248"/>
        <v>0</v>
      </c>
      <c r="AE215" s="35">
        <f t="shared" si="249"/>
        <v>0</v>
      </c>
      <c r="AF215" s="35">
        <f t="shared" si="250"/>
        <v>0</v>
      </c>
      <c r="AG215" s="35">
        <f t="shared" si="251"/>
        <v>0</v>
      </c>
      <c r="AH215" s="35">
        <f t="shared" si="252"/>
        <v>0</v>
      </c>
      <c r="AI215" s="12" t="s">
        <v>215</v>
      </c>
      <c r="AJ215" s="35">
        <f t="shared" si="253"/>
        <v>0</v>
      </c>
      <c r="AK215" s="35">
        <f t="shared" si="254"/>
        <v>0</v>
      </c>
      <c r="AL215" s="35">
        <f t="shared" si="255"/>
        <v>0</v>
      </c>
      <c r="AN215" s="35">
        <v>21</v>
      </c>
      <c r="AO215" s="35">
        <f t="shared" si="256"/>
        <v>0</v>
      </c>
      <c r="AP215" s="35">
        <f t="shared" si="257"/>
        <v>0</v>
      </c>
      <c r="AQ215" s="38" t="s">
        <v>60</v>
      </c>
      <c r="AV215" s="35">
        <f t="shared" si="258"/>
        <v>0</v>
      </c>
      <c r="AW215" s="35">
        <f t="shared" si="259"/>
        <v>0</v>
      </c>
      <c r="AX215" s="35">
        <f t="shared" si="260"/>
        <v>0</v>
      </c>
      <c r="AY215" s="38" t="s">
        <v>180</v>
      </c>
      <c r="AZ215" s="38" t="s">
        <v>662</v>
      </c>
      <c r="BA215" s="12" t="s">
        <v>225</v>
      </c>
      <c r="BC215" s="35">
        <f t="shared" si="261"/>
        <v>0</v>
      </c>
      <c r="BD215" s="35">
        <f t="shared" si="262"/>
        <v>0</v>
      </c>
      <c r="BE215" s="35">
        <v>0</v>
      </c>
      <c r="BF215" s="35">
        <f t="shared" si="263"/>
        <v>0</v>
      </c>
      <c r="BH215" s="35">
        <f t="shared" si="264"/>
        <v>0</v>
      </c>
      <c r="BI215" s="35">
        <f t="shared" si="265"/>
        <v>0</v>
      </c>
      <c r="BJ215" s="35">
        <f t="shared" si="266"/>
        <v>0</v>
      </c>
      <c r="BK215" s="38" t="s">
        <v>69</v>
      </c>
      <c r="BL215" s="35">
        <v>90</v>
      </c>
      <c r="BW215" s="35">
        <f t="shared" si="267"/>
        <v>21</v>
      </c>
      <c r="BX215" s="4" t="s">
        <v>668</v>
      </c>
    </row>
    <row r="216" spans="1:76" x14ac:dyDescent="0.25">
      <c r="A216" s="2" t="s">
        <v>669</v>
      </c>
      <c r="B216" s="3" t="s">
        <v>215</v>
      </c>
      <c r="C216" s="3" t="s">
        <v>660</v>
      </c>
      <c r="D216" s="70" t="s">
        <v>670</v>
      </c>
      <c r="E216" s="71"/>
      <c r="F216" s="3" t="s">
        <v>179</v>
      </c>
      <c r="G216" s="35">
        <v>64</v>
      </c>
      <c r="H216" s="68">
        <v>0</v>
      </c>
      <c r="I216" s="36">
        <v>21</v>
      </c>
      <c r="J216" s="35">
        <f t="shared" si="240"/>
        <v>0</v>
      </c>
      <c r="K216" s="35">
        <f t="shared" si="241"/>
        <v>0</v>
      </c>
      <c r="L216" s="35">
        <f t="shared" si="242"/>
        <v>0</v>
      </c>
      <c r="M216" s="35">
        <f t="shared" si="243"/>
        <v>0</v>
      </c>
      <c r="N216" s="35">
        <v>0</v>
      </c>
      <c r="O216" s="35">
        <f t="shared" si="244"/>
        <v>0</v>
      </c>
      <c r="P216" s="37" t="s">
        <v>64</v>
      </c>
      <c r="Z216" s="35">
        <f t="shared" si="245"/>
        <v>0</v>
      </c>
      <c r="AB216" s="35">
        <f t="shared" si="246"/>
        <v>0</v>
      </c>
      <c r="AC216" s="35">
        <f t="shared" si="247"/>
        <v>0</v>
      </c>
      <c r="AD216" s="35">
        <f t="shared" si="248"/>
        <v>0</v>
      </c>
      <c r="AE216" s="35">
        <f t="shared" si="249"/>
        <v>0</v>
      </c>
      <c r="AF216" s="35">
        <f t="shared" si="250"/>
        <v>0</v>
      </c>
      <c r="AG216" s="35">
        <f t="shared" si="251"/>
        <v>0</v>
      </c>
      <c r="AH216" s="35">
        <f t="shared" si="252"/>
        <v>0</v>
      </c>
      <c r="AI216" s="12" t="s">
        <v>215</v>
      </c>
      <c r="AJ216" s="35">
        <f t="shared" si="253"/>
        <v>0</v>
      </c>
      <c r="AK216" s="35">
        <f t="shared" si="254"/>
        <v>0</v>
      </c>
      <c r="AL216" s="35">
        <f t="shared" si="255"/>
        <v>0</v>
      </c>
      <c r="AN216" s="35">
        <v>21</v>
      </c>
      <c r="AO216" s="35">
        <f t="shared" si="256"/>
        <v>0</v>
      </c>
      <c r="AP216" s="35">
        <f t="shared" si="257"/>
        <v>0</v>
      </c>
      <c r="AQ216" s="38" t="s">
        <v>60</v>
      </c>
      <c r="AV216" s="35">
        <f t="shared" si="258"/>
        <v>0</v>
      </c>
      <c r="AW216" s="35">
        <f t="shared" si="259"/>
        <v>0</v>
      </c>
      <c r="AX216" s="35">
        <f t="shared" si="260"/>
        <v>0</v>
      </c>
      <c r="AY216" s="38" t="s">
        <v>180</v>
      </c>
      <c r="AZ216" s="38" t="s">
        <v>662</v>
      </c>
      <c r="BA216" s="12" t="s">
        <v>225</v>
      </c>
      <c r="BC216" s="35">
        <f t="shared" si="261"/>
        <v>0</v>
      </c>
      <c r="BD216" s="35">
        <f t="shared" si="262"/>
        <v>0</v>
      </c>
      <c r="BE216" s="35">
        <v>0</v>
      </c>
      <c r="BF216" s="35">
        <f t="shared" si="263"/>
        <v>0</v>
      </c>
      <c r="BH216" s="35">
        <f t="shared" si="264"/>
        <v>0</v>
      </c>
      <c r="BI216" s="35">
        <f t="shared" si="265"/>
        <v>0</v>
      </c>
      <c r="BJ216" s="35">
        <f t="shared" si="266"/>
        <v>0</v>
      </c>
      <c r="BK216" s="38" t="s">
        <v>69</v>
      </c>
      <c r="BL216" s="35">
        <v>90</v>
      </c>
      <c r="BW216" s="35">
        <f t="shared" si="267"/>
        <v>21</v>
      </c>
      <c r="BX216" s="4" t="s">
        <v>670</v>
      </c>
    </row>
    <row r="217" spans="1:76" x14ac:dyDescent="0.25">
      <c r="A217" s="2" t="s">
        <v>671</v>
      </c>
      <c r="B217" s="3" t="s">
        <v>215</v>
      </c>
      <c r="C217" s="3" t="s">
        <v>672</v>
      </c>
      <c r="D217" s="70" t="s">
        <v>673</v>
      </c>
      <c r="E217" s="71"/>
      <c r="F217" s="3" t="s">
        <v>179</v>
      </c>
      <c r="G217" s="35">
        <v>30</v>
      </c>
      <c r="H217" s="68">
        <v>0</v>
      </c>
      <c r="I217" s="36">
        <v>21</v>
      </c>
      <c r="J217" s="35">
        <f t="shared" si="240"/>
        <v>0</v>
      </c>
      <c r="K217" s="35">
        <f t="shared" si="241"/>
        <v>0</v>
      </c>
      <c r="L217" s="35">
        <f t="shared" si="242"/>
        <v>0</v>
      </c>
      <c r="M217" s="35">
        <f t="shared" si="243"/>
        <v>0</v>
      </c>
      <c r="N217" s="35">
        <v>0</v>
      </c>
      <c r="O217" s="35">
        <f t="shared" si="244"/>
        <v>0</v>
      </c>
      <c r="P217" s="37" t="s">
        <v>64</v>
      </c>
      <c r="Z217" s="35">
        <f t="shared" si="245"/>
        <v>0</v>
      </c>
      <c r="AB217" s="35">
        <f t="shared" si="246"/>
        <v>0</v>
      </c>
      <c r="AC217" s="35">
        <f t="shared" si="247"/>
        <v>0</v>
      </c>
      <c r="AD217" s="35">
        <f t="shared" si="248"/>
        <v>0</v>
      </c>
      <c r="AE217" s="35">
        <f t="shared" si="249"/>
        <v>0</v>
      </c>
      <c r="AF217" s="35">
        <f t="shared" si="250"/>
        <v>0</v>
      </c>
      <c r="AG217" s="35">
        <f t="shared" si="251"/>
        <v>0</v>
      </c>
      <c r="AH217" s="35">
        <f t="shared" si="252"/>
        <v>0</v>
      </c>
      <c r="AI217" s="12" t="s">
        <v>215</v>
      </c>
      <c r="AJ217" s="35">
        <f t="shared" si="253"/>
        <v>0</v>
      </c>
      <c r="AK217" s="35">
        <f t="shared" si="254"/>
        <v>0</v>
      </c>
      <c r="AL217" s="35">
        <f t="shared" si="255"/>
        <v>0</v>
      </c>
      <c r="AN217" s="35">
        <v>21</v>
      </c>
      <c r="AO217" s="35">
        <f t="shared" si="256"/>
        <v>0</v>
      </c>
      <c r="AP217" s="35">
        <f t="shared" si="257"/>
        <v>0</v>
      </c>
      <c r="AQ217" s="38" t="s">
        <v>60</v>
      </c>
      <c r="AV217" s="35">
        <f t="shared" si="258"/>
        <v>0</v>
      </c>
      <c r="AW217" s="35">
        <f t="shared" si="259"/>
        <v>0</v>
      </c>
      <c r="AX217" s="35">
        <f t="shared" si="260"/>
        <v>0</v>
      </c>
      <c r="AY217" s="38" t="s">
        <v>180</v>
      </c>
      <c r="AZ217" s="38" t="s">
        <v>662</v>
      </c>
      <c r="BA217" s="12" t="s">
        <v>225</v>
      </c>
      <c r="BC217" s="35">
        <f t="shared" si="261"/>
        <v>0</v>
      </c>
      <c r="BD217" s="35">
        <f t="shared" si="262"/>
        <v>0</v>
      </c>
      <c r="BE217" s="35">
        <v>0</v>
      </c>
      <c r="BF217" s="35">
        <f t="shared" si="263"/>
        <v>0</v>
      </c>
      <c r="BH217" s="35">
        <f t="shared" si="264"/>
        <v>0</v>
      </c>
      <c r="BI217" s="35">
        <f t="shared" si="265"/>
        <v>0</v>
      </c>
      <c r="BJ217" s="35">
        <f t="shared" si="266"/>
        <v>0</v>
      </c>
      <c r="BK217" s="38" t="s">
        <v>69</v>
      </c>
      <c r="BL217" s="35">
        <v>90</v>
      </c>
      <c r="BW217" s="35">
        <f t="shared" si="267"/>
        <v>21</v>
      </c>
      <c r="BX217" s="4" t="s">
        <v>673</v>
      </c>
    </row>
    <row r="218" spans="1:76" x14ac:dyDescent="0.25">
      <c r="A218" s="2" t="s">
        <v>674</v>
      </c>
      <c r="B218" s="3" t="s">
        <v>215</v>
      </c>
      <c r="C218" s="3" t="s">
        <v>675</v>
      </c>
      <c r="D218" s="70" t="s">
        <v>676</v>
      </c>
      <c r="E218" s="71"/>
      <c r="F218" s="3" t="s">
        <v>179</v>
      </c>
      <c r="G218" s="35">
        <v>36</v>
      </c>
      <c r="H218" s="68">
        <v>0</v>
      </c>
      <c r="I218" s="36">
        <v>21</v>
      </c>
      <c r="J218" s="35">
        <f t="shared" si="240"/>
        <v>0</v>
      </c>
      <c r="K218" s="35">
        <f t="shared" si="241"/>
        <v>0</v>
      </c>
      <c r="L218" s="35">
        <f t="shared" si="242"/>
        <v>0</v>
      </c>
      <c r="M218" s="35">
        <f t="shared" si="243"/>
        <v>0</v>
      </c>
      <c r="N218" s="35">
        <v>0</v>
      </c>
      <c r="O218" s="35">
        <f t="shared" si="244"/>
        <v>0</v>
      </c>
      <c r="P218" s="37" t="s">
        <v>64</v>
      </c>
      <c r="Z218" s="35">
        <f t="shared" si="245"/>
        <v>0</v>
      </c>
      <c r="AB218" s="35">
        <f t="shared" si="246"/>
        <v>0</v>
      </c>
      <c r="AC218" s="35">
        <f t="shared" si="247"/>
        <v>0</v>
      </c>
      <c r="AD218" s="35">
        <f t="shared" si="248"/>
        <v>0</v>
      </c>
      <c r="AE218" s="35">
        <f t="shared" si="249"/>
        <v>0</v>
      </c>
      <c r="AF218" s="35">
        <f t="shared" si="250"/>
        <v>0</v>
      </c>
      <c r="AG218" s="35">
        <f t="shared" si="251"/>
        <v>0</v>
      </c>
      <c r="AH218" s="35">
        <f t="shared" si="252"/>
        <v>0</v>
      </c>
      <c r="AI218" s="12" t="s">
        <v>215</v>
      </c>
      <c r="AJ218" s="35">
        <f t="shared" si="253"/>
        <v>0</v>
      </c>
      <c r="AK218" s="35">
        <f t="shared" si="254"/>
        <v>0</v>
      </c>
      <c r="AL218" s="35">
        <f t="shared" si="255"/>
        <v>0</v>
      </c>
      <c r="AN218" s="35">
        <v>21</v>
      </c>
      <c r="AO218" s="35">
        <f t="shared" si="256"/>
        <v>0</v>
      </c>
      <c r="AP218" s="35">
        <f t="shared" si="257"/>
        <v>0</v>
      </c>
      <c r="AQ218" s="38" t="s">
        <v>60</v>
      </c>
      <c r="AV218" s="35">
        <f t="shared" si="258"/>
        <v>0</v>
      </c>
      <c r="AW218" s="35">
        <f t="shared" si="259"/>
        <v>0</v>
      </c>
      <c r="AX218" s="35">
        <f t="shared" si="260"/>
        <v>0</v>
      </c>
      <c r="AY218" s="38" t="s">
        <v>180</v>
      </c>
      <c r="AZ218" s="38" t="s">
        <v>662</v>
      </c>
      <c r="BA218" s="12" t="s">
        <v>225</v>
      </c>
      <c r="BC218" s="35">
        <f t="shared" si="261"/>
        <v>0</v>
      </c>
      <c r="BD218" s="35">
        <f t="shared" si="262"/>
        <v>0</v>
      </c>
      <c r="BE218" s="35">
        <v>0</v>
      </c>
      <c r="BF218" s="35">
        <f t="shared" si="263"/>
        <v>0</v>
      </c>
      <c r="BH218" s="35">
        <f t="shared" si="264"/>
        <v>0</v>
      </c>
      <c r="BI218" s="35">
        <f t="shared" si="265"/>
        <v>0</v>
      </c>
      <c r="BJ218" s="35">
        <f t="shared" si="266"/>
        <v>0</v>
      </c>
      <c r="BK218" s="38" t="s">
        <v>69</v>
      </c>
      <c r="BL218" s="35">
        <v>90</v>
      </c>
      <c r="BW218" s="35">
        <f t="shared" si="267"/>
        <v>21</v>
      </c>
      <c r="BX218" s="4" t="s">
        <v>676</v>
      </c>
    </row>
    <row r="219" spans="1:76" x14ac:dyDescent="0.25">
      <c r="A219" s="2" t="s">
        <v>677</v>
      </c>
      <c r="B219" s="3" t="s">
        <v>215</v>
      </c>
      <c r="C219" s="3" t="s">
        <v>678</v>
      </c>
      <c r="D219" s="70" t="s">
        <v>679</v>
      </c>
      <c r="E219" s="71"/>
      <c r="F219" s="3" t="s">
        <v>179</v>
      </c>
      <c r="G219" s="35">
        <v>72</v>
      </c>
      <c r="H219" s="68">
        <v>0</v>
      </c>
      <c r="I219" s="36">
        <v>21</v>
      </c>
      <c r="J219" s="35">
        <f t="shared" si="240"/>
        <v>0</v>
      </c>
      <c r="K219" s="35">
        <f t="shared" si="241"/>
        <v>0</v>
      </c>
      <c r="L219" s="35">
        <f t="shared" si="242"/>
        <v>0</v>
      </c>
      <c r="M219" s="35">
        <f t="shared" si="243"/>
        <v>0</v>
      </c>
      <c r="N219" s="35">
        <v>0</v>
      </c>
      <c r="O219" s="35">
        <f t="shared" si="244"/>
        <v>0</v>
      </c>
      <c r="P219" s="37" t="s">
        <v>64</v>
      </c>
      <c r="Z219" s="35">
        <f t="shared" si="245"/>
        <v>0</v>
      </c>
      <c r="AB219" s="35">
        <f t="shared" si="246"/>
        <v>0</v>
      </c>
      <c r="AC219" s="35">
        <f t="shared" si="247"/>
        <v>0</v>
      </c>
      <c r="AD219" s="35">
        <f t="shared" si="248"/>
        <v>0</v>
      </c>
      <c r="AE219" s="35">
        <f t="shared" si="249"/>
        <v>0</v>
      </c>
      <c r="AF219" s="35">
        <f t="shared" si="250"/>
        <v>0</v>
      </c>
      <c r="AG219" s="35">
        <f t="shared" si="251"/>
        <v>0</v>
      </c>
      <c r="AH219" s="35">
        <f t="shared" si="252"/>
        <v>0</v>
      </c>
      <c r="AI219" s="12" t="s">
        <v>215</v>
      </c>
      <c r="AJ219" s="35">
        <f t="shared" si="253"/>
        <v>0</v>
      </c>
      <c r="AK219" s="35">
        <f t="shared" si="254"/>
        <v>0</v>
      </c>
      <c r="AL219" s="35">
        <f t="shared" si="255"/>
        <v>0</v>
      </c>
      <c r="AN219" s="35">
        <v>21</v>
      </c>
      <c r="AO219" s="35">
        <f t="shared" si="256"/>
        <v>0</v>
      </c>
      <c r="AP219" s="35">
        <f t="shared" si="257"/>
        <v>0</v>
      </c>
      <c r="AQ219" s="38" t="s">
        <v>60</v>
      </c>
      <c r="AV219" s="35">
        <f t="shared" si="258"/>
        <v>0</v>
      </c>
      <c r="AW219" s="35">
        <f t="shared" si="259"/>
        <v>0</v>
      </c>
      <c r="AX219" s="35">
        <f t="shared" si="260"/>
        <v>0</v>
      </c>
      <c r="AY219" s="38" t="s">
        <v>180</v>
      </c>
      <c r="AZ219" s="38" t="s">
        <v>662</v>
      </c>
      <c r="BA219" s="12" t="s">
        <v>225</v>
      </c>
      <c r="BC219" s="35">
        <f t="shared" si="261"/>
        <v>0</v>
      </c>
      <c r="BD219" s="35">
        <f t="shared" si="262"/>
        <v>0</v>
      </c>
      <c r="BE219" s="35">
        <v>0</v>
      </c>
      <c r="BF219" s="35">
        <f t="shared" si="263"/>
        <v>0</v>
      </c>
      <c r="BH219" s="35">
        <f t="shared" si="264"/>
        <v>0</v>
      </c>
      <c r="BI219" s="35">
        <f t="shared" si="265"/>
        <v>0</v>
      </c>
      <c r="BJ219" s="35">
        <f t="shared" si="266"/>
        <v>0</v>
      </c>
      <c r="BK219" s="38" t="s">
        <v>69</v>
      </c>
      <c r="BL219" s="35">
        <v>90</v>
      </c>
      <c r="BW219" s="35">
        <f t="shared" si="267"/>
        <v>21</v>
      </c>
      <c r="BX219" s="4" t="s">
        <v>679</v>
      </c>
    </row>
    <row r="220" spans="1:76" x14ac:dyDescent="0.25">
      <c r="A220" s="31" t="s">
        <v>55</v>
      </c>
      <c r="B220" s="32" t="s">
        <v>215</v>
      </c>
      <c r="C220" s="32" t="s">
        <v>385</v>
      </c>
      <c r="D220" s="128" t="s">
        <v>680</v>
      </c>
      <c r="E220" s="129"/>
      <c r="F220" s="33" t="s">
        <v>4</v>
      </c>
      <c r="G220" s="33" t="s">
        <v>4</v>
      </c>
      <c r="H220" s="33" t="s">
        <v>4</v>
      </c>
      <c r="I220" s="33" t="s">
        <v>4</v>
      </c>
      <c r="J220" s="1">
        <f>SUM(J221:J221)</f>
        <v>0</v>
      </c>
      <c r="K220" s="1">
        <f>SUM(K221:K221)</f>
        <v>0</v>
      </c>
      <c r="L220" s="1">
        <f>SUM(L221:L221)</f>
        <v>0</v>
      </c>
      <c r="M220" s="1">
        <f>SUM(M221:M221)</f>
        <v>0</v>
      </c>
      <c r="N220" s="12" t="s">
        <v>55</v>
      </c>
      <c r="O220" s="1">
        <f>SUM(O221:O221)</f>
        <v>9.4799999999999995E-2</v>
      </c>
      <c r="P220" s="34" t="s">
        <v>55</v>
      </c>
      <c r="AI220" s="12" t="s">
        <v>215</v>
      </c>
      <c r="AS220" s="1">
        <f>SUM(AJ221:AJ221)</f>
        <v>0</v>
      </c>
      <c r="AT220" s="1">
        <f>SUM(AK221:AK221)</f>
        <v>0</v>
      </c>
      <c r="AU220" s="1">
        <f>SUM(AL221:AL221)</f>
        <v>0</v>
      </c>
    </row>
    <row r="221" spans="1:76" x14ac:dyDescent="0.25">
      <c r="A221" s="2" t="s">
        <v>681</v>
      </c>
      <c r="B221" s="3" t="s">
        <v>215</v>
      </c>
      <c r="C221" s="3" t="s">
        <v>682</v>
      </c>
      <c r="D221" s="70" t="s">
        <v>683</v>
      </c>
      <c r="E221" s="71"/>
      <c r="F221" s="3" t="s">
        <v>222</v>
      </c>
      <c r="G221" s="35">
        <v>60</v>
      </c>
      <c r="H221" s="68">
        <v>0</v>
      </c>
      <c r="I221" s="36">
        <v>21</v>
      </c>
      <c r="J221" s="35">
        <f>ROUND(G221*AO221,2)</f>
        <v>0</v>
      </c>
      <c r="K221" s="35">
        <f>ROUND(G221*AP221,2)</f>
        <v>0</v>
      </c>
      <c r="L221" s="35">
        <f>ROUND(G221*H221,2)</f>
        <v>0</v>
      </c>
      <c r="M221" s="35">
        <f>L221*(1+BW221/100)</f>
        <v>0</v>
      </c>
      <c r="N221" s="35">
        <v>1.58E-3</v>
      </c>
      <c r="O221" s="35">
        <f>G221*N221</f>
        <v>9.4799999999999995E-2</v>
      </c>
      <c r="P221" s="37" t="s">
        <v>64</v>
      </c>
      <c r="Z221" s="35">
        <f>ROUND(IF(AQ221="5",BJ221,0),2)</f>
        <v>0</v>
      </c>
      <c r="AB221" s="35">
        <f>ROUND(IF(AQ221="1",BH221,0),2)</f>
        <v>0</v>
      </c>
      <c r="AC221" s="35">
        <f>ROUND(IF(AQ221="1",BI221,0),2)</f>
        <v>0</v>
      </c>
      <c r="AD221" s="35">
        <f>ROUND(IF(AQ221="7",BH221,0),2)</f>
        <v>0</v>
      </c>
      <c r="AE221" s="35">
        <f>ROUND(IF(AQ221="7",BI221,0),2)</f>
        <v>0</v>
      </c>
      <c r="AF221" s="35">
        <f>ROUND(IF(AQ221="2",BH221,0),2)</f>
        <v>0</v>
      </c>
      <c r="AG221" s="35">
        <f>ROUND(IF(AQ221="2",BI221,0),2)</f>
        <v>0</v>
      </c>
      <c r="AH221" s="35">
        <f>ROUND(IF(AQ221="0",BJ221,0),2)</f>
        <v>0</v>
      </c>
      <c r="AI221" s="12" t="s">
        <v>215</v>
      </c>
      <c r="AJ221" s="35">
        <f>IF(AN221=0,L221,0)</f>
        <v>0</v>
      </c>
      <c r="AK221" s="35">
        <f>IF(AN221=15,L221,0)</f>
        <v>0</v>
      </c>
      <c r="AL221" s="35">
        <f>IF(AN221=21,L221,0)</f>
        <v>0</v>
      </c>
      <c r="AN221" s="35">
        <v>21</v>
      </c>
      <c r="AO221" s="35">
        <f>H221*0.334582278</f>
        <v>0</v>
      </c>
      <c r="AP221" s="35">
        <f>H221*(1-0.334582278)</f>
        <v>0</v>
      </c>
      <c r="AQ221" s="38" t="s">
        <v>60</v>
      </c>
      <c r="AV221" s="35">
        <f>ROUND(AW221+AX221,2)</f>
        <v>0</v>
      </c>
      <c r="AW221" s="35">
        <f>ROUND(G221*AO221,2)</f>
        <v>0</v>
      </c>
      <c r="AX221" s="35">
        <f>ROUND(G221*AP221,2)</f>
        <v>0</v>
      </c>
      <c r="AY221" s="38" t="s">
        <v>684</v>
      </c>
      <c r="AZ221" s="38" t="s">
        <v>662</v>
      </c>
      <c r="BA221" s="12" t="s">
        <v>225</v>
      </c>
      <c r="BC221" s="35">
        <f>AW221+AX221</f>
        <v>0</v>
      </c>
      <c r="BD221" s="35">
        <f>H221/(100-BE221)*100</f>
        <v>0</v>
      </c>
      <c r="BE221" s="35">
        <v>0</v>
      </c>
      <c r="BF221" s="35">
        <f>O221</f>
        <v>9.4799999999999995E-2</v>
      </c>
      <c r="BH221" s="35">
        <f>G221*AO221</f>
        <v>0</v>
      </c>
      <c r="BI221" s="35">
        <f>G221*AP221</f>
        <v>0</v>
      </c>
      <c r="BJ221" s="35">
        <f>G221*H221</f>
        <v>0</v>
      </c>
      <c r="BK221" s="38" t="s">
        <v>69</v>
      </c>
      <c r="BL221" s="35">
        <v>94</v>
      </c>
      <c r="BW221" s="35">
        <f>I221</f>
        <v>21</v>
      </c>
      <c r="BX221" s="4" t="s">
        <v>683</v>
      </c>
    </row>
    <row r="222" spans="1:76" x14ac:dyDescent="0.25">
      <c r="A222" s="31" t="s">
        <v>55</v>
      </c>
      <c r="B222" s="32" t="s">
        <v>215</v>
      </c>
      <c r="C222" s="32" t="s">
        <v>685</v>
      </c>
      <c r="D222" s="128" t="s">
        <v>686</v>
      </c>
      <c r="E222" s="129"/>
      <c r="F222" s="33" t="s">
        <v>4</v>
      </c>
      <c r="G222" s="33" t="s">
        <v>4</v>
      </c>
      <c r="H222" s="33" t="s">
        <v>4</v>
      </c>
      <c r="I222" s="33" t="s">
        <v>4</v>
      </c>
      <c r="J222" s="1">
        <f>SUM(J223:J223)</f>
        <v>0</v>
      </c>
      <c r="K222" s="1">
        <f>SUM(K223:K223)</f>
        <v>0</v>
      </c>
      <c r="L222" s="1">
        <f>SUM(L223:L223)</f>
        <v>0</v>
      </c>
      <c r="M222" s="1">
        <f>SUM(M223:M223)</f>
        <v>0</v>
      </c>
      <c r="N222" s="12" t="s">
        <v>55</v>
      </c>
      <c r="O222" s="1">
        <f>SUM(O223:O223)</f>
        <v>0</v>
      </c>
      <c r="P222" s="34" t="s">
        <v>55</v>
      </c>
      <c r="AI222" s="12" t="s">
        <v>215</v>
      </c>
      <c r="AS222" s="1">
        <f>SUM(AJ223:AJ223)</f>
        <v>0</v>
      </c>
      <c r="AT222" s="1">
        <f>SUM(AK223:AK223)</f>
        <v>0</v>
      </c>
      <c r="AU222" s="1">
        <f>SUM(AL223:AL223)</f>
        <v>0</v>
      </c>
    </row>
    <row r="223" spans="1:76" x14ac:dyDescent="0.25">
      <c r="A223" s="2" t="s">
        <v>687</v>
      </c>
      <c r="B223" s="3" t="s">
        <v>215</v>
      </c>
      <c r="C223" s="3" t="s">
        <v>688</v>
      </c>
      <c r="D223" s="70" t="s">
        <v>689</v>
      </c>
      <c r="E223" s="71"/>
      <c r="F223" s="3" t="s">
        <v>155</v>
      </c>
      <c r="G223" s="35">
        <v>1</v>
      </c>
      <c r="H223" s="68">
        <v>0</v>
      </c>
      <c r="I223" s="36">
        <v>21</v>
      </c>
      <c r="J223" s="35">
        <f>ROUND(G223*AO223,2)</f>
        <v>0</v>
      </c>
      <c r="K223" s="35">
        <f>ROUND(G223*AP223,2)</f>
        <v>0</v>
      </c>
      <c r="L223" s="35">
        <f>ROUND(G223*H223,2)</f>
        <v>0</v>
      </c>
      <c r="M223" s="35">
        <f>L223*(1+BW223/100)</f>
        <v>0</v>
      </c>
      <c r="N223" s="35">
        <v>0</v>
      </c>
      <c r="O223" s="35">
        <f>G223*N223</f>
        <v>0</v>
      </c>
      <c r="P223" s="37" t="s">
        <v>64</v>
      </c>
      <c r="Z223" s="35">
        <f>ROUND(IF(AQ223="5",BJ223,0),2)</f>
        <v>0</v>
      </c>
      <c r="AB223" s="35">
        <f>ROUND(IF(AQ223="1",BH223,0),2)</f>
        <v>0</v>
      </c>
      <c r="AC223" s="35">
        <f>ROUND(IF(AQ223="1",BI223,0),2)</f>
        <v>0</v>
      </c>
      <c r="AD223" s="35">
        <f>ROUND(IF(AQ223="7",BH223,0),2)</f>
        <v>0</v>
      </c>
      <c r="AE223" s="35">
        <f>ROUND(IF(AQ223="7",BI223,0),2)</f>
        <v>0</v>
      </c>
      <c r="AF223" s="35">
        <f>ROUND(IF(AQ223="2",BH223,0),2)</f>
        <v>0</v>
      </c>
      <c r="AG223" s="35">
        <f>ROUND(IF(AQ223="2",BI223,0),2)</f>
        <v>0</v>
      </c>
      <c r="AH223" s="35">
        <f>ROUND(IF(AQ223="0",BJ223,0),2)</f>
        <v>0</v>
      </c>
      <c r="AI223" s="12" t="s">
        <v>215</v>
      </c>
      <c r="AJ223" s="35">
        <f>IF(AN223=0,L223,0)</f>
        <v>0</v>
      </c>
      <c r="AK223" s="35">
        <f>IF(AN223=15,L223,0)</f>
        <v>0</v>
      </c>
      <c r="AL223" s="35">
        <f>IF(AN223=21,L223,0)</f>
        <v>0</v>
      </c>
      <c r="AN223" s="35">
        <v>21</v>
      </c>
      <c r="AO223" s="35">
        <f>H223*0</f>
        <v>0</v>
      </c>
      <c r="AP223" s="35">
        <f>H223*(1-0)</f>
        <v>0</v>
      </c>
      <c r="AQ223" s="38" t="s">
        <v>60</v>
      </c>
      <c r="AV223" s="35">
        <f>ROUND(AW223+AX223,2)</f>
        <v>0</v>
      </c>
      <c r="AW223" s="35">
        <f>ROUND(G223*AO223,2)</f>
        <v>0</v>
      </c>
      <c r="AX223" s="35">
        <f>ROUND(G223*AP223,2)</f>
        <v>0</v>
      </c>
      <c r="AY223" s="38" t="s">
        <v>690</v>
      </c>
      <c r="AZ223" s="38" t="s">
        <v>662</v>
      </c>
      <c r="BA223" s="12" t="s">
        <v>225</v>
      </c>
      <c r="BC223" s="35">
        <f>AW223+AX223</f>
        <v>0</v>
      </c>
      <c r="BD223" s="35">
        <f>H223/(100-BE223)*100</f>
        <v>0</v>
      </c>
      <c r="BE223" s="35">
        <v>0</v>
      </c>
      <c r="BF223" s="35">
        <f>O223</f>
        <v>0</v>
      </c>
      <c r="BH223" s="35">
        <f>G223*AO223</f>
        <v>0</v>
      </c>
      <c r="BI223" s="35">
        <f>G223*AP223</f>
        <v>0</v>
      </c>
      <c r="BJ223" s="35">
        <f>G223*H223</f>
        <v>0</v>
      </c>
      <c r="BK223" s="38" t="s">
        <v>69</v>
      </c>
      <c r="BL223" s="35"/>
      <c r="BW223" s="35">
        <f>I223</f>
        <v>21</v>
      </c>
      <c r="BX223" s="4" t="s">
        <v>689</v>
      </c>
    </row>
    <row r="224" spans="1:76" x14ac:dyDescent="0.25">
      <c r="A224" s="31" t="s">
        <v>55</v>
      </c>
      <c r="B224" s="32" t="s">
        <v>215</v>
      </c>
      <c r="C224" s="32" t="s">
        <v>691</v>
      </c>
      <c r="D224" s="128" t="s">
        <v>359</v>
      </c>
      <c r="E224" s="129"/>
      <c r="F224" s="33" t="s">
        <v>4</v>
      </c>
      <c r="G224" s="33" t="s">
        <v>4</v>
      </c>
      <c r="H224" s="33" t="s">
        <v>4</v>
      </c>
      <c r="I224" s="33" t="s">
        <v>4</v>
      </c>
      <c r="J224" s="1">
        <f>SUM(J225:J225)</f>
        <v>0</v>
      </c>
      <c r="K224" s="1">
        <f>SUM(K225:K225)</f>
        <v>0</v>
      </c>
      <c r="L224" s="1">
        <f>SUM(L225:L225)</f>
        <v>0</v>
      </c>
      <c r="M224" s="1">
        <f>SUM(M225:M225)</f>
        <v>0</v>
      </c>
      <c r="N224" s="12" t="s">
        <v>55</v>
      </c>
      <c r="O224" s="1">
        <f>SUM(O225:O225)</f>
        <v>0</v>
      </c>
      <c r="P224" s="34" t="s">
        <v>55</v>
      </c>
      <c r="AI224" s="12" t="s">
        <v>215</v>
      </c>
      <c r="AS224" s="1">
        <f>SUM(AJ225:AJ225)</f>
        <v>0</v>
      </c>
      <c r="AT224" s="1">
        <f>SUM(AK225:AK225)</f>
        <v>0</v>
      </c>
      <c r="AU224" s="1">
        <f>SUM(AL225:AL225)</f>
        <v>0</v>
      </c>
    </row>
    <row r="225" spans="1:76" x14ac:dyDescent="0.25">
      <c r="A225" s="2" t="s">
        <v>692</v>
      </c>
      <c r="B225" s="3" t="s">
        <v>215</v>
      </c>
      <c r="C225" s="3" t="s">
        <v>693</v>
      </c>
      <c r="D225" s="70" t="s">
        <v>694</v>
      </c>
      <c r="E225" s="71"/>
      <c r="F225" s="3" t="s">
        <v>190</v>
      </c>
      <c r="G225" s="68">
        <v>0</v>
      </c>
      <c r="H225" s="35">
        <v>5.6</v>
      </c>
      <c r="I225" s="36">
        <v>21</v>
      </c>
      <c r="J225" s="35">
        <f>ROUND(G225*AO225,2)</f>
        <v>0</v>
      </c>
      <c r="K225" s="35">
        <f>ROUND(G225*AP225,2)</f>
        <v>0</v>
      </c>
      <c r="L225" s="35">
        <f>ROUND(G225*H225,2)</f>
        <v>0</v>
      </c>
      <c r="M225" s="35">
        <f>L225*(1+BW225/100)</f>
        <v>0</v>
      </c>
      <c r="N225" s="35">
        <v>0</v>
      </c>
      <c r="O225" s="35">
        <f>G225*N225</f>
        <v>0</v>
      </c>
      <c r="P225" s="37" t="s">
        <v>64</v>
      </c>
      <c r="Z225" s="35">
        <f>ROUND(IF(AQ225="5",BJ225,0),2)</f>
        <v>0</v>
      </c>
      <c r="AB225" s="35">
        <f>ROUND(IF(AQ225="1",BH225,0),2)</f>
        <v>0</v>
      </c>
      <c r="AC225" s="35">
        <f>ROUND(IF(AQ225="1",BI225,0),2)</f>
        <v>0</v>
      </c>
      <c r="AD225" s="35">
        <f>ROUND(IF(AQ225="7",BH225,0),2)</f>
        <v>0</v>
      </c>
      <c r="AE225" s="35">
        <f>ROUND(IF(AQ225="7",BI225,0),2)</f>
        <v>0</v>
      </c>
      <c r="AF225" s="35">
        <f>ROUND(IF(AQ225="2",BH225,0),2)</f>
        <v>0</v>
      </c>
      <c r="AG225" s="35">
        <f>ROUND(IF(AQ225="2",BI225,0),2)</f>
        <v>0</v>
      </c>
      <c r="AH225" s="35">
        <f>ROUND(IF(AQ225="0",BJ225,0),2)</f>
        <v>0</v>
      </c>
      <c r="AI225" s="12" t="s">
        <v>215</v>
      </c>
      <c r="AJ225" s="35">
        <f>IF(AN225=0,L225,0)</f>
        <v>0</v>
      </c>
      <c r="AK225" s="35">
        <f>IF(AN225=15,L225,0)</f>
        <v>0</v>
      </c>
      <c r="AL225" s="35">
        <f>IF(AN225=21,L225,0)</f>
        <v>0</v>
      </c>
      <c r="AN225" s="35">
        <v>21</v>
      </c>
      <c r="AO225" s="35">
        <f>H225*0</f>
        <v>0</v>
      </c>
      <c r="AP225" s="35">
        <f>H225*(1-0)</f>
        <v>5.6</v>
      </c>
      <c r="AQ225" s="38" t="s">
        <v>79</v>
      </c>
      <c r="AV225" s="35">
        <f>ROUND(AW225+AX225,2)</f>
        <v>0</v>
      </c>
      <c r="AW225" s="35">
        <f>ROUND(G225*AO225,2)</f>
        <v>0</v>
      </c>
      <c r="AX225" s="35">
        <f>ROUND(G225*AP225,2)</f>
        <v>0</v>
      </c>
      <c r="AY225" s="38" t="s">
        <v>695</v>
      </c>
      <c r="AZ225" s="38" t="s">
        <v>662</v>
      </c>
      <c r="BA225" s="12" t="s">
        <v>225</v>
      </c>
      <c r="BC225" s="35">
        <f>AW225+AX225</f>
        <v>0</v>
      </c>
      <c r="BD225" s="35">
        <f>H225/(100-BE225)*100</f>
        <v>5.6</v>
      </c>
      <c r="BE225" s="35">
        <v>0</v>
      </c>
      <c r="BF225" s="35">
        <f>O225</f>
        <v>0</v>
      </c>
      <c r="BH225" s="35">
        <f>G225*AO225</f>
        <v>0</v>
      </c>
      <c r="BI225" s="35">
        <f>G225*AP225</f>
        <v>0</v>
      </c>
      <c r="BJ225" s="35">
        <f>G225*H225</f>
        <v>0</v>
      </c>
      <c r="BK225" s="38" t="s">
        <v>69</v>
      </c>
      <c r="BL225" s="35"/>
      <c r="BW225" s="35">
        <f>I225</f>
        <v>21</v>
      </c>
      <c r="BX225" s="4" t="s">
        <v>694</v>
      </c>
    </row>
    <row r="226" spans="1:76" x14ac:dyDescent="0.25">
      <c r="A226" s="31" t="s">
        <v>55</v>
      </c>
      <c r="B226" s="32" t="s">
        <v>215</v>
      </c>
      <c r="C226" s="32" t="s">
        <v>156</v>
      </c>
      <c r="D226" s="128" t="s">
        <v>192</v>
      </c>
      <c r="E226" s="129"/>
      <c r="F226" s="33" t="s">
        <v>4</v>
      </c>
      <c r="G226" s="33" t="s">
        <v>4</v>
      </c>
      <c r="H226" s="33" t="s">
        <v>4</v>
      </c>
      <c r="I226" s="33" t="s">
        <v>4</v>
      </c>
      <c r="J226" s="1">
        <f>SUM(J227:J282)</f>
        <v>0</v>
      </c>
      <c r="K226" s="1">
        <f>SUM(K227:K282)</f>
        <v>0</v>
      </c>
      <c r="L226" s="1">
        <f>SUM(L227:L282)</f>
        <v>0</v>
      </c>
      <c r="M226" s="1">
        <f>SUM(M227:M282)</f>
        <v>0</v>
      </c>
      <c r="N226" s="12" t="s">
        <v>55</v>
      </c>
      <c r="O226" s="1">
        <f>SUM(O227:O282)</f>
        <v>0</v>
      </c>
      <c r="P226" s="34" t="s">
        <v>55</v>
      </c>
      <c r="AI226" s="12" t="s">
        <v>215</v>
      </c>
      <c r="AS226" s="1">
        <f>SUM(AJ227:AJ282)</f>
        <v>0</v>
      </c>
      <c r="AT226" s="1">
        <f>SUM(AK227:AK282)</f>
        <v>0</v>
      </c>
      <c r="AU226" s="1">
        <f>SUM(AL227:AL282)</f>
        <v>0</v>
      </c>
    </row>
    <row r="227" spans="1:76" ht="25.5" x14ac:dyDescent="0.25">
      <c r="A227" s="2" t="s">
        <v>696</v>
      </c>
      <c r="B227" s="3" t="s">
        <v>215</v>
      </c>
      <c r="C227" s="3" t="s">
        <v>697</v>
      </c>
      <c r="D227" s="70" t="s">
        <v>698</v>
      </c>
      <c r="E227" s="71"/>
      <c r="F227" s="3" t="s">
        <v>85</v>
      </c>
      <c r="G227" s="35">
        <v>1</v>
      </c>
      <c r="H227" s="68">
        <v>0</v>
      </c>
      <c r="I227" s="36">
        <v>21</v>
      </c>
      <c r="J227" s="35">
        <f t="shared" ref="J227:J258" si="268">ROUND(G227*AO227,2)</f>
        <v>0</v>
      </c>
      <c r="K227" s="35">
        <f t="shared" ref="K227:K258" si="269">ROUND(G227*AP227,2)</f>
        <v>0</v>
      </c>
      <c r="L227" s="35">
        <f t="shared" ref="L227:L258" si="270">ROUND(G227*H227,2)</f>
        <v>0</v>
      </c>
      <c r="M227" s="35">
        <f t="shared" ref="M227:M258" si="271">L227*(1+BW227/100)</f>
        <v>0</v>
      </c>
      <c r="N227" s="35">
        <v>0</v>
      </c>
      <c r="O227" s="35">
        <f t="shared" ref="O227:O258" si="272">G227*N227</f>
        <v>0</v>
      </c>
      <c r="P227" s="37" t="s">
        <v>64</v>
      </c>
      <c r="Z227" s="35">
        <f t="shared" ref="Z227:Z258" si="273">ROUND(IF(AQ227="5",BJ227,0),2)</f>
        <v>0</v>
      </c>
      <c r="AB227" s="35">
        <f t="shared" ref="AB227:AB258" si="274">ROUND(IF(AQ227="1",BH227,0),2)</f>
        <v>0</v>
      </c>
      <c r="AC227" s="35">
        <f t="shared" ref="AC227:AC258" si="275">ROUND(IF(AQ227="1",BI227,0),2)</f>
        <v>0</v>
      </c>
      <c r="AD227" s="35">
        <f t="shared" ref="AD227:AD258" si="276">ROUND(IF(AQ227="7",BH227,0),2)</f>
        <v>0</v>
      </c>
      <c r="AE227" s="35">
        <f t="shared" ref="AE227:AE258" si="277">ROUND(IF(AQ227="7",BI227,0),2)</f>
        <v>0</v>
      </c>
      <c r="AF227" s="35">
        <f t="shared" ref="AF227:AF258" si="278">ROUND(IF(AQ227="2",BH227,0),2)</f>
        <v>0</v>
      </c>
      <c r="AG227" s="35">
        <f t="shared" ref="AG227:AG258" si="279">ROUND(IF(AQ227="2",BI227,0),2)</f>
        <v>0</v>
      </c>
      <c r="AH227" s="35">
        <f t="shared" ref="AH227:AH258" si="280">ROUND(IF(AQ227="0",BJ227,0),2)</f>
        <v>0</v>
      </c>
      <c r="AI227" s="12" t="s">
        <v>215</v>
      </c>
      <c r="AJ227" s="35">
        <f t="shared" ref="AJ227:AJ258" si="281">IF(AN227=0,L227,0)</f>
        <v>0</v>
      </c>
      <c r="AK227" s="35">
        <f t="shared" ref="AK227:AK258" si="282">IF(AN227=15,L227,0)</f>
        <v>0</v>
      </c>
      <c r="AL227" s="35">
        <f t="shared" ref="AL227:AL258" si="283">IF(AN227=21,L227,0)</f>
        <v>0</v>
      </c>
      <c r="AN227" s="35">
        <v>21</v>
      </c>
      <c r="AO227" s="35">
        <f t="shared" ref="AO227:AO258" si="284">H227*1</f>
        <v>0</v>
      </c>
      <c r="AP227" s="35">
        <f t="shared" ref="AP227:AP258" si="285">H227*(1-1)</f>
        <v>0</v>
      </c>
      <c r="AQ227" s="38" t="s">
        <v>196</v>
      </c>
      <c r="AV227" s="35">
        <f t="shared" ref="AV227:AV258" si="286">ROUND(AW227+AX227,2)</f>
        <v>0</v>
      </c>
      <c r="AW227" s="35">
        <f t="shared" ref="AW227:AW258" si="287">ROUND(G227*AO227,2)</f>
        <v>0</v>
      </c>
      <c r="AX227" s="35">
        <f t="shared" ref="AX227:AX258" si="288">ROUND(G227*AP227,2)</f>
        <v>0</v>
      </c>
      <c r="AY227" s="38" t="s">
        <v>197</v>
      </c>
      <c r="AZ227" s="38" t="s">
        <v>699</v>
      </c>
      <c r="BA227" s="12" t="s">
        <v>225</v>
      </c>
      <c r="BC227" s="35">
        <f t="shared" ref="BC227:BC258" si="289">AW227+AX227</f>
        <v>0</v>
      </c>
      <c r="BD227" s="35">
        <f t="shared" ref="BD227:BD258" si="290">H227/(100-BE227)*100</f>
        <v>0</v>
      </c>
      <c r="BE227" s="35">
        <v>0</v>
      </c>
      <c r="BF227" s="35">
        <f t="shared" ref="BF227:BF258" si="291">O227</f>
        <v>0</v>
      </c>
      <c r="BH227" s="35">
        <f t="shared" ref="BH227:BH258" si="292">G227*AO227</f>
        <v>0</v>
      </c>
      <c r="BI227" s="35">
        <f t="shared" ref="BI227:BI258" si="293">G227*AP227</f>
        <v>0</v>
      </c>
      <c r="BJ227" s="35">
        <f t="shared" ref="BJ227:BJ258" si="294">G227*H227</f>
        <v>0</v>
      </c>
      <c r="BK227" s="38" t="s">
        <v>156</v>
      </c>
      <c r="BL227" s="35"/>
      <c r="BW227" s="35">
        <f t="shared" ref="BW227:BW258" si="295">I227</f>
        <v>21</v>
      </c>
      <c r="BX227" s="4" t="s">
        <v>698</v>
      </c>
    </row>
    <row r="228" spans="1:76" x14ac:dyDescent="0.25">
      <c r="A228" s="2" t="s">
        <v>700</v>
      </c>
      <c r="B228" s="3" t="s">
        <v>215</v>
      </c>
      <c r="C228" s="3" t="s">
        <v>701</v>
      </c>
      <c r="D228" s="70" t="s">
        <v>702</v>
      </c>
      <c r="E228" s="71"/>
      <c r="F228" s="3" t="s">
        <v>85</v>
      </c>
      <c r="G228" s="35">
        <v>5</v>
      </c>
      <c r="H228" s="68">
        <v>0</v>
      </c>
      <c r="I228" s="36">
        <v>21</v>
      </c>
      <c r="J228" s="35">
        <f t="shared" si="268"/>
        <v>0</v>
      </c>
      <c r="K228" s="35">
        <f t="shared" si="269"/>
        <v>0</v>
      </c>
      <c r="L228" s="35">
        <f t="shared" si="270"/>
        <v>0</v>
      </c>
      <c r="M228" s="35">
        <f t="shared" si="271"/>
        <v>0</v>
      </c>
      <c r="N228" s="35">
        <v>0</v>
      </c>
      <c r="O228" s="35">
        <f t="shared" si="272"/>
        <v>0</v>
      </c>
      <c r="P228" s="37" t="s">
        <v>64</v>
      </c>
      <c r="Z228" s="35">
        <f t="shared" si="273"/>
        <v>0</v>
      </c>
      <c r="AB228" s="35">
        <f t="shared" si="274"/>
        <v>0</v>
      </c>
      <c r="AC228" s="35">
        <f t="shared" si="275"/>
        <v>0</v>
      </c>
      <c r="AD228" s="35">
        <f t="shared" si="276"/>
        <v>0</v>
      </c>
      <c r="AE228" s="35">
        <f t="shared" si="277"/>
        <v>0</v>
      </c>
      <c r="AF228" s="35">
        <f t="shared" si="278"/>
        <v>0</v>
      </c>
      <c r="AG228" s="35">
        <f t="shared" si="279"/>
        <v>0</v>
      </c>
      <c r="AH228" s="35">
        <f t="shared" si="280"/>
        <v>0</v>
      </c>
      <c r="AI228" s="12" t="s">
        <v>215</v>
      </c>
      <c r="AJ228" s="35">
        <f t="shared" si="281"/>
        <v>0</v>
      </c>
      <c r="AK228" s="35">
        <f t="shared" si="282"/>
        <v>0</v>
      </c>
      <c r="AL228" s="35">
        <f t="shared" si="283"/>
        <v>0</v>
      </c>
      <c r="AN228" s="35">
        <v>21</v>
      </c>
      <c r="AO228" s="35">
        <f t="shared" si="284"/>
        <v>0</v>
      </c>
      <c r="AP228" s="35">
        <f t="shared" si="285"/>
        <v>0</v>
      </c>
      <c r="AQ228" s="38" t="s">
        <v>196</v>
      </c>
      <c r="AV228" s="35">
        <f t="shared" si="286"/>
        <v>0</v>
      </c>
      <c r="AW228" s="35">
        <f t="shared" si="287"/>
        <v>0</v>
      </c>
      <c r="AX228" s="35">
        <f t="shared" si="288"/>
        <v>0</v>
      </c>
      <c r="AY228" s="38" t="s">
        <v>197</v>
      </c>
      <c r="AZ228" s="38" t="s">
        <v>699</v>
      </c>
      <c r="BA228" s="12" t="s">
        <v>225</v>
      </c>
      <c r="BC228" s="35">
        <f t="shared" si="289"/>
        <v>0</v>
      </c>
      <c r="BD228" s="35">
        <f t="shared" si="290"/>
        <v>0</v>
      </c>
      <c r="BE228" s="35">
        <v>0</v>
      </c>
      <c r="BF228" s="35">
        <f t="shared" si="291"/>
        <v>0</v>
      </c>
      <c r="BH228" s="35">
        <f t="shared" si="292"/>
        <v>0</v>
      </c>
      <c r="BI228" s="35">
        <f t="shared" si="293"/>
        <v>0</v>
      </c>
      <c r="BJ228" s="35">
        <f t="shared" si="294"/>
        <v>0</v>
      </c>
      <c r="BK228" s="38" t="s">
        <v>156</v>
      </c>
      <c r="BL228" s="35"/>
      <c r="BW228" s="35">
        <f t="shared" si="295"/>
        <v>21</v>
      </c>
      <c r="BX228" s="4" t="s">
        <v>702</v>
      </c>
    </row>
    <row r="229" spans="1:76" ht="25.5" x14ac:dyDescent="0.25">
      <c r="A229" s="2" t="s">
        <v>703</v>
      </c>
      <c r="B229" s="3" t="s">
        <v>215</v>
      </c>
      <c r="C229" s="3" t="s">
        <v>704</v>
      </c>
      <c r="D229" s="70" t="s">
        <v>705</v>
      </c>
      <c r="E229" s="71"/>
      <c r="F229" s="3" t="s">
        <v>85</v>
      </c>
      <c r="G229" s="35">
        <v>1</v>
      </c>
      <c r="H229" s="68">
        <v>0</v>
      </c>
      <c r="I229" s="36">
        <v>21</v>
      </c>
      <c r="J229" s="35">
        <f t="shared" si="268"/>
        <v>0</v>
      </c>
      <c r="K229" s="35">
        <f t="shared" si="269"/>
        <v>0</v>
      </c>
      <c r="L229" s="35">
        <f t="shared" si="270"/>
        <v>0</v>
      </c>
      <c r="M229" s="35">
        <f t="shared" si="271"/>
        <v>0</v>
      </c>
      <c r="N229" s="35">
        <v>0</v>
      </c>
      <c r="O229" s="35">
        <f t="shared" si="272"/>
        <v>0</v>
      </c>
      <c r="P229" s="37" t="s">
        <v>64</v>
      </c>
      <c r="Z229" s="35">
        <f t="shared" si="273"/>
        <v>0</v>
      </c>
      <c r="AB229" s="35">
        <f t="shared" si="274"/>
        <v>0</v>
      </c>
      <c r="AC229" s="35">
        <f t="shared" si="275"/>
        <v>0</v>
      </c>
      <c r="AD229" s="35">
        <f t="shared" si="276"/>
        <v>0</v>
      </c>
      <c r="AE229" s="35">
        <f t="shared" si="277"/>
        <v>0</v>
      </c>
      <c r="AF229" s="35">
        <f t="shared" si="278"/>
        <v>0</v>
      </c>
      <c r="AG229" s="35">
        <f t="shared" si="279"/>
        <v>0</v>
      </c>
      <c r="AH229" s="35">
        <f t="shared" si="280"/>
        <v>0</v>
      </c>
      <c r="AI229" s="12" t="s">
        <v>215</v>
      </c>
      <c r="AJ229" s="35">
        <f t="shared" si="281"/>
        <v>0</v>
      </c>
      <c r="AK229" s="35">
        <f t="shared" si="282"/>
        <v>0</v>
      </c>
      <c r="AL229" s="35">
        <f t="shared" si="283"/>
        <v>0</v>
      </c>
      <c r="AN229" s="35">
        <v>21</v>
      </c>
      <c r="AO229" s="35">
        <f t="shared" si="284"/>
        <v>0</v>
      </c>
      <c r="AP229" s="35">
        <f t="shared" si="285"/>
        <v>0</v>
      </c>
      <c r="AQ229" s="38" t="s">
        <v>196</v>
      </c>
      <c r="AV229" s="35">
        <f t="shared" si="286"/>
        <v>0</v>
      </c>
      <c r="AW229" s="35">
        <f t="shared" si="287"/>
        <v>0</v>
      </c>
      <c r="AX229" s="35">
        <f t="shared" si="288"/>
        <v>0</v>
      </c>
      <c r="AY229" s="38" t="s">
        <v>197</v>
      </c>
      <c r="AZ229" s="38" t="s">
        <v>699</v>
      </c>
      <c r="BA229" s="12" t="s">
        <v>225</v>
      </c>
      <c r="BC229" s="35">
        <f t="shared" si="289"/>
        <v>0</v>
      </c>
      <c r="BD229" s="35">
        <f t="shared" si="290"/>
        <v>0</v>
      </c>
      <c r="BE229" s="35">
        <v>0</v>
      </c>
      <c r="BF229" s="35">
        <f t="shared" si="291"/>
        <v>0</v>
      </c>
      <c r="BH229" s="35">
        <f t="shared" si="292"/>
        <v>0</v>
      </c>
      <c r="BI229" s="35">
        <f t="shared" si="293"/>
        <v>0</v>
      </c>
      <c r="BJ229" s="35">
        <f t="shared" si="294"/>
        <v>0</v>
      </c>
      <c r="BK229" s="38" t="s">
        <v>156</v>
      </c>
      <c r="BL229" s="35"/>
      <c r="BW229" s="35">
        <f t="shared" si="295"/>
        <v>21</v>
      </c>
      <c r="BX229" s="4" t="s">
        <v>705</v>
      </c>
    </row>
    <row r="230" spans="1:76" ht="25.5" x14ac:dyDescent="0.25">
      <c r="A230" s="2" t="s">
        <v>706</v>
      </c>
      <c r="B230" s="3" t="s">
        <v>215</v>
      </c>
      <c r="C230" s="3" t="s">
        <v>707</v>
      </c>
      <c r="D230" s="70" t="s">
        <v>708</v>
      </c>
      <c r="E230" s="71"/>
      <c r="F230" s="3" t="s">
        <v>85</v>
      </c>
      <c r="G230" s="35">
        <v>1</v>
      </c>
      <c r="H230" s="68">
        <v>0</v>
      </c>
      <c r="I230" s="36">
        <v>21</v>
      </c>
      <c r="J230" s="35">
        <f t="shared" si="268"/>
        <v>0</v>
      </c>
      <c r="K230" s="35">
        <f t="shared" si="269"/>
        <v>0</v>
      </c>
      <c r="L230" s="35">
        <f t="shared" si="270"/>
        <v>0</v>
      </c>
      <c r="M230" s="35">
        <f t="shared" si="271"/>
        <v>0</v>
      </c>
      <c r="N230" s="35">
        <v>0</v>
      </c>
      <c r="O230" s="35">
        <f t="shared" si="272"/>
        <v>0</v>
      </c>
      <c r="P230" s="37" t="s">
        <v>64</v>
      </c>
      <c r="Z230" s="35">
        <f t="shared" si="273"/>
        <v>0</v>
      </c>
      <c r="AB230" s="35">
        <f t="shared" si="274"/>
        <v>0</v>
      </c>
      <c r="AC230" s="35">
        <f t="shared" si="275"/>
        <v>0</v>
      </c>
      <c r="AD230" s="35">
        <f t="shared" si="276"/>
        <v>0</v>
      </c>
      <c r="AE230" s="35">
        <f t="shared" si="277"/>
        <v>0</v>
      </c>
      <c r="AF230" s="35">
        <f t="shared" si="278"/>
        <v>0</v>
      </c>
      <c r="AG230" s="35">
        <f t="shared" si="279"/>
        <v>0</v>
      </c>
      <c r="AH230" s="35">
        <f t="shared" si="280"/>
        <v>0</v>
      </c>
      <c r="AI230" s="12" t="s">
        <v>215</v>
      </c>
      <c r="AJ230" s="35">
        <f t="shared" si="281"/>
        <v>0</v>
      </c>
      <c r="AK230" s="35">
        <f t="shared" si="282"/>
        <v>0</v>
      </c>
      <c r="AL230" s="35">
        <f t="shared" si="283"/>
        <v>0</v>
      </c>
      <c r="AN230" s="35">
        <v>21</v>
      </c>
      <c r="AO230" s="35">
        <f t="shared" si="284"/>
        <v>0</v>
      </c>
      <c r="AP230" s="35">
        <f t="shared" si="285"/>
        <v>0</v>
      </c>
      <c r="AQ230" s="38" t="s">
        <v>196</v>
      </c>
      <c r="AV230" s="35">
        <f t="shared" si="286"/>
        <v>0</v>
      </c>
      <c r="AW230" s="35">
        <f t="shared" si="287"/>
        <v>0</v>
      </c>
      <c r="AX230" s="35">
        <f t="shared" si="288"/>
        <v>0</v>
      </c>
      <c r="AY230" s="38" t="s">
        <v>197</v>
      </c>
      <c r="AZ230" s="38" t="s">
        <v>699</v>
      </c>
      <c r="BA230" s="12" t="s">
        <v>225</v>
      </c>
      <c r="BC230" s="35">
        <f t="shared" si="289"/>
        <v>0</v>
      </c>
      <c r="BD230" s="35">
        <f t="shared" si="290"/>
        <v>0</v>
      </c>
      <c r="BE230" s="35">
        <v>0</v>
      </c>
      <c r="BF230" s="35">
        <f t="shared" si="291"/>
        <v>0</v>
      </c>
      <c r="BH230" s="35">
        <f t="shared" si="292"/>
        <v>0</v>
      </c>
      <c r="BI230" s="35">
        <f t="shared" si="293"/>
        <v>0</v>
      </c>
      <c r="BJ230" s="35">
        <f t="shared" si="294"/>
        <v>0</v>
      </c>
      <c r="BK230" s="38" t="s">
        <v>156</v>
      </c>
      <c r="BL230" s="35"/>
      <c r="BW230" s="35">
        <f t="shared" si="295"/>
        <v>21</v>
      </c>
      <c r="BX230" s="4" t="s">
        <v>708</v>
      </c>
    </row>
    <row r="231" spans="1:76" x14ac:dyDescent="0.25">
      <c r="A231" s="2" t="s">
        <v>709</v>
      </c>
      <c r="B231" s="3" t="s">
        <v>215</v>
      </c>
      <c r="C231" s="3" t="s">
        <v>710</v>
      </c>
      <c r="D231" s="70" t="s">
        <v>711</v>
      </c>
      <c r="E231" s="71"/>
      <c r="F231" s="3" t="s">
        <v>85</v>
      </c>
      <c r="G231" s="35">
        <v>1</v>
      </c>
      <c r="H231" s="68">
        <v>0</v>
      </c>
      <c r="I231" s="36">
        <v>21</v>
      </c>
      <c r="J231" s="35">
        <f t="shared" si="268"/>
        <v>0</v>
      </c>
      <c r="K231" s="35">
        <f t="shared" si="269"/>
        <v>0</v>
      </c>
      <c r="L231" s="35">
        <f t="shared" si="270"/>
        <v>0</v>
      </c>
      <c r="M231" s="35">
        <f t="shared" si="271"/>
        <v>0</v>
      </c>
      <c r="N231" s="35">
        <v>0</v>
      </c>
      <c r="O231" s="35">
        <f t="shared" si="272"/>
        <v>0</v>
      </c>
      <c r="P231" s="37" t="s">
        <v>64</v>
      </c>
      <c r="Z231" s="35">
        <f t="shared" si="273"/>
        <v>0</v>
      </c>
      <c r="AB231" s="35">
        <f t="shared" si="274"/>
        <v>0</v>
      </c>
      <c r="AC231" s="35">
        <f t="shared" si="275"/>
        <v>0</v>
      </c>
      <c r="AD231" s="35">
        <f t="shared" si="276"/>
        <v>0</v>
      </c>
      <c r="AE231" s="35">
        <f t="shared" si="277"/>
        <v>0</v>
      </c>
      <c r="AF231" s="35">
        <f t="shared" si="278"/>
        <v>0</v>
      </c>
      <c r="AG231" s="35">
        <f t="shared" si="279"/>
        <v>0</v>
      </c>
      <c r="AH231" s="35">
        <f t="shared" si="280"/>
        <v>0</v>
      </c>
      <c r="AI231" s="12" t="s">
        <v>215</v>
      </c>
      <c r="AJ231" s="35">
        <f t="shared" si="281"/>
        <v>0</v>
      </c>
      <c r="AK231" s="35">
        <f t="shared" si="282"/>
        <v>0</v>
      </c>
      <c r="AL231" s="35">
        <f t="shared" si="283"/>
        <v>0</v>
      </c>
      <c r="AN231" s="35">
        <v>21</v>
      </c>
      <c r="AO231" s="35">
        <f t="shared" si="284"/>
        <v>0</v>
      </c>
      <c r="AP231" s="35">
        <f t="shared" si="285"/>
        <v>0</v>
      </c>
      <c r="AQ231" s="38" t="s">
        <v>196</v>
      </c>
      <c r="AV231" s="35">
        <f t="shared" si="286"/>
        <v>0</v>
      </c>
      <c r="AW231" s="35">
        <f t="shared" si="287"/>
        <v>0</v>
      </c>
      <c r="AX231" s="35">
        <f t="shared" si="288"/>
        <v>0</v>
      </c>
      <c r="AY231" s="38" t="s">
        <v>197</v>
      </c>
      <c r="AZ231" s="38" t="s">
        <v>699</v>
      </c>
      <c r="BA231" s="12" t="s">
        <v>225</v>
      </c>
      <c r="BC231" s="35">
        <f t="shared" si="289"/>
        <v>0</v>
      </c>
      <c r="BD231" s="35">
        <f t="shared" si="290"/>
        <v>0</v>
      </c>
      <c r="BE231" s="35">
        <v>0</v>
      </c>
      <c r="BF231" s="35">
        <f t="shared" si="291"/>
        <v>0</v>
      </c>
      <c r="BH231" s="35">
        <f t="shared" si="292"/>
        <v>0</v>
      </c>
      <c r="BI231" s="35">
        <f t="shared" si="293"/>
        <v>0</v>
      </c>
      <c r="BJ231" s="35">
        <f t="shared" si="294"/>
        <v>0</v>
      </c>
      <c r="BK231" s="38" t="s">
        <v>156</v>
      </c>
      <c r="BL231" s="35"/>
      <c r="BW231" s="35">
        <f t="shared" si="295"/>
        <v>21</v>
      </c>
      <c r="BX231" s="4" t="s">
        <v>711</v>
      </c>
    </row>
    <row r="232" spans="1:76" x14ac:dyDescent="0.25">
      <c r="A232" s="2" t="s">
        <v>712</v>
      </c>
      <c r="B232" s="3" t="s">
        <v>215</v>
      </c>
      <c r="C232" s="3" t="s">
        <v>713</v>
      </c>
      <c r="D232" s="70" t="s">
        <v>714</v>
      </c>
      <c r="E232" s="71"/>
      <c r="F232" s="3" t="s">
        <v>85</v>
      </c>
      <c r="G232" s="35">
        <v>5</v>
      </c>
      <c r="H232" s="68">
        <v>0</v>
      </c>
      <c r="I232" s="36">
        <v>21</v>
      </c>
      <c r="J232" s="35">
        <f t="shared" si="268"/>
        <v>0</v>
      </c>
      <c r="K232" s="35">
        <f t="shared" si="269"/>
        <v>0</v>
      </c>
      <c r="L232" s="35">
        <f t="shared" si="270"/>
        <v>0</v>
      </c>
      <c r="M232" s="35">
        <f t="shared" si="271"/>
        <v>0</v>
      </c>
      <c r="N232" s="35">
        <v>0</v>
      </c>
      <c r="O232" s="35">
        <f t="shared" si="272"/>
        <v>0</v>
      </c>
      <c r="P232" s="37" t="s">
        <v>64</v>
      </c>
      <c r="Z232" s="35">
        <f t="shared" si="273"/>
        <v>0</v>
      </c>
      <c r="AB232" s="35">
        <f t="shared" si="274"/>
        <v>0</v>
      </c>
      <c r="AC232" s="35">
        <f t="shared" si="275"/>
        <v>0</v>
      </c>
      <c r="AD232" s="35">
        <f t="shared" si="276"/>
        <v>0</v>
      </c>
      <c r="AE232" s="35">
        <f t="shared" si="277"/>
        <v>0</v>
      </c>
      <c r="AF232" s="35">
        <f t="shared" si="278"/>
        <v>0</v>
      </c>
      <c r="AG232" s="35">
        <f t="shared" si="279"/>
        <v>0</v>
      </c>
      <c r="AH232" s="35">
        <f t="shared" si="280"/>
        <v>0</v>
      </c>
      <c r="AI232" s="12" t="s">
        <v>215</v>
      </c>
      <c r="AJ232" s="35">
        <f t="shared" si="281"/>
        <v>0</v>
      </c>
      <c r="AK232" s="35">
        <f t="shared" si="282"/>
        <v>0</v>
      </c>
      <c r="AL232" s="35">
        <f t="shared" si="283"/>
        <v>0</v>
      </c>
      <c r="AN232" s="35">
        <v>21</v>
      </c>
      <c r="AO232" s="35">
        <f t="shared" si="284"/>
        <v>0</v>
      </c>
      <c r="AP232" s="35">
        <f t="shared" si="285"/>
        <v>0</v>
      </c>
      <c r="AQ232" s="38" t="s">
        <v>196</v>
      </c>
      <c r="AV232" s="35">
        <f t="shared" si="286"/>
        <v>0</v>
      </c>
      <c r="AW232" s="35">
        <f t="shared" si="287"/>
        <v>0</v>
      </c>
      <c r="AX232" s="35">
        <f t="shared" si="288"/>
        <v>0</v>
      </c>
      <c r="AY232" s="38" t="s">
        <v>197</v>
      </c>
      <c r="AZ232" s="38" t="s">
        <v>699</v>
      </c>
      <c r="BA232" s="12" t="s">
        <v>225</v>
      </c>
      <c r="BC232" s="35">
        <f t="shared" si="289"/>
        <v>0</v>
      </c>
      <c r="BD232" s="35">
        <f t="shared" si="290"/>
        <v>0</v>
      </c>
      <c r="BE232" s="35">
        <v>0</v>
      </c>
      <c r="BF232" s="35">
        <f t="shared" si="291"/>
        <v>0</v>
      </c>
      <c r="BH232" s="35">
        <f t="shared" si="292"/>
        <v>0</v>
      </c>
      <c r="BI232" s="35">
        <f t="shared" si="293"/>
        <v>0</v>
      </c>
      <c r="BJ232" s="35">
        <f t="shared" si="294"/>
        <v>0</v>
      </c>
      <c r="BK232" s="38" t="s">
        <v>156</v>
      </c>
      <c r="BL232" s="35"/>
      <c r="BW232" s="35">
        <f t="shared" si="295"/>
        <v>21</v>
      </c>
      <c r="BX232" s="4" t="s">
        <v>714</v>
      </c>
    </row>
    <row r="233" spans="1:76" ht="25.5" x14ac:dyDescent="0.25">
      <c r="A233" s="2" t="s">
        <v>715</v>
      </c>
      <c r="B233" s="3" t="s">
        <v>215</v>
      </c>
      <c r="C233" s="3" t="s">
        <v>716</v>
      </c>
      <c r="D233" s="70" t="s">
        <v>717</v>
      </c>
      <c r="E233" s="71"/>
      <c r="F233" s="3" t="s">
        <v>85</v>
      </c>
      <c r="G233" s="35">
        <v>1</v>
      </c>
      <c r="H233" s="68">
        <v>0</v>
      </c>
      <c r="I233" s="36">
        <v>21</v>
      </c>
      <c r="J233" s="35">
        <f t="shared" si="268"/>
        <v>0</v>
      </c>
      <c r="K233" s="35">
        <f t="shared" si="269"/>
        <v>0</v>
      </c>
      <c r="L233" s="35">
        <f t="shared" si="270"/>
        <v>0</v>
      </c>
      <c r="M233" s="35">
        <f t="shared" si="271"/>
        <v>0</v>
      </c>
      <c r="N233" s="35">
        <v>0</v>
      </c>
      <c r="O233" s="35">
        <f t="shared" si="272"/>
        <v>0</v>
      </c>
      <c r="P233" s="37" t="s">
        <v>64</v>
      </c>
      <c r="Z233" s="35">
        <f t="shared" si="273"/>
        <v>0</v>
      </c>
      <c r="AB233" s="35">
        <f t="shared" si="274"/>
        <v>0</v>
      </c>
      <c r="AC233" s="35">
        <f t="shared" si="275"/>
        <v>0</v>
      </c>
      <c r="AD233" s="35">
        <f t="shared" si="276"/>
        <v>0</v>
      </c>
      <c r="AE233" s="35">
        <f t="shared" si="277"/>
        <v>0</v>
      </c>
      <c r="AF233" s="35">
        <f t="shared" si="278"/>
        <v>0</v>
      </c>
      <c r="AG233" s="35">
        <f t="shared" si="279"/>
        <v>0</v>
      </c>
      <c r="AH233" s="35">
        <f t="shared" si="280"/>
        <v>0</v>
      </c>
      <c r="AI233" s="12" t="s">
        <v>215</v>
      </c>
      <c r="AJ233" s="35">
        <f t="shared" si="281"/>
        <v>0</v>
      </c>
      <c r="AK233" s="35">
        <f t="shared" si="282"/>
        <v>0</v>
      </c>
      <c r="AL233" s="35">
        <f t="shared" si="283"/>
        <v>0</v>
      </c>
      <c r="AN233" s="35">
        <v>21</v>
      </c>
      <c r="AO233" s="35">
        <f t="shared" si="284"/>
        <v>0</v>
      </c>
      <c r="AP233" s="35">
        <f t="shared" si="285"/>
        <v>0</v>
      </c>
      <c r="AQ233" s="38" t="s">
        <v>196</v>
      </c>
      <c r="AV233" s="35">
        <f t="shared" si="286"/>
        <v>0</v>
      </c>
      <c r="AW233" s="35">
        <f t="shared" si="287"/>
        <v>0</v>
      </c>
      <c r="AX233" s="35">
        <f t="shared" si="288"/>
        <v>0</v>
      </c>
      <c r="AY233" s="38" t="s">
        <v>197</v>
      </c>
      <c r="AZ233" s="38" t="s">
        <v>699</v>
      </c>
      <c r="BA233" s="12" t="s">
        <v>225</v>
      </c>
      <c r="BC233" s="35">
        <f t="shared" si="289"/>
        <v>0</v>
      </c>
      <c r="BD233" s="35">
        <f t="shared" si="290"/>
        <v>0</v>
      </c>
      <c r="BE233" s="35">
        <v>0</v>
      </c>
      <c r="BF233" s="35">
        <f t="shared" si="291"/>
        <v>0</v>
      </c>
      <c r="BH233" s="35">
        <f t="shared" si="292"/>
        <v>0</v>
      </c>
      <c r="BI233" s="35">
        <f t="shared" si="293"/>
        <v>0</v>
      </c>
      <c r="BJ233" s="35">
        <f t="shared" si="294"/>
        <v>0</v>
      </c>
      <c r="BK233" s="38" t="s">
        <v>156</v>
      </c>
      <c r="BL233" s="35"/>
      <c r="BW233" s="35">
        <f t="shared" si="295"/>
        <v>21</v>
      </c>
      <c r="BX233" s="4" t="s">
        <v>717</v>
      </c>
    </row>
    <row r="234" spans="1:76" x14ac:dyDescent="0.25">
      <c r="A234" s="2" t="s">
        <v>718</v>
      </c>
      <c r="B234" s="3" t="s">
        <v>215</v>
      </c>
      <c r="C234" s="3" t="s">
        <v>719</v>
      </c>
      <c r="D234" s="70" t="s">
        <v>720</v>
      </c>
      <c r="E234" s="71"/>
      <c r="F234" s="3" t="s">
        <v>85</v>
      </c>
      <c r="G234" s="35">
        <v>1</v>
      </c>
      <c r="H234" s="68">
        <v>0</v>
      </c>
      <c r="I234" s="36">
        <v>21</v>
      </c>
      <c r="J234" s="35">
        <f t="shared" si="268"/>
        <v>0</v>
      </c>
      <c r="K234" s="35">
        <f t="shared" si="269"/>
        <v>0</v>
      </c>
      <c r="L234" s="35">
        <f t="shared" si="270"/>
        <v>0</v>
      </c>
      <c r="M234" s="35">
        <f t="shared" si="271"/>
        <v>0</v>
      </c>
      <c r="N234" s="35">
        <v>0</v>
      </c>
      <c r="O234" s="35">
        <f t="shared" si="272"/>
        <v>0</v>
      </c>
      <c r="P234" s="37" t="s">
        <v>64</v>
      </c>
      <c r="Z234" s="35">
        <f t="shared" si="273"/>
        <v>0</v>
      </c>
      <c r="AB234" s="35">
        <f t="shared" si="274"/>
        <v>0</v>
      </c>
      <c r="AC234" s="35">
        <f t="shared" si="275"/>
        <v>0</v>
      </c>
      <c r="AD234" s="35">
        <f t="shared" si="276"/>
        <v>0</v>
      </c>
      <c r="AE234" s="35">
        <f t="shared" si="277"/>
        <v>0</v>
      </c>
      <c r="AF234" s="35">
        <f t="shared" si="278"/>
        <v>0</v>
      </c>
      <c r="AG234" s="35">
        <f t="shared" si="279"/>
        <v>0</v>
      </c>
      <c r="AH234" s="35">
        <f t="shared" si="280"/>
        <v>0</v>
      </c>
      <c r="AI234" s="12" t="s">
        <v>215</v>
      </c>
      <c r="AJ234" s="35">
        <f t="shared" si="281"/>
        <v>0</v>
      </c>
      <c r="AK234" s="35">
        <f t="shared" si="282"/>
        <v>0</v>
      </c>
      <c r="AL234" s="35">
        <f t="shared" si="283"/>
        <v>0</v>
      </c>
      <c r="AN234" s="35">
        <v>21</v>
      </c>
      <c r="AO234" s="35">
        <f t="shared" si="284"/>
        <v>0</v>
      </c>
      <c r="AP234" s="35">
        <f t="shared" si="285"/>
        <v>0</v>
      </c>
      <c r="AQ234" s="38" t="s">
        <v>196</v>
      </c>
      <c r="AV234" s="35">
        <f t="shared" si="286"/>
        <v>0</v>
      </c>
      <c r="AW234" s="35">
        <f t="shared" si="287"/>
        <v>0</v>
      </c>
      <c r="AX234" s="35">
        <f t="shared" si="288"/>
        <v>0</v>
      </c>
      <c r="AY234" s="38" t="s">
        <v>197</v>
      </c>
      <c r="AZ234" s="38" t="s">
        <v>699</v>
      </c>
      <c r="BA234" s="12" t="s">
        <v>225</v>
      </c>
      <c r="BC234" s="35">
        <f t="shared" si="289"/>
        <v>0</v>
      </c>
      <c r="BD234" s="35">
        <f t="shared" si="290"/>
        <v>0</v>
      </c>
      <c r="BE234" s="35">
        <v>0</v>
      </c>
      <c r="BF234" s="35">
        <f t="shared" si="291"/>
        <v>0</v>
      </c>
      <c r="BH234" s="35">
        <f t="shared" si="292"/>
        <v>0</v>
      </c>
      <c r="BI234" s="35">
        <f t="shared" si="293"/>
        <v>0</v>
      </c>
      <c r="BJ234" s="35">
        <f t="shared" si="294"/>
        <v>0</v>
      </c>
      <c r="BK234" s="38" t="s">
        <v>156</v>
      </c>
      <c r="BL234" s="35"/>
      <c r="BW234" s="35">
        <f t="shared" si="295"/>
        <v>21</v>
      </c>
      <c r="BX234" s="4" t="s">
        <v>720</v>
      </c>
    </row>
    <row r="235" spans="1:76" ht="25.5" x14ac:dyDescent="0.25">
      <c r="A235" s="2" t="s">
        <v>721</v>
      </c>
      <c r="B235" s="3" t="s">
        <v>215</v>
      </c>
      <c r="C235" s="3" t="s">
        <v>722</v>
      </c>
      <c r="D235" s="70" t="s">
        <v>723</v>
      </c>
      <c r="E235" s="71"/>
      <c r="F235" s="3" t="s">
        <v>85</v>
      </c>
      <c r="G235" s="35">
        <v>1</v>
      </c>
      <c r="H235" s="68">
        <v>0</v>
      </c>
      <c r="I235" s="36">
        <v>21</v>
      </c>
      <c r="J235" s="35">
        <f t="shared" si="268"/>
        <v>0</v>
      </c>
      <c r="K235" s="35">
        <f t="shared" si="269"/>
        <v>0</v>
      </c>
      <c r="L235" s="35">
        <f t="shared" si="270"/>
        <v>0</v>
      </c>
      <c r="M235" s="35">
        <f t="shared" si="271"/>
        <v>0</v>
      </c>
      <c r="N235" s="35">
        <v>0</v>
      </c>
      <c r="O235" s="35">
        <f t="shared" si="272"/>
        <v>0</v>
      </c>
      <c r="P235" s="37" t="s">
        <v>64</v>
      </c>
      <c r="Z235" s="35">
        <f t="shared" si="273"/>
        <v>0</v>
      </c>
      <c r="AB235" s="35">
        <f t="shared" si="274"/>
        <v>0</v>
      </c>
      <c r="AC235" s="35">
        <f t="shared" si="275"/>
        <v>0</v>
      </c>
      <c r="AD235" s="35">
        <f t="shared" si="276"/>
        <v>0</v>
      </c>
      <c r="AE235" s="35">
        <f t="shared" si="277"/>
        <v>0</v>
      </c>
      <c r="AF235" s="35">
        <f t="shared" si="278"/>
        <v>0</v>
      </c>
      <c r="AG235" s="35">
        <f t="shared" si="279"/>
        <v>0</v>
      </c>
      <c r="AH235" s="35">
        <f t="shared" si="280"/>
        <v>0</v>
      </c>
      <c r="AI235" s="12" t="s">
        <v>215</v>
      </c>
      <c r="AJ235" s="35">
        <f t="shared" si="281"/>
        <v>0</v>
      </c>
      <c r="AK235" s="35">
        <f t="shared" si="282"/>
        <v>0</v>
      </c>
      <c r="AL235" s="35">
        <f t="shared" si="283"/>
        <v>0</v>
      </c>
      <c r="AN235" s="35">
        <v>21</v>
      </c>
      <c r="AO235" s="35">
        <f t="shared" si="284"/>
        <v>0</v>
      </c>
      <c r="AP235" s="35">
        <f t="shared" si="285"/>
        <v>0</v>
      </c>
      <c r="AQ235" s="38" t="s">
        <v>196</v>
      </c>
      <c r="AV235" s="35">
        <f t="shared" si="286"/>
        <v>0</v>
      </c>
      <c r="AW235" s="35">
        <f t="shared" si="287"/>
        <v>0</v>
      </c>
      <c r="AX235" s="35">
        <f t="shared" si="288"/>
        <v>0</v>
      </c>
      <c r="AY235" s="38" t="s">
        <v>197</v>
      </c>
      <c r="AZ235" s="38" t="s">
        <v>699</v>
      </c>
      <c r="BA235" s="12" t="s">
        <v>225</v>
      </c>
      <c r="BC235" s="35">
        <f t="shared" si="289"/>
        <v>0</v>
      </c>
      <c r="BD235" s="35">
        <f t="shared" si="290"/>
        <v>0</v>
      </c>
      <c r="BE235" s="35">
        <v>0</v>
      </c>
      <c r="BF235" s="35">
        <f t="shared" si="291"/>
        <v>0</v>
      </c>
      <c r="BH235" s="35">
        <f t="shared" si="292"/>
        <v>0</v>
      </c>
      <c r="BI235" s="35">
        <f t="shared" si="293"/>
        <v>0</v>
      </c>
      <c r="BJ235" s="35">
        <f t="shared" si="294"/>
        <v>0</v>
      </c>
      <c r="BK235" s="38" t="s">
        <v>156</v>
      </c>
      <c r="BL235" s="35"/>
      <c r="BW235" s="35">
        <f t="shared" si="295"/>
        <v>21</v>
      </c>
      <c r="BX235" s="4" t="s">
        <v>723</v>
      </c>
    </row>
    <row r="236" spans="1:76" x14ac:dyDescent="0.25">
      <c r="A236" s="2" t="s">
        <v>724</v>
      </c>
      <c r="B236" s="3" t="s">
        <v>215</v>
      </c>
      <c r="C236" s="3" t="s">
        <v>725</v>
      </c>
      <c r="D236" s="70" t="s">
        <v>726</v>
      </c>
      <c r="E236" s="71"/>
      <c r="F236" s="3" t="s">
        <v>85</v>
      </c>
      <c r="G236" s="35">
        <v>1</v>
      </c>
      <c r="H236" s="68">
        <v>0</v>
      </c>
      <c r="I236" s="36">
        <v>21</v>
      </c>
      <c r="J236" s="35">
        <f t="shared" si="268"/>
        <v>0</v>
      </c>
      <c r="K236" s="35">
        <f t="shared" si="269"/>
        <v>0</v>
      </c>
      <c r="L236" s="35">
        <f t="shared" si="270"/>
        <v>0</v>
      </c>
      <c r="M236" s="35">
        <f t="shared" si="271"/>
        <v>0</v>
      </c>
      <c r="N236" s="35">
        <v>0</v>
      </c>
      <c r="O236" s="35">
        <f t="shared" si="272"/>
        <v>0</v>
      </c>
      <c r="P236" s="37" t="s">
        <v>64</v>
      </c>
      <c r="Z236" s="35">
        <f t="shared" si="273"/>
        <v>0</v>
      </c>
      <c r="AB236" s="35">
        <f t="shared" si="274"/>
        <v>0</v>
      </c>
      <c r="AC236" s="35">
        <f t="shared" si="275"/>
        <v>0</v>
      </c>
      <c r="AD236" s="35">
        <f t="shared" si="276"/>
        <v>0</v>
      </c>
      <c r="AE236" s="35">
        <f t="shared" si="277"/>
        <v>0</v>
      </c>
      <c r="AF236" s="35">
        <f t="shared" si="278"/>
        <v>0</v>
      </c>
      <c r="AG236" s="35">
        <f t="shared" si="279"/>
        <v>0</v>
      </c>
      <c r="AH236" s="35">
        <f t="shared" si="280"/>
        <v>0</v>
      </c>
      <c r="AI236" s="12" t="s">
        <v>215</v>
      </c>
      <c r="AJ236" s="35">
        <f t="shared" si="281"/>
        <v>0</v>
      </c>
      <c r="AK236" s="35">
        <f t="shared" si="282"/>
        <v>0</v>
      </c>
      <c r="AL236" s="35">
        <f t="shared" si="283"/>
        <v>0</v>
      </c>
      <c r="AN236" s="35">
        <v>21</v>
      </c>
      <c r="AO236" s="35">
        <f t="shared" si="284"/>
        <v>0</v>
      </c>
      <c r="AP236" s="35">
        <f t="shared" si="285"/>
        <v>0</v>
      </c>
      <c r="AQ236" s="38" t="s">
        <v>196</v>
      </c>
      <c r="AV236" s="35">
        <f t="shared" si="286"/>
        <v>0</v>
      </c>
      <c r="AW236" s="35">
        <f t="shared" si="287"/>
        <v>0</v>
      </c>
      <c r="AX236" s="35">
        <f t="shared" si="288"/>
        <v>0</v>
      </c>
      <c r="AY236" s="38" t="s">
        <v>197</v>
      </c>
      <c r="AZ236" s="38" t="s">
        <v>699</v>
      </c>
      <c r="BA236" s="12" t="s">
        <v>225</v>
      </c>
      <c r="BC236" s="35">
        <f t="shared" si="289"/>
        <v>0</v>
      </c>
      <c r="BD236" s="35">
        <f t="shared" si="290"/>
        <v>0</v>
      </c>
      <c r="BE236" s="35">
        <v>0</v>
      </c>
      <c r="BF236" s="35">
        <f t="shared" si="291"/>
        <v>0</v>
      </c>
      <c r="BH236" s="35">
        <f t="shared" si="292"/>
        <v>0</v>
      </c>
      <c r="BI236" s="35">
        <f t="shared" si="293"/>
        <v>0</v>
      </c>
      <c r="BJ236" s="35">
        <f t="shared" si="294"/>
        <v>0</v>
      </c>
      <c r="BK236" s="38" t="s">
        <v>156</v>
      </c>
      <c r="BL236" s="35"/>
      <c r="BW236" s="35">
        <f t="shared" si="295"/>
        <v>21</v>
      </c>
      <c r="BX236" s="4" t="s">
        <v>726</v>
      </c>
    </row>
    <row r="237" spans="1:76" x14ac:dyDescent="0.25">
      <c r="A237" s="2" t="s">
        <v>727</v>
      </c>
      <c r="B237" s="3" t="s">
        <v>215</v>
      </c>
      <c r="C237" s="3" t="s">
        <v>728</v>
      </c>
      <c r="D237" s="70" t="s">
        <v>729</v>
      </c>
      <c r="E237" s="71"/>
      <c r="F237" s="3" t="s">
        <v>85</v>
      </c>
      <c r="G237" s="35">
        <v>1</v>
      </c>
      <c r="H237" s="68">
        <v>0</v>
      </c>
      <c r="I237" s="36">
        <v>21</v>
      </c>
      <c r="J237" s="35">
        <f t="shared" si="268"/>
        <v>0</v>
      </c>
      <c r="K237" s="35">
        <f t="shared" si="269"/>
        <v>0</v>
      </c>
      <c r="L237" s="35">
        <f t="shared" si="270"/>
        <v>0</v>
      </c>
      <c r="M237" s="35">
        <f t="shared" si="271"/>
        <v>0</v>
      </c>
      <c r="N237" s="35">
        <v>0</v>
      </c>
      <c r="O237" s="35">
        <f t="shared" si="272"/>
        <v>0</v>
      </c>
      <c r="P237" s="37" t="s">
        <v>64</v>
      </c>
      <c r="Z237" s="35">
        <f t="shared" si="273"/>
        <v>0</v>
      </c>
      <c r="AB237" s="35">
        <f t="shared" si="274"/>
        <v>0</v>
      </c>
      <c r="AC237" s="35">
        <f t="shared" si="275"/>
        <v>0</v>
      </c>
      <c r="AD237" s="35">
        <f t="shared" si="276"/>
        <v>0</v>
      </c>
      <c r="AE237" s="35">
        <f t="shared" si="277"/>
        <v>0</v>
      </c>
      <c r="AF237" s="35">
        <f t="shared" si="278"/>
        <v>0</v>
      </c>
      <c r="AG237" s="35">
        <f t="shared" si="279"/>
        <v>0</v>
      </c>
      <c r="AH237" s="35">
        <f t="shared" si="280"/>
        <v>0</v>
      </c>
      <c r="AI237" s="12" t="s">
        <v>215</v>
      </c>
      <c r="AJ237" s="35">
        <f t="shared" si="281"/>
        <v>0</v>
      </c>
      <c r="AK237" s="35">
        <f t="shared" si="282"/>
        <v>0</v>
      </c>
      <c r="AL237" s="35">
        <f t="shared" si="283"/>
        <v>0</v>
      </c>
      <c r="AN237" s="35">
        <v>21</v>
      </c>
      <c r="AO237" s="35">
        <f t="shared" si="284"/>
        <v>0</v>
      </c>
      <c r="AP237" s="35">
        <f t="shared" si="285"/>
        <v>0</v>
      </c>
      <c r="AQ237" s="38" t="s">
        <v>196</v>
      </c>
      <c r="AV237" s="35">
        <f t="shared" si="286"/>
        <v>0</v>
      </c>
      <c r="AW237" s="35">
        <f t="shared" si="287"/>
        <v>0</v>
      </c>
      <c r="AX237" s="35">
        <f t="shared" si="288"/>
        <v>0</v>
      </c>
      <c r="AY237" s="38" t="s">
        <v>197</v>
      </c>
      <c r="AZ237" s="38" t="s">
        <v>699</v>
      </c>
      <c r="BA237" s="12" t="s">
        <v>225</v>
      </c>
      <c r="BC237" s="35">
        <f t="shared" si="289"/>
        <v>0</v>
      </c>
      <c r="BD237" s="35">
        <f t="shared" si="290"/>
        <v>0</v>
      </c>
      <c r="BE237" s="35">
        <v>0</v>
      </c>
      <c r="BF237" s="35">
        <f t="shared" si="291"/>
        <v>0</v>
      </c>
      <c r="BH237" s="35">
        <f t="shared" si="292"/>
        <v>0</v>
      </c>
      <c r="BI237" s="35">
        <f t="shared" si="293"/>
        <v>0</v>
      </c>
      <c r="BJ237" s="35">
        <f t="shared" si="294"/>
        <v>0</v>
      </c>
      <c r="BK237" s="38" t="s">
        <v>156</v>
      </c>
      <c r="BL237" s="35"/>
      <c r="BW237" s="35">
        <f t="shared" si="295"/>
        <v>21</v>
      </c>
      <c r="BX237" s="4" t="s">
        <v>729</v>
      </c>
    </row>
    <row r="238" spans="1:76" x14ac:dyDescent="0.25">
      <c r="A238" s="2" t="s">
        <v>730</v>
      </c>
      <c r="B238" s="3" t="s">
        <v>215</v>
      </c>
      <c r="C238" s="3" t="s">
        <v>731</v>
      </c>
      <c r="D238" s="70" t="s">
        <v>732</v>
      </c>
      <c r="E238" s="71"/>
      <c r="F238" s="3" t="s">
        <v>155</v>
      </c>
      <c r="G238" s="35">
        <v>1</v>
      </c>
      <c r="H238" s="68">
        <v>0</v>
      </c>
      <c r="I238" s="36">
        <v>21</v>
      </c>
      <c r="J238" s="35">
        <f t="shared" si="268"/>
        <v>0</v>
      </c>
      <c r="K238" s="35">
        <f t="shared" si="269"/>
        <v>0</v>
      </c>
      <c r="L238" s="35">
        <f t="shared" si="270"/>
        <v>0</v>
      </c>
      <c r="M238" s="35">
        <f t="shared" si="271"/>
        <v>0</v>
      </c>
      <c r="N238" s="35">
        <v>0</v>
      </c>
      <c r="O238" s="35">
        <f t="shared" si="272"/>
        <v>0</v>
      </c>
      <c r="P238" s="37" t="s">
        <v>64</v>
      </c>
      <c r="Z238" s="35">
        <f t="shared" si="273"/>
        <v>0</v>
      </c>
      <c r="AB238" s="35">
        <f t="shared" si="274"/>
        <v>0</v>
      </c>
      <c r="AC238" s="35">
        <f t="shared" si="275"/>
        <v>0</v>
      </c>
      <c r="AD238" s="35">
        <f t="shared" si="276"/>
        <v>0</v>
      </c>
      <c r="AE238" s="35">
        <f t="shared" si="277"/>
        <v>0</v>
      </c>
      <c r="AF238" s="35">
        <f t="shared" si="278"/>
        <v>0</v>
      </c>
      <c r="AG238" s="35">
        <f t="shared" si="279"/>
        <v>0</v>
      </c>
      <c r="AH238" s="35">
        <f t="shared" si="280"/>
        <v>0</v>
      </c>
      <c r="AI238" s="12" t="s">
        <v>215</v>
      </c>
      <c r="AJ238" s="35">
        <f t="shared" si="281"/>
        <v>0</v>
      </c>
      <c r="AK238" s="35">
        <f t="shared" si="282"/>
        <v>0</v>
      </c>
      <c r="AL238" s="35">
        <f t="shared" si="283"/>
        <v>0</v>
      </c>
      <c r="AN238" s="35">
        <v>21</v>
      </c>
      <c r="AO238" s="35">
        <f t="shared" si="284"/>
        <v>0</v>
      </c>
      <c r="AP238" s="35">
        <f t="shared" si="285"/>
        <v>0</v>
      </c>
      <c r="AQ238" s="38" t="s">
        <v>196</v>
      </c>
      <c r="AV238" s="35">
        <f t="shared" si="286"/>
        <v>0</v>
      </c>
      <c r="AW238" s="35">
        <f t="shared" si="287"/>
        <v>0</v>
      </c>
      <c r="AX238" s="35">
        <f t="shared" si="288"/>
        <v>0</v>
      </c>
      <c r="AY238" s="38" t="s">
        <v>197</v>
      </c>
      <c r="AZ238" s="38" t="s">
        <v>699</v>
      </c>
      <c r="BA238" s="12" t="s">
        <v>225</v>
      </c>
      <c r="BC238" s="35">
        <f t="shared" si="289"/>
        <v>0</v>
      </c>
      <c r="BD238" s="35">
        <f t="shared" si="290"/>
        <v>0</v>
      </c>
      <c r="BE238" s="35">
        <v>0</v>
      </c>
      <c r="BF238" s="35">
        <f t="shared" si="291"/>
        <v>0</v>
      </c>
      <c r="BH238" s="35">
        <f t="shared" si="292"/>
        <v>0</v>
      </c>
      <c r="BI238" s="35">
        <f t="shared" si="293"/>
        <v>0</v>
      </c>
      <c r="BJ238" s="35">
        <f t="shared" si="294"/>
        <v>0</v>
      </c>
      <c r="BK238" s="38" t="s">
        <v>156</v>
      </c>
      <c r="BL238" s="35"/>
      <c r="BW238" s="35">
        <f t="shared" si="295"/>
        <v>21</v>
      </c>
      <c r="BX238" s="4" t="s">
        <v>732</v>
      </c>
    </row>
    <row r="239" spans="1:76" x14ac:dyDescent="0.25">
      <c r="A239" s="2" t="s">
        <v>733</v>
      </c>
      <c r="B239" s="3" t="s">
        <v>215</v>
      </c>
      <c r="C239" s="3" t="s">
        <v>734</v>
      </c>
      <c r="D239" s="70" t="s">
        <v>735</v>
      </c>
      <c r="E239" s="71"/>
      <c r="F239" s="3" t="s">
        <v>155</v>
      </c>
      <c r="G239" s="35">
        <v>1</v>
      </c>
      <c r="H239" s="68">
        <v>0</v>
      </c>
      <c r="I239" s="36">
        <v>21</v>
      </c>
      <c r="J239" s="35">
        <f t="shared" si="268"/>
        <v>0</v>
      </c>
      <c r="K239" s="35">
        <f t="shared" si="269"/>
        <v>0</v>
      </c>
      <c r="L239" s="35">
        <f t="shared" si="270"/>
        <v>0</v>
      </c>
      <c r="M239" s="35">
        <f t="shared" si="271"/>
        <v>0</v>
      </c>
      <c r="N239" s="35">
        <v>0</v>
      </c>
      <c r="O239" s="35">
        <f t="shared" si="272"/>
        <v>0</v>
      </c>
      <c r="P239" s="37" t="s">
        <v>64</v>
      </c>
      <c r="Z239" s="35">
        <f t="shared" si="273"/>
        <v>0</v>
      </c>
      <c r="AB239" s="35">
        <f t="shared" si="274"/>
        <v>0</v>
      </c>
      <c r="AC239" s="35">
        <f t="shared" si="275"/>
        <v>0</v>
      </c>
      <c r="AD239" s="35">
        <f t="shared" si="276"/>
        <v>0</v>
      </c>
      <c r="AE239" s="35">
        <f t="shared" si="277"/>
        <v>0</v>
      </c>
      <c r="AF239" s="35">
        <f t="shared" si="278"/>
        <v>0</v>
      </c>
      <c r="AG239" s="35">
        <f t="shared" si="279"/>
        <v>0</v>
      </c>
      <c r="AH239" s="35">
        <f t="shared" si="280"/>
        <v>0</v>
      </c>
      <c r="AI239" s="12" t="s">
        <v>215</v>
      </c>
      <c r="AJ239" s="35">
        <f t="shared" si="281"/>
        <v>0</v>
      </c>
      <c r="AK239" s="35">
        <f t="shared" si="282"/>
        <v>0</v>
      </c>
      <c r="AL239" s="35">
        <f t="shared" si="283"/>
        <v>0</v>
      </c>
      <c r="AN239" s="35">
        <v>21</v>
      </c>
      <c r="AO239" s="35">
        <f t="shared" si="284"/>
        <v>0</v>
      </c>
      <c r="AP239" s="35">
        <f t="shared" si="285"/>
        <v>0</v>
      </c>
      <c r="AQ239" s="38" t="s">
        <v>196</v>
      </c>
      <c r="AV239" s="35">
        <f t="shared" si="286"/>
        <v>0</v>
      </c>
      <c r="AW239" s="35">
        <f t="shared" si="287"/>
        <v>0</v>
      </c>
      <c r="AX239" s="35">
        <f t="shared" si="288"/>
        <v>0</v>
      </c>
      <c r="AY239" s="38" t="s">
        <v>197</v>
      </c>
      <c r="AZ239" s="38" t="s">
        <v>699</v>
      </c>
      <c r="BA239" s="12" t="s">
        <v>225</v>
      </c>
      <c r="BC239" s="35">
        <f t="shared" si="289"/>
        <v>0</v>
      </c>
      <c r="BD239" s="35">
        <f t="shared" si="290"/>
        <v>0</v>
      </c>
      <c r="BE239" s="35">
        <v>0</v>
      </c>
      <c r="BF239" s="35">
        <f t="shared" si="291"/>
        <v>0</v>
      </c>
      <c r="BH239" s="35">
        <f t="shared" si="292"/>
        <v>0</v>
      </c>
      <c r="BI239" s="35">
        <f t="shared" si="293"/>
        <v>0</v>
      </c>
      <c r="BJ239" s="35">
        <f t="shared" si="294"/>
        <v>0</v>
      </c>
      <c r="BK239" s="38" t="s">
        <v>156</v>
      </c>
      <c r="BL239" s="35"/>
      <c r="BW239" s="35">
        <f t="shared" si="295"/>
        <v>21</v>
      </c>
      <c r="BX239" s="4" t="s">
        <v>735</v>
      </c>
    </row>
    <row r="240" spans="1:76" ht="25.5" x14ac:dyDescent="0.25">
      <c r="A240" s="2" t="s">
        <v>736</v>
      </c>
      <c r="B240" s="3" t="s">
        <v>215</v>
      </c>
      <c r="C240" s="3" t="s">
        <v>737</v>
      </c>
      <c r="D240" s="70" t="s">
        <v>738</v>
      </c>
      <c r="E240" s="71"/>
      <c r="F240" s="3" t="s">
        <v>397</v>
      </c>
      <c r="G240" s="35">
        <v>2</v>
      </c>
      <c r="H240" s="68">
        <v>0</v>
      </c>
      <c r="I240" s="36">
        <v>21</v>
      </c>
      <c r="J240" s="35">
        <f t="shared" si="268"/>
        <v>0</v>
      </c>
      <c r="K240" s="35">
        <f t="shared" si="269"/>
        <v>0</v>
      </c>
      <c r="L240" s="35">
        <f t="shared" si="270"/>
        <v>0</v>
      </c>
      <c r="M240" s="35">
        <f t="shared" si="271"/>
        <v>0</v>
      </c>
      <c r="N240" s="35">
        <v>0</v>
      </c>
      <c r="O240" s="35">
        <f t="shared" si="272"/>
        <v>0</v>
      </c>
      <c r="P240" s="37" t="s">
        <v>64</v>
      </c>
      <c r="Z240" s="35">
        <f t="shared" si="273"/>
        <v>0</v>
      </c>
      <c r="AB240" s="35">
        <f t="shared" si="274"/>
        <v>0</v>
      </c>
      <c r="AC240" s="35">
        <f t="shared" si="275"/>
        <v>0</v>
      </c>
      <c r="AD240" s="35">
        <f t="shared" si="276"/>
        <v>0</v>
      </c>
      <c r="AE240" s="35">
        <f t="shared" si="277"/>
        <v>0</v>
      </c>
      <c r="AF240" s="35">
        <f t="shared" si="278"/>
        <v>0</v>
      </c>
      <c r="AG240" s="35">
        <f t="shared" si="279"/>
        <v>0</v>
      </c>
      <c r="AH240" s="35">
        <f t="shared" si="280"/>
        <v>0</v>
      </c>
      <c r="AI240" s="12" t="s">
        <v>215</v>
      </c>
      <c r="AJ240" s="35">
        <f t="shared" si="281"/>
        <v>0</v>
      </c>
      <c r="AK240" s="35">
        <f t="shared" si="282"/>
        <v>0</v>
      </c>
      <c r="AL240" s="35">
        <f t="shared" si="283"/>
        <v>0</v>
      </c>
      <c r="AN240" s="35">
        <v>21</v>
      </c>
      <c r="AO240" s="35">
        <f t="shared" si="284"/>
        <v>0</v>
      </c>
      <c r="AP240" s="35">
        <f t="shared" si="285"/>
        <v>0</v>
      </c>
      <c r="AQ240" s="38" t="s">
        <v>196</v>
      </c>
      <c r="AV240" s="35">
        <f t="shared" si="286"/>
        <v>0</v>
      </c>
      <c r="AW240" s="35">
        <f t="shared" si="287"/>
        <v>0</v>
      </c>
      <c r="AX240" s="35">
        <f t="shared" si="288"/>
        <v>0</v>
      </c>
      <c r="AY240" s="38" t="s">
        <v>197</v>
      </c>
      <c r="AZ240" s="38" t="s">
        <v>699</v>
      </c>
      <c r="BA240" s="12" t="s">
        <v>225</v>
      </c>
      <c r="BC240" s="35">
        <f t="shared" si="289"/>
        <v>0</v>
      </c>
      <c r="BD240" s="35">
        <f t="shared" si="290"/>
        <v>0</v>
      </c>
      <c r="BE240" s="35">
        <v>0</v>
      </c>
      <c r="BF240" s="35">
        <f t="shared" si="291"/>
        <v>0</v>
      </c>
      <c r="BH240" s="35">
        <f t="shared" si="292"/>
        <v>0</v>
      </c>
      <c r="BI240" s="35">
        <f t="shared" si="293"/>
        <v>0</v>
      </c>
      <c r="BJ240" s="35">
        <f t="shared" si="294"/>
        <v>0</v>
      </c>
      <c r="BK240" s="38" t="s">
        <v>156</v>
      </c>
      <c r="BL240" s="35"/>
      <c r="BW240" s="35">
        <f t="shared" si="295"/>
        <v>21</v>
      </c>
      <c r="BX240" s="4" t="s">
        <v>738</v>
      </c>
    </row>
    <row r="241" spans="1:76" x14ac:dyDescent="0.25">
      <c r="A241" s="2" t="s">
        <v>739</v>
      </c>
      <c r="B241" s="3" t="s">
        <v>215</v>
      </c>
      <c r="C241" s="3" t="s">
        <v>740</v>
      </c>
      <c r="D241" s="70" t="s">
        <v>741</v>
      </c>
      <c r="E241" s="71"/>
      <c r="F241" s="3" t="s">
        <v>85</v>
      </c>
      <c r="G241" s="35">
        <v>2</v>
      </c>
      <c r="H241" s="68">
        <v>0</v>
      </c>
      <c r="I241" s="36">
        <v>21</v>
      </c>
      <c r="J241" s="35">
        <f t="shared" si="268"/>
        <v>0</v>
      </c>
      <c r="K241" s="35">
        <f t="shared" si="269"/>
        <v>0</v>
      </c>
      <c r="L241" s="35">
        <f t="shared" si="270"/>
        <v>0</v>
      </c>
      <c r="M241" s="35">
        <f t="shared" si="271"/>
        <v>0</v>
      </c>
      <c r="N241" s="35">
        <v>0</v>
      </c>
      <c r="O241" s="35">
        <f t="shared" si="272"/>
        <v>0</v>
      </c>
      <c r="P241" s="37" t="s">
        <v>64</v>
      </c>
      <c r="Z241" s="35">
        <f t="shared" si="273"/>
        <v>0</v>
      </c>
      <c r="AB241" s="35">
        <f t="shared" si="274"/>
        <v>0</v>
      </c>
      <c r="AC241" s="35">
        <f t="shared" si="275"/>
        <v>0</v>
      </c>
      <c r="AD241" s="35">
        <f t="shared" si="276"/>
        <v>0</v>
      </c>
      <c r="AE241" s="35">
        <f t="shared" si="277"/>
        <v>0</v>
      </c>
      <c r="AF241" s="35">
        <f t="shared" si="278"/>
        <v>0</v>
      </c>
      <c r="AG241" s="35">
        <f t="shared" si="279"/>
        <v>0</v>
      </c>
      <c r="AH241" s="35">
        <f t="shared" si="280"/>
        <v>0</v>
      </c>
      <c r="AI241" s="12" t="s">
        <v>215</v>
      </c>
      <c r="AJ241" s="35">
        <f t="shared" si="281"/>
        <v>0</v>
      </c>
      <c r="AK241" s="35">
        <f t="shared" si="282"/>
        <v>0</v>
      </c>
      <c r="AL241" s="35">
        <f t="shared" si="283"/>
        <v>0</v>
      </c>
      <c r="AN241" s="35">
        <v>21</v>
      </c>
      <c r="AO241" s="35">
        <f t="shared" si="284"/>
        <v>0</v>
      </c>
      <c r="AP241" s="35">
        <f t="shared" si="285"/>
        <v>0</v>
      </c>
      <c r="AQ241" s="38" t="s">
        <v>196</v>
      </c>
      <c r="AV241" s="35">
        <f t="shared" si="286"/>
        <v>0</v>
      </c>
      <c r="AW241" s="35">
        <f t="shared" si="287"/>
        <v>0</v>
      </c>
      <c r="AX241" s="35">
        <f t="shared" si="288"/>
        <v>0</v>
      </c>
      <c r="AY241" s="38" t="s">
        <v>197</v>
      </c>
      <c r="AZ241" s="38" t="s">
        <v>699</v>
      </c>
      <c r="BA241" s="12" t="s">
        <v>225</v>
      </c>
      <c r="BC241" s="35">
        <f t="shared" si="289"/>
        <v>0</v>
      </c>
      <c r="BD241" s="35">
        <f t="shared" si="290"/>
        <v>0</v>
      </c>
      <c r="BE241" s="35">
        <v>0</v>
      </c>
      <c r="BF241" s="35">
        <f t="shared" si="291"/>
        <v>0</v>
      </c>
      <c r="BH241" s="35">
        <f t="shared" si="292"/>
        <v>0</v>
      </c>
      <c r="BI241" s="35">
        <f t="shared" si="293"/>
        <v>0</v>
      </c>
      <c r="BJ241" s="35">
        <f t="shared" si="294"/>
        <v>0</v>
      </c>
      <c r="BK241" s="38" t="s">
        <v>156</v>
      </c>
      <c r="BL241" s="35"/>
      <c r="BW241" s="35">
        <f t="shared" si="295"/>
        <v>21</v>
      </c>
      <c r="BX241" s="4" t="s">
        <v>741</v>
      </c>
    </row>
    <row r="242" spans="1:76" x14ac:dyDescent="0.25">
      <c r="A242" s="2" t="s">
        <v>742</v>
      </c>
      <c r="B242" s="3" t="s">
        <v>215</v>
      </c>
      <c r="C242" s="3" t="s">
        <v>743</v>
      </c>
      <c r="D242" s="70" t="s">
        <v>744</v>
      </c>
      <c r="E242" s="71"/>
      <c r="F242" s="3" t="s">
        <v>85</v>
      </c>
      <c r="G242" s="35">
        <v>1</v>
      </c>
      <c r="H242" s="68">
        <v>0</v>
      </c>
      <c r="I242" s="36">
        <v>21</v>
      </c>
      <c r="J242" s="35">
        <f t="shared" si="268"/>
        <v>0</v>
      </c>
      <c r="K242" s="35">
        <f t="shared" si="269"/>
        <v>0</v>
      </c>
      <c r="L242" s="35">
        <f t="shared" si="270"/>
        <v>0</v>
      </c>
      <c r="M242" s="35">
        <f t="shared" si="271"/>
        <v>0</v>
      </c>
      <c r="N242" s="35">
        <v>0</v>
      </c>
      <c r="O242" s="35">
        <f t="shared" si="272"/>
        <v>0</v>
      </c>
      <c r="P242" s="37" t="s">
        <v>64</v>
      </c>
      <c r="Z242" s="35">
        <f t="shared" si="273"/>
        <v>0</v>
      </c>
      <c r="AB242" s="35">
        <f t="shared" si="274"/>
        <v>0</v>
      </c>
      <c r="AC242" s="35">
        <f t="shared" si="275"/>
        <v>0</v>
      </c>
      <c r="AD242" s="35">
        <f t="shared" si="276"/>
        <v>0</v>
      </c>
      <c r="AE242" s="35">
        <f t="shared" si="277"/>
        <v>0</v>
      </c>
      <c r="AF242" s="35">
        <f t="shared" si="278"/>
        <v>0</v>
      </c>
      <c r="AG242" s="35">
        <f t="shared" si="279"/>
        <v>0</v>
      </c>
      <c r="AH242" s="35">
        <f t="shared" si="280"/>
        <v>0</v>
      </c>
      <c r="AI242" s="12" t="s">
        <v>215</v>
      </c>
      <c r="AJ242" s="35">
        <f t="shared" si="281"/>
        <v>0</v>
      </c>
      <c r="AK242" s="35">
        <f t="shared" si="282"/>
        <v>0</v>
      </c>
      <c r="AL242" s="35">
        <f t="shared" si="283"/>
        <v>0</v>
      </c>
      <c r="AN242" s="35">
        <v>21</v>
      </c>
      <c r="AO242" s="35">
        <f t="shared" si="284"/>
        <v>0</v>
      </c>
      <c r="AP242" s="35">
        <f t="shared" si="285"/>
        <v>0</v>
      </c>
      <c r="AQ242" s="38" t="s">
        <v>196</v>
      </c>
      <c r="AV242" s="35">
        <f t="shared" si="286"/>
        <v>0</v>
      </c>
      <c r="AW242" s="35">
        <f t="shared" si="287"/>
        <v>0</v>
      </c>
      <c r="AX242" s="35">
        <f t="shared" si="288"/>
        <v>0</v>
      </c>
      <c r="AY242" s="38" t="s">
        <v>197</v>
      </c>
      <c r="AZ242" s="38" t="s">
        <v>699</v>
      </c>
      <c r="BA242" s="12" t="s">
        <v>225</v>
      </c>
      <c r="BC242" s="35">
        <f t="shared" si="289"/>
        <v>0</v>
      </c>
      <c r="BD242" s="35">
        <f t="shared" si="290"/>
        <v>0</v>
      </c>
      <c r="BE242" s="35">
        <v>0</v>
      </c>
      <c r="BF242" s="35">
        <f t="shared" si="291"/>
        <v>0</v>
      </c>
      <c r="BH242" s="35">
        <f t="shared" si="292"/>
        <v>0</v>
      </c>
      <c r="BI242" s="35">
        <f t="shared" si="293"/>
        <v>0</v>
      </c>
      <c r="BJ242" s="35">
        <f t="shared" si="294"/>
        <v>0</v>
      </c>
      <c r="BK242" s="38" t="s">
        <v>156</v>
      </c>
      <c r="BL242" s="35"/>
      <c r="BW242" s="35">
        <f t="shared" si="295"/>
        <v>21</v>
      </c>
      <c r="BX242" s="4" t="s">
        <v>744</v>
      </c>
    </row>
    <row r="243" spans="1:76" ht="25.5" x14ac:dyDescent="0.25">
      <c r="A243" s="2" t="s">
        <v>745</v>
      </c>
      <c r="B243" s="3" t="s">
        <v>215</v>
      </c>
      <c r="C243" s="3" t="s">
        <v>746</v>
      </c>
      <c r="D243" s="70" t="s">
        <v>747</v>
      </c>
      <c r="E243" s="71"/>
      <c r="F243" s="3" t="s">
        <v>85</v>
      </c>
      <c r="G243" s="35">
        <v>2</v>
      </c>
      <c r="H243" s="68">
        <v>0</v>
      </c>
      <c r="I243" s="36">
        <v>21</v>
      </c>
      <c r="J243" s="35">
        <f t="shared" si="268"/>
        <v>0</v>
      </c>
      <c r="K243" s="35">
        <f t="shared" si="269"/>
        <v>0</v>
      </c>
      <c r="L243" s="35">
        <f t="shared" si="270"/>
        <v>0</v>
      </c>
      <c r="M243" s="35">
        <f t="shared" si="271"/>
        <v>0</v>
      </c>
      <c r="N243" s="35">
        <v>0</v>
      </c>
      <c r="O243" s="35">
        <f t="shared" si="272"/>
        <v>0</v>
      </c>
      <c r="P243" s="37" t="s">
        <v>64</v>
      </c>
      <c r="Z243" s="35">
        <f t="shared" si="273"/>
        <v>0</v>
      </c>
      <c r="AB243" s="35">
        <f t="shared" si="274"/>
        <v>0</v>
      </c>
      <c r="AC243" s="35">
        <f t="shared" si="275"/>
        <v>0</v>
      </c>
      <c r="AD243" s="35">
        <f t="shared" si="276"/>
        <v>0</v>
      </c>
      <c r="AE243" s="35">
        <f t="shared" si="277"/>
        <v>0</v>
      </c>
      <c r="AF243" s="35">
        <f t="shared" si="278"/>
        <v>0</v>
      </c>
      <c r="AG243" s="35">
        <f t="shared" si="279"/>
        <v>0</v>
      </c>
      <c r="AH243" s="35">
        <f t="shared" si="280"/>
        <v>0</v>
      </c>
      <c r="AI243" s="12" t="s">
        <v>215</v>
      </c>
      <c r="AJ243" s="35">
        <f t="shared" si="281"/>
        <v>0</v>
      </c>
      <c r="AK243" s="35">
        <f t="shared" si="282"/>
        <v>0</v>
      </c>
      <c r="AL243" s="35">
        <f t="shared" si="283"/>
        <v>0</v>
      </c>
      <c r="AN243" s="35">
        <v>21</v>
      </c>
      <c r="AO243" s="35">
        <f t="shared" si="284"/>
        <v>0</v>
      </c>
      <c r="AP243" s="35">
        <f t="shared" si="285"/>
        <v>0</v>
      </c>
      <c r="AQ243" s="38" t="s">
        <v>196</v>
      </c>
      <c r="AV243" s="35">
        <f t="shared" si="286"/>
        <v>0</v>
      </c>
      <c r="AW243" s="35">
        <f t="shared" si="287"/>
        <v>0</v>
      </c>
      <c r="AX243" s="35">
        <f t="shared" si="288"/>
        <v>0</v>
      </c>
      <c r="AY243" s="38" t="s">
        <v>197</v>
      </c>
      <c r="AZ243" s="38" t="s">
        <v>699</v>
      </c>
      <c r="BA243" s="12" t="s">
        <v>225</v>
      </c>
      <c r="BC243" s="35">
        <f t="shared" si="289"/>
        <v>0</v>
      </c>
      <c r="BD243" s="35">
        <f t="shared" si="290"/>
        <v>0</v>
      </c>
      <c r="BE243" s="35">
        <v>0</v>
      </c>
      <c r="BF243" s="35">
        <f t="shared" si="291"/>
        <v>0</v>
      </c>
      <c r="BH243" s="35">
        <f t="shared" si="292"/>
        <v>0</v>
      </c>
      <c r="BI243" s="35">
        <f t="shared" si="293"/>
        <v>0</v>
      </c>
      <c r="BJ243" s="35">
        <f t="shared" si="294"/>
        <v>0</v>
      </c>
      <c r="BK243" s="38" t="s">
        <v>156</v>
      </c>
      <c r="BL243" s="35"/>
      <c r="BW243" s="35">
        <f t="shared" si="295"/>
        <v>21</v>
      </c>
      <c r="BX243" s="4" t="s">
        <v>747</v>
      </c>
    </row>
    <row r="244" spans="1:76" x14ac:dyDescent="0.25">
      <c r="A244" s="2" t="s">
        <v>748</v>
      </c>
      <c r="B244" s="3" t="s">
        <v>215</v>
      </c>
      <c r="C244" s="3" t="s">
        <v>749</v>
      </c>
      <c r="D244" s="70" t="s">
        <v>750</v>
      </c>
      <c r="E244" s="71"/>
      <c r="F244" s="3" t="s">
        <v>85</v>
      </c>
      <c r="G244" s="35">
        <v>1</v>
      </c>
      <c r="H244" s="68">
        <v>0</v>
      </c>
      <c r="I244" s="36">
        <v>21</v>
      </c>
      <c r="J244" s="35">
        <f t="shared" si="268"/>
        <v>0</v>
      </c>
      <c r="K244" s="35">
        <f t="shared" si="269"/>
        <v>0</v>
      </c>
      <c r="L244" s="35">
        <f t="shared" si="270"/>
        <v>0</v>
      </c>
      <c r="M244" s="35">
        <f t="shared" si="271"/>
        <v>0</v>
      </c>
      <c r="N244" s="35">
        <v>0</v>
      </c>
      <c r="O244" s="35">
        <f t="shared" si="272"/>
        <v>0</v>
      </c>
      <c r="P244" s="37" t="s">
        <v>64</v>
      </c>
      <c r="Z244" s="35">
        <f t="shared" si="273"/>
        <v>0</v>
      </c>
      <c r="AB244" s="35">
        <f t="shared" si="274"/>
        <v>0</v>
      </c>
      <c r="AC244" s="35">
        <f t="shared" si="275"/>
        <v>0</v>
      </c>
      <c r="AD244" s="35">
        <f t="shared" si="276"/>
        <v>0</v>
      </c>
      <c r="AE244" s="35">
        <f t="shared" si="277"/>
        <v>0</v>
      </c>
      <c r="AF244" s="35">
        <f t="shared" si="278"/>
        <v>0</v>
      </c>
      <c r="AG244" s="35">
        <f t="shared" si="279"/>
        <v>0</v>
      </c>
      <c r="AH244" s="35">
        <f t="shared" si="280"/>
        <v>0</v>
      </c>
      <c r="AI244" s="12" t="s">
        <v>215</v>
      </c>
      <c r="AJ244" s="35">
        <f t="shared" si="281"/>
        <v>0</v>
      </c>
      <c r="AK244" s="35">
        <f t="shared" si="282"/>
        <v>0</v>
      </c>
      <c r="AL244" s="35">
        <f t="shared" si="283"/>
        <v>0</v>
      </c>
      <c r="AN244" s="35">
        <v>21</v>
      </c>
      <c r="AO244" s="35">
        <f t="shared" si="284"/>
        <v>0</v>
      </c>
      <c r="AP244" s="35">
        <f t="shared" si="285"/>
        <v>0</v>
      </c>
      <c r="AQ244" s="38" t="s">
        <v>196</v>
      </c>
      <c r="AV244" s="35">
        <f t="shared" si="286"/>
        <v>0</v>
      </c>
      <c r="AW244" s="35">
        <f t="shared" si="287"/>
        <v>0</v>
      </c>
      <c r="AX244" s="35">
        <f t="shared" si="288"/>
        <v>0</v>
      </c>
      <c r="AY244" s="38" t="s">
        <v>197</v>
      </c>
      <c r="AZ244" s="38" t="s">
        <v>699</v>
      </c>
      <c r="BA244" s="12" t="s">
        <v>225</v>
      </c>
      <c r="BC244" s="35">
        <f t="shared" si="289"/>
        <v>0</v>
      </c>
      <c r="BD244" s="35">
        <f t="shared" si="290"/>
        <v>0</v>
      </c>
      <c r="BE244" s="35">
        <v>0</v>
      </c>
      <c r="BF244" s="35">
        <f t="shared" si="291"/>
        <v>0</v>
      </c>
      <c r="BH244" s="35">
        <f t="shared" si="292"/>
        <v>0</v>
      </c>
      <c r="BI244" s="35">
        <f t="shared" si="293"/>
        <v>0</v>
      </c>
      <c r="BJ244" s="35">
        <f t="shared" si="294"/>
        <v>0</v>
      </c>
      <c r="BK244" s="38" t="s">
        <v>156</v>
      </c>
      <c r="BL244" s="35"/>
      <c r="BW244" s="35">
        <f t="shared" si="295"/>
        <v>21</v>
      </c>
      <c r="BX244" s="4" t="s">
        <v>750</v>
      </c>
    </row>
    <row r="245" spans="1:76" x14ac:dyDescent="0.25">
      <c r="A245" s="2" t="s">
        <v>751</v>
      </c>
      <c r="B245" s="3" t="s">
        <v>215</v>
      </c>
      <c r="C245" s="3" t="s">
        <v>752</v>
      </c>
      <c r="D245" s="70" t="s">
        <v>753</v>
      </c>
      <c r="E245" s="71"/>
      <c r="F245" s="3" t="s">
        <v>85</v>
      </c>
      <c r="G245" s="35">
        <v>1</v>
      </c>
      <c r="H245" s="68">
        <v>0</v>
      </c>
      <c r="I245" s="36">
        <v>21</v>
      </c>
      <c r="J245" s="35">
        <f t="shared" si="268"/>
        <v>0</v>
      </c>
      <c r="K245" s="35">
        <f t="shared" si="269"/>
        <v>0</v>
      </c>
      <c r="L245" s="35">
        <f t="shared" si="270"/>
        <v>0</v>
      </c>
      <c r="M245" s="35">
        <f t="shared" si="271"/>
        <v>0</v>
      </c>
      <c r="N245" s="35">
        <v>0</v>
      </c>
      <c r="O245" s="35">
        <f t="shared" si="272"/>
        <v>0</v>
      </c>
      <c r="P245" s="37" t="s">
        <v>64</v>
      </c>
      <c r="Z245" s="35">
        <f t="shared" si="273"/>
        <v>0</v>
      </c>
      <c r="AB245" s="35">
        <f t="shared" si="274"/>
        <v>0</v>
      </c>
      <c r="AC245" s="35">
        <f t="shared" si="275"/>
        <v>0</v>
      </c>
      <c r="AD245" s="35">
        <f t="shared" si="276"/>
        <v>0</v>
      </c>
      <c r="AE245" s="35">
        <f t="shared" si="277"/>
        <v>0</v>
      </c>
      <c r="AF245" s="35">
        <f t="shared" si="278"/>
        <v>0</v>
      </c>
      <c r="AG245" s="35">
        <f t="shared" si="279"/>
        <v>0</v>
      </c>
      <c r="AH245" s="35">
        <f t="shared" si="280"/>
        <v>0</v>
      </c>
      <c r="AI245" s="12" t="s">
        <v>215</v>
      </c>
      <c r="AJ245" s="35">
        <f t="shared" si="281"/>
        <v>0</v>
      </c>
      <c r="AK245" s="35">
        <f t="shared" si="282"/>
        <v>0</v>
      </c>
      <c r="AL245" s="35">
        <f t="shared" si="283"/>
        <v>0</v>
      </c>
      <c r="AN245" s="35">
        <v>21</v>
      </c>
      <c r="AO245" s="35">
        <f t="shared" si="284"/>
        <v>0</v>
      </c>
      <c r="AP245" s="35">
        <f t="shared" si="285"/>
        <v>0</v>
      </c>
      <c r="AQ245" s="38" t="s">
        <v>196</v>
      </c>
      <c r="AV245" s="35">
        <f t="shared" si="286"/>
        <v>0</v>
      </c>
      <c r="AW245" s="35">
        <f t="shared" si="287"/>
        <v>0</v>
      </c>
      <c r="AX245" s="35">
        <f t="shared" si="288"/>
        <v>0</v>
      </c>
      <c r="AY245" s="38" t="s">
        <v>197</v>
      </c>
      <c r="AZ245" s="38" t="s">
        <v>699</v>
      </c>
      <c r="BA245" s="12" t="s">
        <v>225</v>
      </c>
      <c r="BC245" s="35">
        <f t="shared" si="289"/>
        <v>0</v>
      </c>
      <c r="BD245" s="35">
        <f t="shared" si="290"/>
        <v>0</v>
      </c>
      <c r="BE245" s="35">
        <v>0</v>
      </c>
      <c r="BF245" s="35">
        <f t="shared" si="291"/>
        <v>0</v>
      </c>
      <c r="BH245" s="35">
        <f t="shared" si="292"/>
        <v>0</v>
      </c>
      <c r="BI245" s="35">
        <f t="shared" si="293"/>
        <v>0</v>
      </c>
      <c r="BJ245" s="35">
        <f t="shared" si="294"/>
        <v>0</v>
      </c>
      <c r="BK245" s="38" t="s">
        <v>156</v>
      </c>
      <c r="BL245" s="35"/>
      <c r="BW245" s="35">
        <f t="shared" si="295"/>
        <v>21</v>
      </c>
      <c r="BX245" s="4" t="s">
        <v>753</v>
      </c>
    </row>
    <row r="246" spans="1:76" ht="25.5" x14ac:dyDescent="0.25">
      <c r="A246" s="2" t="s">
        <v>754</v>
      </c>
      <c r="B246" s="3" t="s">
        <v>215</v>
      </c>
      <c r="C246" s="3" t="s">
        <v>755</v>
      </c>
      <c r="D246" s="70" t="s">
        <v>756</v>
      </c>
      <c r="E246" s="71"/>
      <c r="F246" s="3" t="s">
        <v>85</v>
      </c>
      <c r="G246" s="35">
        <v>1</v>
      </c>
      <c r="H246" s="68">
        <v>0</v>
      </c>
      <c r="I246" s="36">
        <v>21</v>
      </c>
      <c r="J246" s="35">
        <f t="shared" si="268"/>
        <v>0</v>
      </c>
      <c r="K246" s="35">
        <f t="shared" si="269"/>
        <v>0</v>
      </c>
      <c r="L246" s="35">
        <f t="shared" si="270"/>
        <v>0</v>
      </c>
      <c r="M246" s="35">
        <f t="shared" si="271"/>
        <v>0</v>
      </c>
      <c r="N246" s="35">
        <v>0</v>
      </c>
      <c r="O246" s="35">
        <f t="shared" si="272"/>
        <v>0</v>
      </c>
      <c r="P246" s="37" t="s">
        <v>64</v>
      </c>
      <c r="Z246" s="35">
        <f t="shared" si="273"/>
        <v>0</v>
      </c>
      <c r="AB246" s="35">
        <f t="shared" si="274"/>
        <v>0</v>
      </c>
      <c r="AC246" s="35">
        <f t="shared" si="275"/>
        <v>0</v>
      </c>
      <c r="AD246" s="35">
        <f t="shared" si="276"/>
        <v>0</v>
      </c>
      <c r="AE246" s="35">
        <f t="shared" si="277"/>
        <v>0</v>
      </c>
      <c r="AF246" s="35">
        <f t="shared" si="278"/>
        <v>0</v>
      </c>
      <c r="AG246" s="35">
        <f t="shared" si="279"/>
        <v>0</v>
      </c>
      <c r="AH246" s="35">
        <f t="shared" si="280"/>
        <v>0</v>
      </c>
      <c r="AI246" s="12" t="s">
        <v>215</v>
      </c>
      <c r="AJ246" s="35">
        <f t="shared" si="281"/>
        <v>0</v>
      </c>
      <c r="AK246" s="35">
        <f t="shared" si="282"/>
        <v>0</v>
      </c>
      <c r="AL246" s="35">
        <f t="shared" si="283"/>
        <v>0</v>
      </c>
      <c r="AN246" s="35">
        <v>21</v>
      </c>
      <c r="AO246" s="35">
        <f t="shared" si="284"/>
        <v>0</v>
      </c>
      <c r="AP246" s="35">
        <f t="shared" si="285"/>
        <v>0</v>
      </c>
      <c r="AQ246" s="38" t="s">
        <v>196</v>
      </c>
      <c r="AV246" s="35">
        <f t="shared" si="286"/>
        <v>0</v>
      </c>
      <c r="AW246" s="35">
        <f t="shared" si="287"/>
        <v>0</v>
      </c>
      <c r="AX246" s="35">
        <f t="shared" si="288"/>
        <v>0</v>
      </c>
      <c r="AY246" s="38" t="s">
        <v>197</v>
      </c>
      <c r="AZ246" s="38" t="s">
        <v>699</v>
      </c>
      <c r="BA246" s="12" t="s">
        <v>225</v>
      </c>
      <c r="BC246" s="35">
        <f t="shared" si="289"/>
        <v>0</v>
      </c>
      <c r="BD246" s="35">
        <f t="shared" si="290"/>
        <v>0</v>
      </c>
      <c r="BE246" s="35">
        <v>0</v>
      </c>
      <c r="BF246" s="35">
        <f t="shared" si="291"/>
        <v>0</v>
      </c>
      <c r="BH246" s="35">
        <f t="shared" si="292"/>
        <v>0</v>
      </c>
      <c r="BI246" s="35">
        <f t="shared" si="293"/>
        <v>0</v>
      </c>
      <c r="BJ246" s="35">
        <f t="shared" si="294"/>
        <v>0</v>
      </c>
      <c r="BK246" s="38" t="s">
        <v>156</v>
      </c>
      <c r="BL246" s="35"/>
      <c r="BW246" s="35">
        <f t="shared" si="295"/>
        <v>21</v>
      </c>
      <c r="BX246" s="4" t="s">
        <v>756</v>
      </c>
    </row>
    <row r="247" spans="1:76" ht="25.5" x14ac:dyDescent="0.25">
      <c r="A247" s="2" t="s">
        <v>757</v>
      </c>
      <c r="B247" s="3" t="s">
        <v>215</v>
      </c>
      <c r="C247" s="3" t="s">
        <v>758</v>
      </c>
      <c r="D247" s="70" t="s">
        <v>759</v>
      </c>
      <c r="E247" s="71"/>
      <c r="F247" s="3" t="s">
        <v>85</v>
      </c>
      <c r="G247" s="35">
        <v>1</v>
      </c>
      <c r="H247" s="68">
        <v>0</v>
      </c>
      <c r="I247" s="36">
        <v>21</v>
      </c>
      <c r="J247" s="35">
        <f t="shared" si="268"/>
        <v>0</v>
      </c>
      <c r="K247" s="35">
        <f t="shared" si="269"/>
        <v>0</v>
      </c>
      <c r="L247" s="35">
        <f t="shared" si="270"/>
        <v>0</v>
      </c>
      <c r="M247" s="35">
        <f t="shared" si="271"/>
        <v>0</v>
      </c>
      <c r="N247" s="35">
        <v>0</v>
      </c>
      <c r="O247" s="35">
        <f t="shared" si="272"/>
        <v>0</v>
      </c>
      <c r="P247" s="37" t="s">
        <v>64</v>
      </c>
      <c r="Z247" s="35">
        <f t="shared" si="273"/>
        <v>0</v>
      </c>
      <c r="AB247" s="35">
        <f t="shared" si="274"/>
        <v>0</v>
      </c>
      <c r="AC247" s="35">
        <f t="shared" si="275"/>
        <v>0</v>
      </c>
      <c r="AD247" s="35">
        <f t="shared" si="276"/>
        <v>0</v>
      </c>
      <c r="AE247" s="35">
        <f t="shared" si="277"/>
        <v>0</v>
      </c>
      <c r="AF247" s="35">
        <f t="shared" si="278"/>
        <v>0</v>
      </c>
      <c r="AG247" s="35">
        <f t="shared" si="279"/>
        <v>0</v>
      </c>
      <c r="AH247" s="35">
        <f t="shared" si="280"/>
        <v>0</v>
      </c>
      <c r="AI247" s="12" t="s">
        <v>215</v>
      </c>
      <c r="AJ247" s="35">
        <f t="shared" si="281"/>
        <v>0</v>
      </c>
      <c r="AK247" s="35">
        <f t="shared" si="282"/>
        <v>0</v>
      </c>
      <c r="AL247" s="35">
        <f t="shared" si="283"/>
        <v>0</v>
      </c>
      <c r="AN247" s="35">
        <v>21</v>
      </c>
      <c r="AO247" s="35">
        <f t="shared" si="284"/>
        <v>0</v>
      </c>
      <c r="AP247" s="35">
        <f t="shared" si="285"/>
        <v>0</v>
      </c>
      <c r="AQ247" s="38" t="s">
        <v>196</v>
      </c>
      <c r="AV247" s="35">
        <f t="shared" si="286"/>
        <v>0</v>
      </c>
      <c r="AW247" s="35">
        <f t="shared" si="287"/>
        <v>0</v>
      </c>
      <c r="AX247" s="35">
        <f t="shared" si="288"/>
        <v>0</v>
      </c>
      <c r="AY247" s="38" t="s">
        <v>197</v>
      </c>
      <c r="AZ247" s="38" t="s">
        <v>699</v>
      </c>
      <c r="BA247" s="12" t="s">
        <v>225</v>
      </c>
      <c r="BC247" s="35">
        <f t="shared" si="289"/>
        <v>0</v>
      </c>
      <c r="BD247" s="35">
        <f t="shared" si="290"/>
        <v>0</v>
      </c>
      <c r="BE247" s="35">
        <v>0</v>
      </c>
      <c r="BF247" s="35">
        <f t="shared" si="291"/>
        <v>0</v>
      </c>
      <c r="BH247" s="35">
        <f t="shared" si="292"/>
        <v>0</v>
      </c>
      <c r="BI247" s="35">
        <f t="shared" si="293"/>
        <v>0</v>
      </c>
      <c r="BJ247" s="35">
        <f t="shared" si="294"/>
        <v>0</v>
      </c>
      <c r="BK247" s="38" t="s">
        <v>156</v>
      </c>
      <c r="BL247" s="35"/>
      <c r="BW247" s="35">
        <f t="shared" si="295"/>
        <v>21</v>
      </c>
      <c r="BX247" s="4" t="s">
        <v>759</v>
      </c>
    </row>
    <row r="248" spans="1:76" ht="25.5" x14ac:dyDescent="0.25">
      <c r="A248" s="2" t="s">
        <v>760</v>
      </c>
      <c r="B248" s="3" t="s">
        <v>215</v>
      </c>
      <c r="C248" s="3" t="s">
        <v>761</v>
      </c>
      <c r="D248" s="70" t="s">
        <v>762</v>
      </c>
      <c r="E248" s="71"/>
      <c r="F248" s="3" t="s">
        <v>85</v>
      </c>
      <c r="G248" s="35">
        <v>1</v>
      </c>
      <c r="H248" s="68">
        <v>0</v>
      </c>
      <c r="I248" s="36">
        <v>21</v>
      </c>
      <c r="J248" s="35">
        <f t="shared" si="268"/>
        <v>0</v>
      </c>
      <c r="K248" s="35">
        <f t="shared" si="269"/>
        <v>0</v>
      </c>
      <c r="L248" s="35">
        <f t="shared" si="270"/>
        <v>0</v>
      </c>
      <c r="M248" s="35">
        <f t="shared" si="271"/>
        <v>0</v>
      </c>
      <c r="N248" s="35">
        <v>0</v>
      </c>
      <c r="O248" s="35">
        <f t="shared" si="272"/>
        <v>0</v>
      </c>
      <c r="P248" s="37" t="s">
        <v>64</v>
      </c>
      <c r="Z248" s="35">
        <f t="shared" si="273"/>
        <v>0</v>
      </c>
      <c r="AB248" s="35">
        <f t="shared" si="274"/>
        <v>0</v>
      </c>
      <c r="AC248" s="35">
        <f t="shared" si="275"/>
        <v>0</v>
      </c>
      <c r="AD248" s="35">
        <f t="shared" si="276"/>
        <v>0</v>
      </c>
      <c r="AE248" s="35">
        <f t="shared" si="277"/>
        <v>0</v>
      </c>
      <c r="AF248" s="35">
        <f t="shared" si="278"/>
        <v>0</v>
      </c>
      <c r="AG248" s="35">
        <f t="shared" si="279"/>
        <v>0</v>
      </c>
      <c r="AH248" s="35">
        <f t="shared" si="280"/>
        <v>0</v>
      </c>
      <c r="AI248" s="12" t="s">
        <v>215</v>
      </c>
      <c r="AJ248" s="35">
        <f t="shared" si="281"/>
        <v>0</v>
      </c>
      <c r="AK248" s="35">
        <f t="shared" si="282"/>
        <v>0</v>
      </c>
      <c r="AL248" s="35">
        <f t="shared" si="283"/>
        <v>0</v>
      </c>
      <c r="AN248" s="35">
        <v>21</v>
      </c>
      <c r="AO248" s="35">
        <f t="shared" si="284"/>
        <v>0</v>
      </c>
      <c r="AP248" s="35">
        <f t="shared" si="285"/>
        <v>0</v>
      </c>
      <c r="AQ248" s="38" t="s">
        <v>196</v>
      </c>
      <c r="AV248" s="35">
        <f t="shared" si="286"/>
        <v>0</v>
      </c>
      <c r="AW248" s="35">
        <f t="shared" si="287"/>
        <v>0</v>
      </c>
      <c r="AX248" s="35">
        <f t="shared" si="288"/>
        <v>0</v>
      </c>
      <c r="AY248" s="38" t="s">
        <v>197</v>
      </c>
      <c r="AZ248" s="38" t="s">
        <v>699</v>
      </c>
      <c r="BA248" s="12" t="s">
        <v>225</v>
      </c>
      <c r="BC248" s="35">
        <f t="shared" si="289"/>
        <v>0</v>
      </c>
      <c r="BD248" s="35">
        <f t="shared" si="290"/>
        <v>0</v>
      </c>
      <c r="BE248" s="35">
        <v>0</v>
      </c>
      <c r="BF248" s="35">
        <f t="shared" si="291"/>
        <v>0</v>
      </c>
      <c r="BH248" s="35">
        <f t="shared" si="292"/>
        <v>0</v>
      </c>
      <c r="BI248" s="35">
        <f t="shared" si="293"/>
        <v>0</v>
      </c>
      <c r="BJ248" s="35">
        <f t="shared" si="294"/>
        <v>0</v>
      </c>
      <c r="BK248" s="38" t="s">
        <v>156</v>
      </c>
      <c r="BL248" s="35"/>
      <c r="BW248" s="35">
        <f t="shared" si="295"/>
        <v>21</v>
      </c>
      <c r="BX248" s="4" t="s">
        <v>762</v>
      </c>
    </row>
    <row r="249" spans="1:76" ht="25.5" x14ac:dyDescent="0.25">
      <c r="A249" s="2" t="s">
        <v>763</v>
      </c>
      <c r="B249" s="3" t="s">
        <v>215</v>
      </c>
      <c r="C249" s="3" t="s">
        <v>764</v>
      </c>
      <c r="D249" s="70" t="s">
        <v>765</v>
      </c>
      <c r="E249" s="71"/>
      <c r="F249" s="3" t="s">
        <v>85</v>
      </c>
      <c r="G249" s="35">
        <v>1</v>
      </c>
      <c r="H249" s="68">
        <v>0</v>
      </c>
      <c r="I249" s="36">
        <v>21</v>
      </c>
      <c r="J249" s="35">
        <f t="shared" si="268"/>
        <v>0</v>
      </c>
      <c r="K249" s="35">
        <f t="shared" si="269"/>
        <v>0</v>
      </c>
      <c r="L249" s="35">
        <f t="shared" si="270"/>
        <v>0</v>
      </c>
      <c r="M249" s="35">
        <f t="shared" si="271"/>
        <v>0</v>
      </c>
      <c r="N249" s="35">
        <v>0</v>
      </c>
      <c r="O249" s="35">
        <f t="shared" si="272"/>
        <v>0</v>
      </c>
      <c r="P249" s="37" t="s">
        <v>64</v>
      </c>
      <c r="Z249" s="35">
        <f t="shared" si="273"/>
        <v>0</v>
      </c>
      <c r="AB249" s="35">
        <f t="shared" si="274"/>
        <v>0</v>
      </c>
      <c r="AC249" s="35">
        <f t="shared" si="275"/>
        <v>0</v>
      </c>
      <c r="AD249" s="35">
        <f t="shared" si="276"/>
        <v>0</v>
      </c>
      <c r="AE249" s="35">
        <f t="shared" si="277"/>
        <v>0</v>
      </c>
      <c r="AF249" s="35">
        <f t="shared" si="278"/>
        <v>0</v>
      </c>
      <c r="AG249" s="35">
        <f t="shared" si="279"/>
        <v>0</v>
      </c>
      <c r="AH249" s="35">
        <f t="shared" si="280"/>
        <v>0</v>
      </c>
      <c r="AI249" s="12" t="s">
        <v>215</v>
      </c>
      <c r="AJ249" s="35">
        <f t="shared" si="281"/>
        <v>0</v>
      </c>
      <c r="AK249" s="35">
        <f t="shared" si="282"/>
        <v>0</v>
      </c>
      <c r="AL249" s="35">
        <f t="shared" si="283"/>
        <v>0</v>
      </c>
      <c r="AN249" s="35">
        <v>21</v>
      </c>
      <c r="AO249" s="35">
        <f t="shared" si="284"/>
        <v>0</v>
      </c>
      <c r="AP249" s="35">
        <f t="shared" si="285"/>
        <v>0</v>
      </c>
      <c r="AQ249" s="38" t="s">
        <v>196</v>
      </c>
      <c r="AV249" s="35">
        <f t="shared" si="286"/>
        <v>0</v>
      </c>
      <c r="AW249" s="35">
        <f t="shared" si="287"/>
        <v>0</v>
      </c>
      <c r="AX249" s="35">
        <f t="shared" si="288"/>
        <v>0</v>
      </c>
      <c r="AY249" s="38" t="s">
        <v>197</v>
      </c>
      <c r="AZ249" s="38" t="s">
        <v>699</v>
      </c>
      <c r="BA249" s="12" t="s">
        <v>225</v>
      </c>
      <c r="BC249" s="35">
        <f t="shared" si="289"/>
        <v>0</v>
      </c>
      <c r="BD249" s="35">
        <f t="shared" si="290"/>
        <v>0</v>
      </c>
      <c r="BE249" s="35">
        <v>0</v>
      </c>
      <c r="BF249" s="35">
        <f t="shared" si="291"/>
        <v>0</v>
      </c>
      <c r="BH249" s="35">
        <f t="shared" si="292"/>
        <v>0</v>
      </c>
      <c r="BI249" s="35">
        <f t="shared" si="293"/>
        <v>0</v>
      </c>
      <c r="BJ249" s="35">
        <f t="shared" si="294"/>
        <v>0</v>
      </c>
      <c r="BK249" s="38" t="s">
        <v>156</v>
      </c>
      <c r="BL249" s="35"/>
      <c r="BW249" s="35">
        <f t="shared" si="295"/>
        <v>21</v>
      </c>
      <c r="BX249" s="4" t="s">
        <v>765</v>
      </c>
    </row>
    <row r="250" spans="1:76" ht="25.5" x14ac:dyDescent="0.25">
      <c r="A250" s="2" t="s">
        <v>766</v>
      </c>
      <c r="B250" s="3" t="s">
        <v>215</v>
      </c>
      <c r="C250" s="3" t="s">
        <v>767</v>
      </c>
      <c r="D250" s="70" t="s">
        <v>768</v>
      </c>
      <c r="E250" s="71"/>
      <c r="F250" s="3" t="s">
        <v>85</v>
      </c>
      <c r="G250" s="35">
        <v>1</v>
      </c>
      <c r="H250" s="68">
        <v>0</v>
      </c>
      <c r="I250" s="36">
        <v>21</v>
      </c>
      <c r="J250" s="35">
        <f t="shared" si="268"/>
        <v>0</v>
      </c>
      <c r="K250" s="35">
        <f t="shared" si="269"/>
        <v>0</v>
      </c>
      <c r="L250" s="35">
        <f t="shared" si="270"/>
        <v>0</v>
      </c>
      <c r="M250" s="35">
        <f t="shared" si="271"/>
        <v>0</v>
      </c>
      <c r="N250" s="35">
        <v>0</v>
      </c>
      <c r="O250" s="35">
        <f t="shared" si="272"/>
        <v>0</v>
      </c>
      <c r="P250" s="37" t="s">
        <v>64</v>
      </c>
      <c r="Z250" s="35">
        <f t="shared" si="273"/>
        <v>0</v>
      </c>
      <c r="AB250" s="35">
        <f t="shared" si="274"/>
        <v>0</v>
      </c>
      <c r="AC250" s="35">
        <f t="shared" si="275"/>
        <v>0</v>
      </c>
      <c r="AD250" s="35">
        <f t="shared" si="276"/>
        <v>0</v>
      </c>
      <c r="AE250" s="35">
        <f t="shared" si="277"/>
        <v>0</v>
      </c>
      <c r="AF250" s="35">
        <f t="shared" si="278"/>
        <v>0</v>
      </c>
      <c r="AG250" s="35">
        <f t="shared" si="279"/>
        <v>0</v>
      </c>
      <c r="AH250" s="35">
        <f t="shared" si="280"/>
        <v>0</v>
      </c>
      <c r="AI250" s="12" t="s">
        <v>215</v>
      </c>
      <c r="AJ250" s="35">
        <f t="shared" si="281"/>
        <v>0</v>
      </c>
      <c r="AK250" s="35">
        <f t="shared" si="282"/>
        <v>0</v>
      </c>
      <c r="AL250" s="35">
        <f t="shared" si="283"/>
        <v>0</v>
      </c>
      <c r="AN250" s="35">
        <v>21</v>
      </c>
      <c r="AO250" s="35">
        <f t="shared" si="284"/>
        <v>0</v>
      </c>
      <c r="AP250" s="35">
        <f t="shared" si="285"/>
        <v>0</v>
      </c>
      <c r="AQ250" s="38" t="s">
        <v>196</v>
      </c>
      <c r="AV250" s="35">
        <f t="shared" si="286"/>
        <v>0</v>
      </c>
      <c r="AW250" s="35">
        <f t="shared" si="287"/>
        <v>0</v>
      </c>
      <c r="AX250" s="35">
        <f t="shared" si="288"/>
        <v>0</v>
      </c>
      <c r="AY250" s="38" t="s">
        <v>197</v>
      </c>
      <c r="AZ250" s="38" t="s">
        <v>699</v>
      </c>
      <c r="BA250" s="12" t="s">
        <v>225</v>
      </c>
      <c r="BC250" s="35">
        <f t="shared" si="289"/>
        <v>0</v>
      </c>
      <c r="BD250" s="35">
        <f t="shared" si="290"/>
        <v>0</v>
      </c>
      <c r="BE250" s="35">
        <v>0</v>
      </c>
      <c r="BF250" s="35">
        <f t="shared" si="291"/>
        <v>0</v>
      </c>
      <c r="BH250" s="35">
        <f t="shared" si="292"/>
        <v>0</v>
      </c>
      <c r="BI250" s="35">
        <f t="shared" si="293"/>
        <v>0</v>
      </c>
      <c r="BJ250" s="35">
        <f t="shared" si="294"/>
        <v>0</v>
      </c>
      <c r="BK250" s="38" t="s">
        <v>156</v>
      </c>
      <c r="BL250" s="35"/>
      <c r="BW250" s="35">
        <f t="shared" si="295"/>
        <v>21</v>
      </c>
      <c r="BX250" s="4" t="s">
        <v>768</v>
      </c>
    </row>
    <row r="251" spans="1:76" ht="25.5" x14ac:dyDescent="0.25">
      <c r="A251" s="2" t="s">
        <v>769</v>
      </c>
      <c r="B251" s="3" t="s">
        <v>215</v>
      </c>
      <c r="C251" s="3" t="s">
        <v>770</v>
      </c>
      <c r="D251" s="70" t="s">
        <v>771</v>
      </c>
      <c r="E251" s="71"/>
      <c r="F251" s="3" t="s">
        <v>85</v>
      </c>
      <c r="G251" s="35">
        <v>1</v>
      </c>
      <c r="H251" s="68">
        <v>0</v>
      </c>
      <c r="I251" s="36">
        <v>21</v>
      </c>
      <c r="J251" s="35">
        <f t="shared" si="268"/>
        <v>0</v>
      </c>
      <c r="K251" s="35">
        <f t="shared" si="269"/>
        <v>0</v>
      </c>
      <c r="L251" s="35">
        <f t="shared" si="270"/>
        <v>0</v>
      </c>
      <c r="M251" s="35">
        <f t="shared" si="271"/>
        <v>0</v>
      </c>
      <c r="N251" s="35">
        <v>0</v>
      </c>
      <c r="O251" s="35">
        <f t="shared" si="272"/>
        <v>0</v>
      </c>
      <c r="P251" s="37" t="s">
        <v>64</v>
      </c>
      <c r="Z251" s="35">
        <f t="shared" si="273"/>
        <v>0</v>
      </c>
      <c r="AB251" s="35">
        <f t="shared" si="274"/>
        <v>0</v>
      </c>
      <c r="AC251" s="35">
        <f t="shared" si="275"/>
        <v>0</v>
      </c>
      <c r="AD251" s="35">
        <f t="shared" si="276"/>
        <v>0</v>
      </c>
      <c r="AE251" s="35">
        <f t="shared" si="277"/>
        <v>0</v>
      </c>
      <c r="AF251" s="35">
        <f t="shared" si="278"/>
        <v>0</v>
      </c>
      <c r="AG251" s="35">
        <f t="shared" si="279"/>
        <v>0</v>
      </c>
      <c r="AH251" s="35">
        <f t="shared" si="280"/>
        <v>0</v>
      </c>
      <c r="AI251" s="12" t="s">
        <v>215</v>
      </c>
      <c r="AJ251" s="35">
        <f t="shared" si="281"/>
        <v>0</v>
      </c>
      <c r="AK251" s="35">
        <f t="shared" si="282"/>
        <v>0</v>
      </c>
      <c r="AL251" s="35">
        <f t="shared" si="283"/>
        <v>0</v>
      </c>
      <c r="AN251" s="35">
        <v>21</v>
      </c>
      <c r="AO251" s="35">
        <f t="shared" si="284"/>
        <v>0</v>
      </c>
      <c r="AP251" s="35">
        <f t="shared" si="285"/>
        <v>0</v>
      </c>
      <c r="AQ251" s="38" t="s">
        <v>196</v>
      </c>
      <c r="AV251" s="35">
        <f t="shared" si="286"/>
        <v>0</v>
      </c>
      <c r="AW251" s="35">
        <f t="shared" si="287"/>
        <v>0</v>
      </c>
      <c r="AX251" s="35">
        <f t="shared" si="288"/>
        <v>0</v>
      </c>
      <c r="AY251" s="38" t="s">
        <v>197</v>
      </c>
      <c r="AZ251" s="38" t="s">
        <v>699</v>
      </c>
      <c r="BA251" s="12" t="s">
        <v>225</v>
      </c>
      <c r="BC251" s="35">
        <f t="shared" si="289"/>
        <v>0</v>
      </c>
      <c r="BD251" s="35">
        <f t="shared" si="290"/>
        <v>0</v>
      </c>
      <c r="BE251" s="35">
        <v>0</v>
      </c>
      <c r="BF251" s="35">
        <f t="shared" si="291"/>
        <v>0</v>
      </c>
      <c r="BH251" s="35">
        <f t="shared" si="292"/>
        <v>0</v>
      </c>
      <c r="BI251" s="35">
        <f t="shared" si="293"/>
        <v>0</v>
      </c>
      <c r="BJ251" s="35">
        <f t="shared" si="294"/>
        <v>0</v>
      </c>
      <c r="BK251" s="38" t="s">
        <v>156</v>
      </c>
      <c r="BL251" s="35"/>
      <c r="BW251" s="35">
        <f t="shared" si="295"/>
        <v>21</v>
      </c>
      <c r="BX251" s="4" t="s">
        <v>771</v>
      </c>
    </row>
    <row r="252" spans="1:76" ht="25.5" x14ac:dyDescent="0.25">
      <c r="A252" s="2" t="s">
        <v>772</v>
      </c>
      <c r="B252" s="3" t="s">
        <v>215</v>
      </c>
      <c r="C252" s="3" t="s">
        <v>773</v>
      </c>
      <c r="D252" s="70" t="s">
        <v>774</v>
      </c>
      <c r="E252" s="71"/>
      <c r="F252" s="3" t="s">
        <v>85</v>
      </c>
      <c r="G252" s="35">
        <v>1</v>
      </c>
      <c r="H252" s="68">
        <v>0</v>
      </c>
      <c r="I252" s="36">
        <v>21</v>
      </c>
      <c r="J252" s="35">
        <f t="shared" si="268"/>
        <v>0</v>
      </c>
      <c r="K252" s="35">
        <f t="shared" si="269"/>
        <v>0</v>
      </c>
      <c r="L252" s="35">
        <f t="shared" si="270"/>
        <v>0</v>
      </c>
      <c r="M252" s="35">
        <f t="shared" si="271"/>
        <v>0</v>
      </c>
      <c r="N252" s="35">
        <v>0</v>
      </c>
      <c r="O252" s="35">
        <f t="shared" si="272"/>
        <v>0</v>
      </c>
      <c r="P252" s="37" t="s">
        <v>64</v>
      </c>
      <c r="Z252" s="35">
        <f t="shared" si="273"/>
        <v>0</v>
      </c>
      <c r="AB252" s="35">
        <f t="shared" si="274"/>
        <v>0</v>
      </c>
      <c r="AC252" s="35">
        <f t="shared" si="275"/>
        <v>0</v>
      </c>
      <c r="AD252" s="35">
        <f t="shared" si="276"/>
        <v>0</v>
      </c>
      <c r="AE252" s="35">
        <f t="shared" si="277"/>
        <v>0</v>
      </c>
      <c r="AF252" s="35">
        <f t="shared" si="278"/>
        <v>0</v>
      </c>
      <c r="AG252" s="35">
        <f t="shared" si="279"/>
        <v>0</v>
      </c>
      <c r="AH252" s="35">
        <f t="shared" si="280"/>
        <v>0</v>
      </c>
      <c r="AI252" s="12" t="s">
        <v>215</v>
      </c>
      <c r="AJ252" s="35">
        <f t="shared" si="281"/>
        <v>0</v>
      </c>
      <c r="AK252" s="35">
        <f t="shared" si="282"/>
        <v>0</v>
      </c>
      <c r="AL252" s="35">
        <f t="shared" si="283"/>
        <v>0</v>
      </c>
      <c r="AN252" s="35">
        <v>21</v>
      </c>
      <c r="AO252" s="35">
        <f t="shared" si="284"/>
        <v>0</v>
      </c>
      <c r="AP252" s="35">
        <f t="shared" si="285"/>
        <v>0</v>
      </c>
      <c r="AQ252" s="38" t="s">
        <v>196</v>
      </c>
      <c r="AV252" s="35">
        <f t="shared" si="286"/>
        <v>0</v>
      </c>
      <c r="AW252" s="35">
        <f t="shared" si="287"/>
        <v>0</v>
      </c>
      <c r="AX252" s="35">
        <f t="shared" si="288"/>
        <v>0</v>
      </c>
      <c r="AY252" s="38" t="s">
        <v>197</v>
      </c>
      <c r="AZ252" s="38" t="s">
        <v>699</v>
      </c>
      <c r="BA252" s="12" t="s">
        <v>225</v>
      </c>
      <c r="BC252" s="35">
        <f t="shared" si="289"/>
        <v>0</v>
      </c>
      <c r="BD252" s="35">
        <f t="shared" si="290"/>
        <v>0</v>
      </c>
      <c r="BE252" s="35">
        <v>0</v>
      </c>
      <c r="BF252" s="35">
        <f t="shared" si="291"/>
        <v>0</v>
      </c>
      <c r="BH252" s="35">
        <f t="shared" si="292"/>
        <v>0</v>
      </c>
      <c r="BI252" s="35">
        <f t="shared" si="293"/>
        <v>0</v>
      </c>
      <c r="BJ252" s="35">
        <f t="shared" si="294"/>
        <v>0</v>
      </c>
      <c r="BK252" s="38" t="s">
        <v>156</v>
      </c>
      <c r="BL252" s="35"/>
      <c r="BW252" s="35">
        <f t="shared" si="295"/>
        <v>21</v>
      </c>
      <c r="BX252" s="4" t="s">
        <v>774</v>
      </c>
    </row>
    <row r="253" spans="1:76" ht="25.5" x14ac:dyDescent="0.25">
      <c r="A253" s="2" t="s">
        <v>775</v>
      </c>
      <c r="B253" s="3" t="s">
        <v>215</v>
      </c>
      <c r="C253" s="3" t="s">
        <v>776</v>
      </c>
      <c r="D253" s="70" t="s">
        <v>777</v>
      </c>
      <c r="E253" s="71"/>
      <c r="F253" s="3" t="s">
        <v>85</v>
      </c>
      <c r="G253" s="35">
        <v>1</v>
      </c>
      <c r="H253" s="68">
        <v>0</v>
      </c>
      <c r="I253" s="36">
        <v>21</v>
      </c>
      <c r="J253" s="35">
        <f t="shared" si="268"/>
        <v>0</v>
      </c>
      <c r="K253" s="35">
        <f t="shared" si="269"/>
        <v>0</v>
      </c>
      <c r="L253" s="35">
        <f t="shared" si="270"/>
        <v>0</v>
      </c>
      <c r="M253" s="35">
        <f t="shared" si="271"/>
        <v>0</v>
      </c>
      <c r="N253" s="35">
        <v>0</v>
      </c>
      <c r="O253" s="35">
        <f t="shared" si="272"/>
        <v>0</v>
      </c>
      <c r="P253" s="37" t="s">
        <v>64</v>
      </c>
      <c r="Z253" s="35">
        <f t="shared" si="273"/>
        <v>0</v>
      </c>
      <c r="AB253" s="35">
        <f t="shared" si="274"/>
        <v>0</v>
      </c>
      <c r="AC253" s="35">
        <f t="shared" si="275"/>
        <v>0</v>
      </c>
      <c r="AD253" s="35">
        <f t="shared" si="276"/>
        <v>0</v>
      </c>
      <c r="AE253" s="35">
        <f t="shared" si="277"/>
        <v>0</v>
      </c>
      <c r="AF253" s="35">
        <f t="shared" si="278"/>
        <v>0</v>
      </c>
      <c r="AG253" s="35">
        <f t="shared" si="279"/>
        <v>0</v>
      </c>
      <c r="AH253" s="35">
        <f t="shared" si="280"/>
        <v>0</v>
      </c>
      <c r="AI253" s="12" t="s">
        <v>215</v>
      </c>
      <c r="AJ253" s="35">
        <f t="shared" si="281"/>
        <v>0</v>
      </c>
      <c r="AK253" s="35">
        <f t="shared" si="282"/>
        <v>0</v>
      </c>
      <c r="AL253" s="35">
        <f t="shared" si="283"/>
        <v>0</v>
      </c>
      <c r="AN253" s="35">
        <v>21</v>
      </c>
      <c r="AO253" s="35">
        <f t="shared" si="284"/>
        <v>0</v>
      </c>
      <c r="AP253" s="35">
        <f t="shared" si="285"/>
        <v>0</v>
      </c>
      <c r="AQ253" s="38" t="s">
        <v>196</v>
      </c>
      <c r="AV253" s="35">
        <f t="shared" si="286"/>
        <v>0</v>
      </c>
      <c r="AW253" s="35">
        <f t="shared" si="287"/>
        <v>0</v>
      </c>
      <c r="AX253" s="35">
        <f t="shared" si="288"/>
        <v>0</v>
      </c>
      <c r="AY253" s="38" t="s">
        <v>197</v>
      </c>
      <c r="AZ253" s="38" t="s">
        <v>699</v>
      </c>
      <c r="BA253" s="12" t="s">
        <v>225</v>
      </c>
      <c r="BC253" s="35">
        <f t="shared" si="289"/>
        <v>0</v>
      </c>
      <c r="BD253" s="35">
        <f t="shared" si="290"/>
        <v>0</v>
      </c>
      <c r="BE253" s="35">
        <v>0</v>
      </c>
      <c r="BF253" s="35">
        <f t="shared" si="291"/>
        <v>0</v>
      </c>
      <c r="BH253" s="35">
        <f t="shared" si="292"/>
        <v>0</v>
      </c>
      <c r="BI253" s="35">
        <f t="shared" si="293"/>
        <v>0</v>
      </c>
      <c r="BJ253" s="35">
        <f t="shared" si="294"/>
        <v>0</v>
      </c>
      <c r="BK253" s="38" t="s">
        <v>156</v>
      </c>
      <c r="BL253" s="35"/>
      <c r="BW253" s="35">
        <f t="shared" si="295"/>
        <v>21</v>
      </c>
      <c r="BX253" s="4" t="s">
        <v>777</v>
      </c>
    </row>
    <row r="254" spans="1:76" x14ac:dyDescent="0.25">
      <c r="A254" s="2" t="s">
        <v>778</v>
      </c>
      <c r="B254" s="3" t="s">
        <v>215</v>
      </c>
      <c r="C254" s="3" t="s">
        <v>779</v>
      </c>
      <c r="D254" s="70" t="s">
        <v>780</v>
      </c>
      <c r="E254" s="71"/>
      <c r="F254" s="3" t="s">
        <v>85</v>
      </c>
      <c r="G254" s="35">
        <v>1</v>
      </c>
      <c r="H254" s="68">
        <v>0</v>
      </c>
      <c r="I254" s="36">
        <v>21</v>
      </c>
      <c r="J254" s="35">
        <f t="shared" si="268"/>
        <v>0</v>
      </c>
      <c r="K254" s="35">
        <f t="shared" si="269"/>
        <v>0</v>
      </c>
      <c r="L254" s="35">
        <f t="shared" si="270"/>
        <v>0</v>
      </c>
      <c r="M254" s="35">
        <f t="shared" si="271"/>
        <v>0</v>
      </c>
      <c r="N254" s="35">
        <v>0</v>
      </c>
      <c r="O254" s="35">
        <f t="shared" si="272"/>
        <v>0</v>
      </c>
      <c r="P254" s="37" t="s">
        <v>64</v>
      </c>
      <c r="Z254" s="35">
        <f t="shared" si="273"/>
        <v>0</v>
      </c>
      <c r="AB254" s="35">
        <f t="shared" si="274"/>
        <v>0</v>
      </c>
      <c r="AC254" s="35">
        <f t="shared" si="275"/>
        <v>0</v>
      </c>
      <c r="AD254" s="35">
        <f t="shared" si="276"/>
        <v>0</v>
      </c>
      <c r="AE254" s="35">
        <f t="shared" si="277"/>
        <v>0</v>
      </c>
      <c r="AF254" s="35">
        <f t="shared" si="278"/>
        <v>0</v>
      </c>
      <c r="AG254" s="35">
        <f t="shared" si="279"/>
        <v>0</v>
      </c>
      <c r="AH254" s="35">
        <f t="shared" si="280"/>
        <v>0</v>
      </c>
      <c r="AI254" s="12" t="s">
        <v>215</v>
      </c>
      <c r="AJ254" s="35">
        <f t="shared" si="281"/>
        <v>0</v>
      </c>
      <c r="AK254" s="35">
        <f t="shared" si="282"/>
        <v>0</v>
      </c>
      <c r="AL254" s="35">
        <f t="shared" si="283"/>
        <v>0</v>
      </c>
      <c r="AN254" s="35">
        <v>21</v>
      </c>
      <c r="AO254" s="35">
        <f t="shared" si="284"/>
        <v>0</v>
      </c>
      <c r="AP254" s="35">
        <f t="shared" si="285"/>
        <v>0</v>
      </c>
      <c r="AQ254" s="38" t="s">
        <v>196</v>
      </c>
      <c r="AV254" s="35">
        <f t="shared" si="286"/>
        <v>0</v>
      </c>
      <c r="AW254" s="35">
        <f t="shared" si="287"/>
        <v>0</v>
      </c>
      <c r="AX254" s="35">
        <f t="shared" si="288"/>
        <v>0</v>
      </c>
      <c r="AY254" s="38" t="s">
        <v>197</v>
      </c>
      <c r="AZ254" s="38" t="s">
        <v>699</v>
      </c>
      <c r="BA254" s="12" t="s">
        <v>225</v>
      </c>
      <c r="BC254" s="35">
        <f t="shared" si="289"/>
        <v>0</v>
      </c>
      <c r="BD254" s="35">
        <f t="shared" si="290"/>
        <v>0</v>
      </c>
      <c r="BE254" s="35">
        <v>0</v>
      </c>
      <c r="BF254" s="35">
        <f t="shared" si="291"/>
        <v>0</v>
      </c>
      <c r="BH254" s="35">
        <f t="shared" si="292"/>
        <v>0</v>
      </c>
      <c r="BI254" s="35">
        <f t="shared" si="293"/>
        <v>0</v>
      </c>
      <c r="BJ254" s="35">
        <f t="shared" si="294"/>
        <v>0</v>
      </c>
      <c r="BK254" s="38" t="s">
        <v>156</v>
      </c>
      <c r="BL254" s="35"/>
      <c r="BW254" s="35">
        <f t="shared" si="295"/>
        <v>21</v>
      </c>
      <c r="BX254" s="4" t="s">
        <v>780</v>
      </c>
    </row>
    <row r="255" spans="1:76" ht="25.5" x14ac:dyDescent="0.25">
      <c r="A255" s="2" t="s">
        <v>781</v>
      </c>
      <c r="B255" s="3" t="s">
        <v>215</v>
      </c>
      <c r="C255" s="3" t="s">
        <v>782</v>
      </c>
      <c r="D255" s="70" t="s">
        <v>783</v>
      </c>
      <c r="E255" s="71"/>
      <c r="F255" s="3" t="s">
        <v>85</v>
      </c>
      <c r="G255" s="35">
        <v>3</v>
      </c>
      <c r="H255" s="68">
        <v>0</v>
      </c>
      <c r="I255" s="36">
        <v>21</v>
      </c>
      <c r="J255" s="35">
        <f t="shared" si="268"/>
        <v>0</v>
      </c>
      <c r="K255" s="35">
        <f t="shared" si="269"/>
        <v>0</v>
      </c>
      <c r="L255" s="35">
        <f t="shared" si="270"/>
        <v>0</v>
      </c>
      <c r="M255" s="35">
        <f t="shared" si="271"/>
        <v>0</v>
      </c>
      <c r="N255" s="35">
        <v>0</v>
      </c>
      <c r="O255" s="35">
        <f t="shared" si="272"/>
        <v>0</v>
      </c>
      <c r="P255" s="37" t="s">
        <v>64</v>
      </c>
      <c r="Z255" s="35">
        <f t="shared" si="273"/>
        <v>0</v>
      </c>
      <c r="AB255" s="35">
        <f t="shared" si="274"/>
        <v>0</v>
      </c>
      <c r="AC255" s="35">
        <f t="shared" si="275"/>
        <v>0</v>
      </c>
      <c r="AD255" s="35">
        <f t="shared" si="276"/>
        <v>0</v>
      </c>
      <c r="AE255" s="35">
        <f t="shared" si="277"/>
        <v>0</v>
      </c>
      <c r="AF255" s="35">
        <f t="shared" si="278"/>
        <v>0</v>
      </c>
      <c r="AG255" s="35">
        <f t="shared" si="279"/>
        <v>0</v>
      </c>
      <c r="AH255" s="35">
        <f t="shared" si="280"/>
        <v>0</v>
      </c>
      <c r="AI255" s="12" t="s">
        <v>215</v>
      </c>
      <c r="AJ255" s="35">
        <f t="shared" si="281"/>
        <v>0</v>
      </c>
      <c r="AK255" s="35">
        <f t="shared" si="282"/>
        <v>0</v>
      </c>
      <c r="AL255" s="35">
        <f t="shared" si="283"/>
        <v>0</v>
      </c>
      <c r="AN255" s="35">
        <v>21</v>
      </c>
      <c r="AO255" s="35">
        <f t="shared" si="284"/>
        <v>0</v>
      </c>
      <c r="AP255" s="35">
        <f t="shared" si="285"/>
        <v>0</v>
      </c>
      <c r="AQ255" s="38" t="s">
        <v>196</v>
      </c>
      <c r="AV255" s="35">
        <f t="shared" si="286"/>
        <v>0</v>
      </c>
      <c r="AW255" s="35">
        <f t="shared" si="287"/>
        <v>0</v>
      </c>
      <c r="AX255" s="35">
        <f t="shared" si="288"/>
        <v>0</v>
      </c>
      <c r="AY255" s="38" t="s">
        <v>197</v>
      </c>
      <c r="AZ255" s="38" t="s">
        <v>699</v>
      </c>
      <c r="BA255" s="12" t="s">
        <v>225</v>
      </c>
      <c r="BC255" s="35">
        <f t="shared" si="289"/>
        <v>0</v>
      </c>
      <c r="BD255" s="35">
        <f t="shared" si="290"/>
        <v>0</v>
      </c>
      <c r="BE255" s="35">
        <v>0</v>
      </c>
      <c r="BF255" s="35">
        <f t="shared" si="291"/>
        <v>0</v>
      </c>
      <c r="BH255" s="35">
        <f t="shared" si="292"/>
        <v>0</v>
      </c>
      <c r="BI255" s="35">
        <f t="shared" si="293"/>
        <v>0</v>
      </c>
      <c r="BJ255" s="35">
        <f t="shared" si="294"/>
        <v>0</v>
      </c>
      <c r="BK255" s="38" t="s">
        <v>156</v>
      </c>
      <c r="BL255" s="35"/>
      <c r="BW255" s="35">
        <f t="shared" si="295"/>
        <v>21</v>
      </c>
      <c r="BX255" s="4" t="s">
        <v>783</v>
      </c>
    </row>
    <row r="256" spans="1:76" ht="25.5" x14ac:dyDescent="0.25">
      <c r="A256" s="2" t="s">
        <v>784</v>
      </c>
      <c r="B256" s="3" t="s">
        <v>215</v>
      </c>
      <c r="C256" s="3" t="s">
        <v>785</v>
      </c>
      <c r="D256" s="70" t="s">
        <v>786</v>
      </c>
      <c r="E256" s="71"/>
      <c r="F256" s="3" t="s">
        <v>155</v>
      </c>
      <c r="G256" s="35">
        <v>2</v>
      </c>
      <c r="H256" s="68">
        <v>0</v>
      </c>
      <c r="I256" s="36">
        <v>21</v>
      </c>
      <c r="J256" s="35">
        <f t="shared" si="268"/>
        <v>0</v>
      </c>
      <c r="K256" s="35">
        <f t="shared" si="269"/>
        <v>0</v>
      </c>
      <c r="L256" s="35">
        <f t="shared" si="270"/>
        <v>0</v>
      </c>
      <c r="M256" s="35">
        <f t="shared" si="271"/>
        <v>0</v>
      </c>
      <c r="N256" s="35">
        <v>0</v>
      </c>
      <c r="O256" s="35">
        <f t="shared" si="272"/>
        <v>0</v>
      </c>
      <c r="P256" s="37" t="s">
        <v>64</v>
      </c>
      <c r="Z256" s="35">
        <f t="shared" si="273"/>
        <v>0</v>
      </c>
      <c r="AB256" s="35">
        <f t="shared" si="274"/>
        <v>0</v>
      </c>
      <c r="AC256" s="35">
        <f t="shared" si="275"/>
        <v>0</v>
      </c>
      <c r="AD256" s="35">
        <f t="shared" si="276"/>
        <v>0</v>
      </c>
      <c r="AE256" s="35">
        <f t="shared" si="277"/>
        <v>0</v>
      </c>
      <c r="AF256" s="35">
        <f t="shared" si="278"/>
        <v>0</v>
      </c>
      <c r="AG256" s="35">
        <f t="shared" si="279"/>
        <v>0</v>
      </c>
      <c r="AH256" s="35">
        <f t="shared" si="280"/>
        <v>0</v>
      </c>
      <c r="AI256" s="12" t="s">
        <v>215</v>
      </c>
      <c r="AJ256" s="35">
        <f t="shared" si="281"/>
        <v>0</v>
      </c>
      <c r="AK256" s="35">
        <f t="shared" si="282"/>
        <v>0</v>
      </c>
      <c r="AL256" s="35">
        <f t="shared" si="283"/>
        <v>0</v>
      </c>
      <c r="AN256" s="35">
        <v>21</v>
      </c>
      <c r="AO256" s="35">
        <f t="shared" si="284"/>
        <v>0</v>
      </c>
      <c r="AP256" s="35">
        <f t="shared" si="285"/>
        <v>0</v>
      </c>
      <c r="AQ256" s="38" t="s">
        <v>196</v>
      </c>
      <c r="AV256" s="35">
        <f t="shared" si="286"/>
        <v>0</v>
      </c>
      <c r="AW256" s="35">
        <f t="shared" si="287"/>
        <v>0</v>
      </c>
      <c r="AX256" s="35">
        <f t="shared" si="288"/>
        <v>0</v>
      </c>
      <c r="AY256" s="38" t="s">
        <v>197</v>
      </c>
      <c r="AZ256" s="38" t="s">
        <v>699</v>
      </c>
      <c r="BA256" s="12" t="s">
        <v>225</v>
      </c>
      <c r="BC256" s="35">
        <f t="shared" si="289"/>
        <v>0</v>
      </c>
      <c r="BD256" s="35">
        <f t="shared" si="290"/>
        <v>0</v>
      </c>
      <c r="BE256" s="35">
        <v>0</v>
      </c>
      <c r="BF256" s="35">
        <f t="shared" si="291"/>
        <v>0</v>
      </c>
      <c r="BH256" s="35">
        <f t="shared" si="292"/>
        <v>0</v>
      </c>
      <c r="BI256" s="35">
        <f t="shared" si="293"/>
        <v>0</v>
      </c>
      <c r="BJ256" s="35">
        <f t="shared" si="294"/>
        <v>0</v>
      </c>
      <c r="BK256" s="38" t="s">
        <v>156</v>
      </c>
      <c r="BL256" s="35"/>
      <c r="BW256" s="35">
        <f t="shared" si="295"/>
        <v>21</v>
      </c>
      <c r="BX256" s="4" t="s">
        <v>786</v>
      </c>
    </row>
    <row r="257" spans="1:76" ht="25.5" x14ac:dyDescent="0.25">
      <c r="A257" s="2" t="s">
        <v>787</v>
      </c>
      <c r="B257" s="3" t="s">
        <v>215</v>
      </c>
      <c r="C257" s="3" t="s">
        <v>788</v>
      </c>
      <c r="D257" s="70" t="s">
        <v>789</v>
      </c>
      <c r="E257" s="71"/>
      <c r="F257" s="3" t="s">
        <v>155</v>
      </c>
      <c r="G257" s="35">
        <v>2</v>
      </c>
      <c r="H257" s="68">
        <v>0</v>
      </c>
      <c r="I257" s="36">
        <v>21</v>
      </c>
      <c r="J257" s="35">
        <f t="shared" si="268"/>
        <v>0</v>
      </c>
      <c r="K257" s="35">
        <f t="shared" si="269"/>
        <v>0</v>
      </c>
      <c r="L257" s="35">
        <f t="shared" si="270"/>
        <v>0</v>
      </c>
      <c r="M257" s="35">
        <f t="shared" si="271"/>
        <v>0</v>
      </c>
      <c r="N257" s="35">
        <v>0</v>
      </c>
      <c r="O257" s="35">
        <f t="shared" si="272"/>
        <v>0</v>
      </c>
      <c r="P257" s="37" t="s">
        <v>64</v>
      </c>
      <c r="Z257" s="35">
        <f t="shared" si="273"/>
        <v>0</v>
      </c>
      <c r="AB257" s="35">
        <f t="shared" si="274"/>
        <v>0</v>
      </c>
      <c r="AC257" s="35">
        <f t="shared" si="275"/>
        <v>0</v>
      </c>
      <c r="AD257" s="35">
        <f t="shared" si="276"/>
        <v>0</v>
      </c>
      <c r="AE257" s="35">
        <f t="shared" si="277"/>
        <v>0</v>
      </c>
      <c r="AF257" s="35">
        <f t="shared" si="278"/>
        <v>0</v>
      </c>
      <c r="AG257" s="35">
        <f t="shared" si="279"/>
        <v>0</v>
      </c>
      <c r="AH257" s="35">
        <f t="shared" si="280"/>
        <v>0</v>
      </c>
      <c r="AI257" s="12" t="s">
        <v>215</v>
      </c>
      <c r="AJ257" s="35">
        <f t="shared" si="281"/>
        <v>0</v>
      </c>
      <c r="AK257" s="35">
        <f t="shared" si="282"/>
        <v>0</v>
      </c>
      <c r="AL257" s="35">
        <f t="shared" si="283"/>
        <v>0</v>
      </c>
      <c r="AN257" s="35">
        <v>21</v>
      </c>
      <c r="AO257" s="35">
        <f t="shared" si="284"/>
        <v>0</v>
      </c>
      <c r="AP257" s="35">
        <f t="shared" si="285"/>
        <v>0</v>
      </c>
      <c r="AQ257" s="38" t="s">
        <v>196</v>
      </c>
      <c r="AV257" s="35">
        <f t="shared" si="286"/>
        <v>0</v>
      </c>
      <c r="AW257" s="35">
        <f t="shared" si="287"/>
        <v>0</v>
      </c>
      <c r="AX257" s="35">
        <f t="shared" si="288"/>
        <v>0</v>
      </c>
      <c r="AY257" s="38" t="s">
        <v>197</v>
      </c>
      <c r="AZ257" s="38" t="s">
        <v>699</v>
      </c>
      <c r="BA257" s="12" t="s">
        <v>225</v>
      </c>
      <c r="BC257" s="35">
        <f t="shared" si="289"/>
        <v>0</v>
      </c>
      <c r="BD257" s="35">
        <f t="shared" si="290"/>
        <v>0</v>
      </c>
      <c r="BE257" s="35">
        <v>0</v>
      </c>
      <c r="BF257" s="35">
        <f t="shared" si="291"/>
        <v>0</v>
      </c>
      <c r="BH257" s="35">
        <f t="shared" si="292"/>
        <v>0</v>
      </c>
      <c r="BI257" s="35">
        <f t="shared" si="293"/>
        <v>0</v>
      </c>
      <c r="BJ257" s="35">
        <f t="shared" si="294"/>
        <v>0</v>
      </c>
      <c r="BK257" s="38" t="s">
        <v>156</v>
      </c>
      <c r="BL257" s="35"/>
      <c r="BW257" s="35">
        <f t="shared" si="295"/>
        <v>21</v>
      </c>
      <c r="BX257" s="4" t="s">
        <v>789</v>
      </c>
    </row>
    <row r="258" spans="1:76" ht="25.5" x14ac:dyDescent="0.25">
      <c r="A258" s="2" t="s">
        <v>790</v>
      </c>
      <c r="B258" s="3" t="s">
        <v>215</v>
      </c>
      <c r="C258" s="3" t="s">
        <v>791</v>
      </c>
      <c r="D258" s="70" t="s">
        <v>792</v>
      </c>
      <c r="E258" s="71"/>
      <c r="F258" s="3" t="s">
        <v>155</v>
      </c>
      <c r="G258" s="35">
        <v>1</v>
      </c>
      <c r="H258" s="68">
        <v>0</v>
      </c>
      <c r="I258" s="36">
        <v>21</v>
      </c>
      <c r="J258" s="35">
        <f t="shared" si="268"/>
        <v>0</v>
      </c>
      <c r="K258" s="35">
        <f t="shared" si="269"/>
        <v>0</v>
      </c>
      <c r="L258" s="35">
        <f t="shared" si="270"/>
        <v>0</v>
      </c>
      <c r="M258" s="35">
        <f t="shared" si="271"/>
        <v>0</v>
      </c>
      <c r="N258" s="35">
        <v>0</v>
      </c>
      <c r="O258" s="35">
        <f t="shared" si="272"/>
        <v>0</v>
      </c>
      <c r="P258" s="37" t="s">
        <v>64</v>
      </c>
      <c r="Z258" s="35">
        <f t="shared" si="273"/>
        <v>0</v>
      </c>
      <c r="AB258" s="35">
        <f t="shared" si="274"/>
        <v>0</v>
      </c>
      <c r="AC258" s="35">
        <f t="shared" si="275"/>
        <v>0</v>
      </c>
      <c r="AD258" s="35">
        <f t="shared" si="276"/>
        <v>0</v>
      </c>
      <c r="AE258" s="35">
        <f t="shared" si="277"/>
        <v>0</v>
      </c>
      <c r="AF258" s="35">
        <f t="shared" si="278"/>
        <v>0</v>
      </c>
      <c r="AG258" s="35">
        <f t="shared" si="279"/>
        <v>0</v>
      </c>
      <c r="AH258" s="35">
        <f t="shared" si="280"/>
        <v>0</v>
      </c>
      <c r="AI258" s="12" t="s">
        <v>215</v>
      </c>
      <c r="AJ258" s="35">
        <f t="shared" si="281"/>
        <v>0</v>
      </c>
      <c r="AK258" s="35">
        <f t="shared" si="282"/>
        <v>0</v>
      </c>
      <c r="AL258" s="35">
        <f t="shared" si="283"/>
        <v>0</v>
      </c>
      <c r="AN258" s="35">
        <v>21</v>
      </c>
      <c r="AO258" s="35">
        <f t="shared" si="284"/>
        <v>0</v>
      </c>
      <c r="AP258" s="35">
        <f t="shared" si="285"/>
        <v>0</v>
      </c>
      <c r="AQ258" s="38" t="s">
        <v>196</v>
      </c>
      <c r="AV258" s="35">
        <f t="shared" si="286"/>
        <v>0</v>
      </c>
      <c r="AW258" s="35">
        <f t="shared" si="287"/>
        <v>0</v>
      </c>
      <c r="AX258" s="35">
        <f t="shared" si="288"/>
        <v>0</v>
      </c>
      <c r="AY258" s="38" t="s">
        <v>197</v>
      </c>
      <c r="AZ258" s="38" t="s">
        <v>699</v>
      </c>
      <c r="BA258" s="12" t="s">
        <v>225</v>
      </c>
      <c r="BC258" s="35">
        <f t="shared" si="289"/>
        <v>0</v>
      </c>
      <c r="BD258" s="35">
        <f t="shared" si="290"/>
        <v>0</v>
      </c>
      <c r="BE258" s="35">
        <v>0</v>
      </c>
      <c r="BF258" s="35">
        <f t="shared" si="291"/>
        <v>0</v>
      </c>
      <c r="BH258" s="35">
        <f t="shared" si="292"/>
        <v>0</v>
      </c>
      <c r="BI258" s="35">
        <f t="shared" si="293"/>
        <v>0</v>
      </c>
      <c r="BJ258" s="35">
        <f t="shared" si="294"/>
        <v>0</v>
      </c>
      <c r="BK258" s="38" t="s">
        <v>156</v>
      </c>
      <c r="BL258" s="35"/>
      <c r="BW258" s="35">
        <f t="shared" si="295"/>
        <v>21</v>
      </c>
      <c r="BX258" s="4" t="s">
        <v>792</v>
      </c>
    </row>
    <row r="259" spans="1:76" x14ac:dyDescent="0.25">
      <c r="A259" s="2" t="s">
        <v>793</v>
      </c>
      <c r="B259" s="3" t="s">
        <v>215</v>
      </c>
      <c r="C259" s="3" t="s">
        <v>794</v>
      </c>
      <c r="D259" s="70" t="s">
        <v>795</v>
      </c>
      <c r="E259" s="71"/>
      <c r="F259" s="3" t="s">
        <v>85</v>
      </c>
      <c r="G259" s="35">
        <v>4</v>
      </c>
      <c r="H259" s="68">
        <v>0</v>
      </c>
      <c r="I259" s="36">
        <v>21</v>
      </c>
      <c r="J259" s="35">
        <f t="shared" ref="J259:J282" si="296">ROUND(G259*AO259,2)</f>
        <v>0</v>
      </c>
      <c r="K259" s="35">
        <f t="shared" ref="K259:K282" si="297">ROUND(G259*AP259,2)</f>
        <v>0</v>
      </c>
      <c r="L259" s="35">
        <f t="shared" ref="L259:L282" si="298">ROUND(G259*H259,2)</f>
        <v>0</v>
      </c>
      <c r="M259" s="35">
        <f t="shared" ref="M259:M282" si="299">L259*(1+BW259/100)</f>
        <v>0</v>
      </c>
      <c r="N259" s="35">
        <v>0</v>
      </c>
      <c r="O259" s="35">
        <f t="shared" ref="O259:O282" si="300">G259*N259</f>
        <v>0</v>
      </c>
      <c r="P259" s="37" t="s">
        <v>64</v>
      </c>
      <c r="Z259" s="35">
        <f t="shared" ref="Z259:Z282" si="301">ROUND(IF(AQ259="5",BJ259,0),2)</f>
        <v>0</v>
      </c>
      <c r="AB259" s="35">
        <f t="shared" ref="AB259:AB282" si="302">ROUND(IF(AQ259="1",BH259,0),2)</f>
        <v>0</v>
      </c>
      <c r="AC259" s="35">
        <f t="shared" ref="AC259:AC282" si="303">ROUND(IF(AQ259="1",BI259,0),2)</f>
        <v>0</v>
      </c>
      <c r="AD259" s="35">
        <f t="shared" ref="AD259:AD282" si="304">ROUND(IF(AQ259="7",BH259,0),2)</f>
        <v>0</v>
      </c>
      <c r="AE259" s="35">
        <f t="shared" ref="AE259:AE282" si="305">ROUND(IF(AQ259="7",BI259,0),2)</f>
        <v>0</v>
      </c>
      <c r="AF259" s="35">
        <f t="shared" ref="AF259:AF282" si="306">ROUND(IF(AQ259="2",BH259,0),2)</f>
        <v>0</v>
      </c>
      <c r="AG259" s="35">
        <f t="shared" ref="AG259:AG282" si="307">ROUND(IF(AQ259="2",BI259,0),2)</f>
        <v>0</v>
      </c>
      <c r="AH259" s="35">
        <f t="shared" ref="AH259:AH282" si="308">ROUND(IF(AQ259="0",BJ259,0),2)</f>
        <v>0</v>
      </c>
      <c r="AI259" s="12" t="s">
        <v>215</v>
      </c>
      <c r="AJ259" s="35">
        <f t="shared" ref="AJ259:AJ282" si="309">IF(AN259=0,L259,0)</f>
        <v>0</v>
      </c>
      <c r="AK259" s="35">
        <f t="shared" ref="AK259:AK282" si="310">IF(AN259=15,L259,0)</f>
        <v>0</v>
      </c>
      <c r="AL259" s="35">
        <f t="shared" ref="AL259:AL282" si="311">IF(AN259=21,L259,0)</f>
        <v>0</v>
      </c>
      <c r="AN259" s="35">
        <v>21</v>
      </c>
      <c r="AO259" s="35">
        <f t="shared" ref="AO259:AO282" si="312">H259*1</f>
        <v>0</v>
      </c>
      <c r="AP259" s="35">
        <f t="shared" ref="AP259:AP282" si="313">H259*(1-1)</f>
        <v>0</v>
      </c>
      <c r="AQ259" s="38" t="s">
        <v>196</v>
      </c>
      <c r="AV259" s="35">
        <f t="shared" ref="AV259:AV282" si="314">ROUND(AW259+AX259,2)</f>
        <v>0</v>
      </c>
      <c r="AW259" s="35">
        <f t="shared" ref="AW259:AW282" si="315">ROUND(G259*AO259,2)</f>
        <v>0</v>
      </c>
      <c r="AX259" s="35">
        <f t="shared" ref="AX259:AX282" si="316">ROUND(G259*AP259,2)</f>
        <v>0</v>
      </c>
      <c r="AY259" s="38" t="s">
        <v>197</v>
      </c>
      <c r="AZ259" s="38" t="s">
        <v>699</v>
      </c>
      <c r="BA259" s="12" t="s">
        <v>225</v>
      </c>
      <c r="BC259" s="35">
        <f t="shared" ref="BC259:BC282" si="317">AW259+AX259</f>
        <v>0</v>
      </c>
      <c r="BD259" s="35">
        <f t="shared" ref="BD259:BD282" si="318">H259/(100-BE259)*100</f>
        <v>0</v>
      </c>
      <c r="BE259" s="35">
        <v>0</v>
      </c>
      <c r="BF259" s="35">
        <f t="shared" ref="BF259:BF282" si="319">O259</f>
        <v>0</v>
      </c>
      <c r="BH259" s="35">
        <f t="shared" ref="BH259:BH282" si="320">G259*AO259</f>
        <v>0</v>
      </c>
      <c r="BI259" s="35">
        <f t="shared" ref="BI259:BI282" si="321">G259*AP259</f>
        <v>0</v>
      </c>
      <c r="BJ259" s="35">
        <f t="shared" ref="BJ259:BJ282" si="322">G259*H259</f>
        <v>0</v>
      </c>
      <c r="BK259" s="38" t="s">
        <v>156</v>
      </c>
      <c r="BL259" s="35"/>
      <c r="BW259" s="35">
        <f t="shared" ref="BW259:BW282" si="323">I259</f>
        <v>21</v>
      </c>
      <c r="BX259" s="4" t="s">
        <v>795</v>
      </c>
    </row>
    <row r="260" spans="1:76" x14ac:dyDescent="0.25">
      <c r="A260" s="2" t="s">
        <v>796</v>
      </c>
      <c r="B260" s="3" t="s">
        <v>215</v>
      </c>
      <c r="C260" s="3" t="s">
        <v>797</v>
      </c>
      <c r="D260" s="70" t="s">
        <v>798</v>
      </c>
      <c r="E260" s="71"/>
      <c r="F260" s="3" t="s">
        <v>85</v>
      </c>
      <c r="G260" s="35">
        <v>4</v>
      </c>
      <c r="H260" s="68">
        <v>0</v>
      </c>
      <c r="I260" s="36">
        <v>21</v>
      </c>
      <c r="J260" s="35">
        <f t="shared" si="296"/>
        <v>0</v>
      </c>
      <c r="K260" s="35">
        <f t="shared" si="297"/>
        <v>0</v>
      </c>
      <c r="L260" s="35">
        <f t="shared" si="298"/>
        <v>0</v>
      </c>
      <c r="M260" s="35">
        <f t="shared" si="299"/>
        <v>0</v>
      </c>
      <c r="N260" s="35">
        <v>0</v>
      </c>
      <c r="O260" s="35">
        <f t="shared" si="300"/>
        <v>0</v>
      </c>
      <c r="P260" s="37" t="s">
        <v>64</v>
      </c>
      <c r="Z260" s="35">
        <f t="shared" si="301"/>
        <v>0</v>
      </c>
      <c r="AB260" s="35">
        <f t="shared" si="302"/>
        <v>0</v>
      </c>
      <c r="AC260" s="35">
        <f t="shared" si="303"/>
        <v>0</v>
      </c>
      <c r="AD260" s="35">
        <f t="shared" si="304"/>
        <v>0</v>
      </c>
      <c r="AE260" s="35">
        <f t="shared" si="305"/>
        <v>0</v>
      </c>
      <c r="AF260" s="35">
        <f t="shared" si="306"/>
        <v>0</v>
      </c>
      <c r="AG260" s="35">
        <f t="shared" si="307"/>
        <v>0</v>
      </c>
      <c r="AH260" s="35">
        <f t="shared" si="308"/>
        <v>0</v>
      </c>
      <c r="AI260" s="12" t="s">
        <v>215</v>
      </c>
      <c r="AJ260" s="35">
        <f t="shared" si="309"/>
        <v>0</v>
      </c>
      <c r="AK260" s="35">
        <f t="shared" si="310"/>
        <v>0</v>
      </c>
      <c r="AL260" s="35">
        <f t="shared" si="311"/>
        <v>0</v>
      </c>
      <c r="AN260" s="35">
        <v>21</v>
      </c>
      <c r="AO260" s="35">
        <f t="shared" si="312"/>
        <v>0</v>
      </c>
      <c r="AP260" s="35">
        <f t="shared" si="313"/>
        <v>0</v>
      </c>
      <c r="AQ260" s="38" t="s">
        <v>196</v>
      </c>
      <c r="AV260" s="35">
        <f t="shared" si="314"/>
        <v>0</v>
      </c>
      <c r="AW260" s="35">
        <f t="shared" si="315"/>
        <v>0</v>
      </c>
      <c r="AX260" s="35">
        <f t="shared" si="316"/>
        <v>0</v>
      </c>
      <c r="AY260" s="38" t="s">
        <v>197</v>
      </c>
      <c r="AZ260" s="38" t="s">
        <v>699</v>
      </c>
      <c r="BA260" s="12" t="s">
        <v>225</v>
      </c>
      <c r="BC260" s="35">
        <f t="shared" si="317"/>
        <v>0</v>
      </c>
      <c r="BD260" s="35">
        <f t="shared" si="318"/>
        <v>0</v>
      </c>
      <c r="BE260" s="35">
        <v>0</v>
      </c>
      <c r="BF260" s="35">
        <f t="shared" si="319"/>
        <v>0</v>
      </c>
      <c r="BH260" s="35">
        <f t="shared" si="320"/>
        <v>0</v>
      </c>
      <c r="BI260" s="35">
        <f t="shared" si="321"/>
        <v>0</v>
      </c>
      <c r="BJ260" s="35">
        <f t="shared" si="322"/>
        <v>0</v>
      </c>
      <c r="BK260" s="38" t="s">
        <v>156</v>
      </c>
      <c r="BL260" s="35"/>
      <c r="BW260" s="35">
        <f t="shared" si="323"/>
        <v>21</v>
      </c>
      <c r="BX260" s="4" t="s">
        <v>798</v>
      </c>
    </row>
    <row r="261" spans="1:76" x14ac:dyDescent="0.25">
      <c r="A261" s="2" t="s">
        <v>799</v>
      </c>
      <c r="B261" s="3" t="s">
        <v>215</v>
      </c>
      <c r="C261" s="3" t="s">
        <v>800</v>
      </c>
      <c r="D261" s="70" t="s">
        <v>801</v>
      </c>
      <c r="E261" s="71"/>
      <c r="F261" s="3" t="s">
        <v>85</v>
      </c>
      <c r="G261" s="35">
        <v>1</v>
      </c>
      <c r="H261" s="68">
        <v>0</v>
      </c>
      <c r="I261" s="36">
        <v>21</v>
      </c>
      <c r="J261" s="35">
        <f t="shared" si="296"/>
        <v>0</v>
      </c>
      <c r="K261" s="35">
        <f t="shared" si="297"/>
        <v>0</v>
      </c>
      <c r="L261" s="35">
        <f t="shared" si="298"/>
        <v>0</v>
      </c>
      <c r="M261" s="35">
        <f t="shared" si="299"/>
        <v>0</v>
      </c>
      <c r="N261" s="35">
        <v>0</v>
      </c>
      <c r="O261" s="35">
        <f t="shared" si="300"/>
        <v>0</v>
      </c>
      <c r="P261" s="37" t="s">
        <v>64</v>
      </c>
      <c r="Z261" s="35">
        <f t="shared" si="301"/>
        <v>0</v>
      </c>
      <c r="AB261" s="35">
        <f t="shared" si="302"/>
        <v>0</v>
      </c>
      <c r="AC261" s="35">
        <f t="shared" si="303"/>
        <v>0</v>
      </c>
      <c r="AD261" s="35">
        <f t="shared" si="304"/>
        <v>0</v>
      </c>
      <c r="AE261" s="35">
        <f t="shared" si="305"/>
        <v>0</v>
      </c>
      <c r="AF261" s="35">
        <f t="shared" si="306"/>
        <v>0</v>
      </c>
      <c r="AG261" s="35">
        <f t="shared" si="307"/>
        <v>0</v>
      </c>
      <c r="AH261" s="35">
        <f t="shared" si="308"/>
        <v>0</v>
      </c>
      <c r="AI261" s="12" t="s">
        <v>215</v>
      </c>
      <c r="AJ261" s="35">
        <f t="shared" si="309"/>
        <v>0</v>
      </c>
      <c r="AK261" s="35">
        <f t="shared" si="310"/>
        <v>0</v>
      </c>
      <c r="AL261" s="35">
        <f t="shared" si="311"/>
        <v>0</v>
      </c>
      <c r="AN261" s="35">
        <v>21</v>
      </c>
      <c r="AO261" s="35">
        <f t="shared" si="312"/>
        <v>0</v>
      </c>
      <c r="AP261" s="35">
        <f t="shared" si="313"/>
        <v>0</v>
      </c>
      <c r="AQ261" s="38" t="s">
        <v>196</v>
      </c>
      <c r="AV261" s="35">
        <f t="shared" si="314"/>
        <v>0</v>
      </c>
      <c r="AW261" s="35">
        <f t="shared" si="315"/>
        <v>0</v>
      </c>
      <c r="AX261" s="35">
        <f t="shared" si="316"/>
        <v>0</v>
      </c>
      <c r="AY261" s="38" t="s">
        <v>197</v>
      </c>
      <c r="AZ261" s="38" t="s">
        <v>699</v>
      </c>
      <c r="BA261" s="12" t="s">
        <v>225</v>
      </c>
      <c r="BC261" s="35">
        <f t="shared" si="317"/>
        <v>0</v>
      </c>
      <c r="BD261" s="35">
        <f t="shared" si="318"/>
        <v>0</v>
      </c>
      <c r="BE261" s="35">
        <v>0</v>
      </c>
      <c r="BF261" s="35">
        <f t="shared" si="319"/>
        <v>0</v>
      </c>
      <c r="BH261" s="35">
        <f t="shared" si="320"/>
        <v>0</v>
      </c>
      <c r="BI261" s="35">
        <f t="shared" si="321"/>
        <v>0</v>
      </c>
      <c r="BJ261" s="35">
        <f t="shared" si="322"/>
        <v>0</v>
      </c>
      <c r="BK261" s="38" t="s">
        <v>156</v>
      </c>
      <c r="BL261" s="35"/>
      <c r="BW261" s="35">
        <f t="shared" si="323"/>
        <v>21</v>
      </c>
      <c r="BX261" s="4" t="s">
        <v>801</v>
      </c>
    </row>
    <row r="262" spans="1:76" x14ac:dyDescent="0.25">
      <c r="A262" s="2" t="s">
        <v>802</v>
      </c>
      <c r="B262" s="3" t="s">
        <v>215</v>
      </c>
      <c r="C262" s="3" t="s">
        <v>803</v>
      </c>
      <c r="D262" s="70" t="s">
        <v>804</v>
      </c>
      <c r="E262" s="71"/>
      <c r="F262" s="3" t="s">
        <v>85</v>
      </c>
      <c r="G262" s="35">
        <v>2</v>
      </c>
      <c r="H262" s="68">
        <v>0</v>
      </c>
      <c r="I262" s="36">
        <v>21</v>
      </c>
      <c r="J262" s="35">
        <f t="shared" si="296"/>
        <v>0</v>
      </c>
      <c r="K262" s="35">
        <f t="shared" si="297"/>
        <v>0</v>
      </c>
      <c r="L262" s="35">
        <f t="shared" si="298"/>
        <v>0</v>
      </c>
      <c r="M262" s="35">
        <f t="shared" si="299"/>
        <v>0</v>
      </c>
      <c r="N262" s="35">
        <v>0</v>
      </c>
      <c r="O262" s="35">
        <f t="shared" si="300"/>
        <v>0</v>
      </c>
      <c r="P262" s="37" t="s">
        <v>64</v>
      </c>
      <c r="Z262" s="35">
        <f t="shared" si="301"/>
        <v>0</v>
      </c>
      <c r="AB262" s="35">
        <f t="shared" si="302"/>
        <v>0</v>
      </c>
      <c r="AC262" s="35">
        <f t="shared" si="303"/>
        <v>0</v>
      </c>
      <c r="AD262" s="35">
        <f t="shared" si="304"/>
        <v>0</v>
      </c>
      <c r="AE262" s="35">
        <f t="shared" si="305"/>
        <v>0</v>
      </c>
      <c r="AF262" s="35">
        <f t="shared" si="306"/>
        <v>0</v>
      </c>
      <c r="AG262" s="35">
        <f t="shared" si="307"/>
        <v>0</v>
      </c>
      <c r="AH262" s="35">
        <f t="shared" si="308"/>
        <v>0</v>
      </c>
      <c r="AI262" s="12" t="s">
        <v>215</v>
      </c>
      <c r="AJ262" s="35">
        <f t="shared" si="309"/>
        <v>0</v>
      </c>
      <c r="AK262" s="35">
        <f t="shared" si="310"/>
        <v>0</v>
      </c>
      <c r="AL262" s="35">
        <f t="shared" si="311"/>
        <v>0</v>
      </c>
      <c r="AN262" s="35">
        <v>21</v>
      </c>
      <c r="AO262" s="35">
        <f t="shared" si="312"/>
        <v>0</v>
      </c>
      <c r="AP262" s="35">
        <f t="shared" si="313"/>
        <v>0</v>
      </c>
      <c r="AQ262" s="38" t="s">
        <v>196</v>
      </c>
      <c r="AV262" s="35">
        <f t="shared" si="314"/>
        <v>0</v>
      </c>
      <c r="AW262" s="35">
        <f t="shared" si="315"/>
        <v>0</v>
      </c>
      <c r="AX262" s="35">
        <f t="shared" si="316"/>
        <v>0</v>
      </c>
      <c r="AY262" s="38" t="s">
        <v>197</v>
      </c>
      <c r="AZ262" s="38" t="s">
        <v>699</v>
      </c>
      <c r="BA262" s="12" t="s">
        <v>225</v>
      </c>
      <c r="BC262" s="35">
        <f t="shared" si="317"/>
        <v>0</v>
      </c>
      <c r="BD262" s="35">
        <f t="shared" si="318"/>
        <v>0</v>
      </c>
      <c r="BE262" s="35">
        <v>0</v>
      </c>
      <c r="BF262" s="35">
        <f t="shared" si="319"/>
        <v>0</v>
      </c>
      <c r="BH262" s="35">
        <f t="shared" si="320"/>
        <v>0</v>
      </c>
      <c r="BI262" s="35">
        <f t="shared" si="321"/>
        <v>0</v>
      </c>
      <c r="BJ262" s="35">
        <f t="shared" si="322"/>
        <v>0</v>
      </c>
      <c r="BK262" s="38" t="s">
        <v>156</v>
      </c>
      <c r="BL262" s="35"/>
      <c r="BW262" s="35">
        <f t="shared" si="323"/>
        <v>21</v>
      </c>
      <c r="BX262" s="4" t="s">
        <v>804</v>
      </c>
    </row>
    <row r="263" spans="1:76" x14ac:dyDescent="0.25">
      <c r="A263" s="2" t="s">
        <v>805</v>
      </c>
      <c r="B263" s="3" t="s">
        <v>215</v>
      </c>
      <c r="C263" s="3" t="s">
        <v>806</v>
      </c>
      <c r="D263" s="70" t="s">
        <v>807</v>
      </c>
      <c r="E263" s="71"/>
      <c r="F263" s="3" t="s">
        <v>85</v>
      </c>
      <c r="G263" s="35">
        <v>3</v>
      </c>
      <c r="H263" s="68">
        <v>0</v>
      </c>
      <c r="I263" s="36">
        <v>21</v>
      </c>
      <c r="J263" s="35">
        <f t="shared" si="296"/>
        <v>0</v>
      </c>
      <c r="K263" s="35">
        <f t="shared" si="297"/>
        <v>0</v>
      </c>
      <c r="L263" s="35">
        <f t="shared" si="298"/>
        <v>0</v>
      </c>
      <c r="M263" s="35">
        <f t="shared" si="299"/>
        <v>0</v>
      </c>
      <c r="N263" s="35">
        <v>0</v>
      </c>
      <c r="O263" s="35">
        <f t="shared" si="300"/>
        <v>0</v>
      </c>
      <c r="P263" s="37" t="s">
        <v>64</v>
      </c>
      <c r="Z263" s="35">
        <f t="shared" si="301"/>
        <v>0</v>
      </c>
      <c r="AB263" s="35">
        <f t="shared" si="302"/>
        <v>0</v>
      </c>
      <c r="AC263" s="35">
        <f t="shared" si="303"/>
        <v>0</v>
      </c>
      <c r="AD263" s="35">
        <f t="shared" si="304"/>
        <v>0</v>
      </c>
      <c r="AE263" s="35">
        <f t="shared" si="305"/>
        <v>0</v>
      </c>
      <c r="AF263" s="35">
        <f t="shared" si="306"/>
        <v>0</v>
      </c>
      <c r="AG263" s="35">
        <f t="shared" si="307"/>
        <v>0</v>
      </c>
      <c r="AH263" s="35">
        <f t="shared" si="308"/>
        <v>0</v>
      </c>
      <c r="AI263" s="12" t="s">
        <v>215</v>
      </c>
      <c r="AJ263" s="35">
        <f t="shared" si="309"/>
        <v>0</v>
      </c>
      <c r="AK263" s="35">
        <f t="shared" si="310"/>
        <v>0</v>
      </c>
      <c r="AL263" s="35">
        <f t="shared" si="311"/>
        <v>0</v>
      </c>
      <c r="AN263" s="35">
        <v>21</v>
      </c>
      <c r="AO263" s="35">
        <f t="shared" si="312"/>
        <v>0</v>
      </c>
      <c r="AP263" s="35">
        <f t="shared" si="313"/>
        <v>0</v>
      </c>
      <c r="AQ263" s="38" t="s">
        <v>196</v>
      </c>
      <c r="AV263" s="35">
        <f t="shared" si="314"/>
        <v>0</v>
      </c>
      <c r="AW263" s="35">
        <f t="shared" si="315"/>
        <v>0</v>
      </c>
      <c r="AX263" s="35">
        <f t="shared" si="316"/>
        <v>0</v>
      </c>
      <c r="AY263" s="38" t="s">
        <v>197</v>
      </c>
      <c r="AZ263" s="38" t="s">
        <v>699</v>
      </c>
      <c r="BA263" s="12" t="s">
        <v>225</v>
      </c>
      <c r="BC263" s="35">
        <f t="shared" si="317"/>
        <v>0</v>
      </c>
      <c r="BD263" s="35">
        <f t="shared" si="318"/>
        <v>0</v>
      </c>
      <c r="BE263" s="35">
        <v>0</v>
      </c>
      <c r="BF263" s="35">
        <f t="shared" si="319"/>
        <v>0</v>
      </c>
      <c r="BH263" s="35">
        <f t="shared" si="320"/>
        <v>0</v>
      </c>
      <c r="BI263" s="35">
        <f t="shared" si="321"/>
        <v>0</v>
      </c>
      <c r="BJ263" s="35">
        <f t="shared" si="322"/>
        <v>0</v>
      </c>
      <c r="BK263" s="38" t="s">
        <v>156</v>
      </c>
      <c r="BL263" s="35"/>
      <c r="BW263" s="35">
        <f t="shared" si="323"/>
        <v>21</v>
      </c>
      <c r="BX263" s="4" t="s">
        <v>807</v>
      </c>
    </row>
    <row r="264" spans="1:76" x14ac:dyDescent="0.25">
      <c r="A264" s="2" t="s">
        <v>808</v>
      </c>
      <c r="B264" s="3" t="s">
        <v>215</v>
      </c>
      <c r="C264" s="3" t="s">
        <v>809</v>
      </c>
      <c r="D264" s="70" t="s">
        <v>810</v>
      </c>
      <c r="E264" s="71"/>
      <c r="F264" s="3" t="s">
        <v>85</v>
      </c>
      <c r="G264" s="35">
        <v>2</v>
      </c>
      <c r="H264" s="68">
        <v>0</v>
      </c>
      <c r="I264" s="36">
        <v>21</v>
      </c>
      <c r="J264" s="35">
        <f t="shared" si="296"/>
        <v>0</v>
      </c>
      <c r="K264" s="35">
        <f t="shared" si="297"/>
        <v>0</v>
      </c>
      <c r="L264" s="35">
        <f t="shared" si="298"/>
        <v>0</v>
      </c>
      <c r="M264" s="35">
        <f t="shared" si="299"/>
        <v>0</v>
      </c>
      <c r="N264" s="35">
        <v>0</v>
      </c>
      <c r="O264" s="35">
        <f t="shared" si="300"/>
        <v>0</v>
      </c>
      <c r="P264" s="37" t="s">
        <v>64</v>
      </c>
      <c r="Z264" s="35">
        <f t="shared" si="301"/>
        <v>0</v>
      </c>
      <c r="AB264" s="35">
        <f t="shared" si="302"/>
        <v>0</v>
      </c>
      <c r="AC264" s="35">
        <f t="shared" si="303"/>
        <v>0</v>
      </c>
      <c r="AD264" s="35">
        <f t="shared" si="304"/>
        <v>0</v>
      </c>
      <c r="AE264" s="35">
        <f t="shared" si="305"/>
        <v>0</v>
      </c>
      <c r="AF264" s="35">
        <f t="shared" si="306"/>
        <v>0</v>
      </c>
      <c r="AG264" s="35">
        <f t="shared" si="307"/>
        <v>0</v>
      </c>
      <c r="AH264" s="35">
        <f t="shared" si="308"/>
        <v>0</v>
      </c>
      <c r="AI264" s="12" t="s">
        <v>215</v>
      </c>
      <c r="AJ264" s="35">
        <f t="shared" si="309"/>
        <v>0</v>
      </c>
      <c r="AK264" s="35">
        <f t="shared" si="310"/>
        <v>0</v>
      </c>
      <c r="AL264" s="35">
        <f t="shared" si="311"/>
        <v>0</v>
      </c>
      <c r="AN264" s="35">
        <v>21</v>
      </c>
      <c r="AO264" s="35">
        <f t="shared" si="312"/>
        <v>0</v>
      </c>
      <c r="AP264" s="35">
        <f t="shared" si="313"/>
        <v>0</v>
      </c>
      <c r="AQ264" s="38" t="s">
        <v>196</v>
      </c>
      <c r="AV264" s="35">
        <f t="shared" si="314"/>
        <v>0</v>
      </c>
      <c r="AW264" s="35">
        <f t="shared" si="315"/>
        <v>0</v>
      </c>
      <c r="AX264" s="35">
        <f t="shared" si="316"/>
        <v>0</v>
      </c>
      <c r="AY264" s="38" t="s">
        <v>197</v>
      </c>
      <c r="AZ264" s="38" t="s">
        <v>699</v>
      </c>
      <c r="BA264" s="12" t="s">
        <v>225</v>
      </c>
      <c r="BC264" s="35">
        <f t="shared" si="317"/>
        <v>0</v>
      </c>
      <c r="BD264" s="35">
        <f t="shared" si="318"/>
        <v>0</v>
      </c>
      <c r="BE264" s="35">
        <v>0</v>
      </c>
      <c r="BF264" s="35">
        <f t="shared" si="319"/>
        <v>0</v>
      </c>
      <c r="BH264" s="35">
        <f t="shared" si="320"/>
        <v>0</v>
      </c>
      <c r="BI264" s="35">
        <f t="shared" si="321"/>
        <v>0</v>
      </c>
      <c r="BJ264" s="35">
        <f t="shared" si="322"/>
        <v>0</v>
      </c>
      <c r="BK264" s="38" t="s">
        <v>156</v>
      </c>
      <c r="BL264" s="35"/>
      <c r="BW264" s="35">
        <f t="shared" si="323"/>
        <v>21</v>
      </c>
      <c r="BX264" s="4" t="s">
        <v>810</v>
      </c>
    </row>
    <row r="265" spans="1:76" ht="25.5" x14ac:dyDescent="0.25">
      <c r="A265" s="2" t="s">
        <v>811</v>
      </c>
      <c r="B265" s="3" t="s">
        <v>215</v>
      </c>
      <c r="C265" s="3" t="s">
        <v>749</v>
      </c>
      <c r="D265" s="70" t="s">
        <v>812</v>
      </c>
      <c r="E265" s="71"/>
      <c r="F265" s="3" t="s">
        <v>85</v>
      </c>
      <c r="G265" s="35">
        <v>2</v>
      </c>
      <c r="H265" s="68">
        <v>0</v>
      </c>
      <c r="I265" s="36">
        <v>21</v>
      </c>
      <c r="J265" s="35">
        <f t="shared" si="296"/>
        <v>0</v>
      </c>
      <c r="K265" s="35">
        <f t="shared" si="297"/>
        <v>0</v>
      </c>
      <c r="L265" s="35">
        <f t="shared" si="298"/>
        <v>0</v>
      </c>
      <c r="M265" s="35">
        <f t="shared" si="299"/>
        <v>0</v>
      </c>
      <c r="N265" s="35">
        <v>0</v>
      </c>
      <c r="O265" s="35">
        <f t="shared" si="300"/>
        <v>0</v>
      </c>
      <c r="P265" s="37" t="s">
        <v>64</v>
      </c>
      <c r="Z265" s="35">
        <f t="shared" si="301"/>
        <v>0</v>
      </c>
      <c r="AB265" s="35">
        <f t="shared" si="302"/>
        <v>0</v>
      </c>
      <c r="AC265" s="35">
        <f t="shared" si="303"/>
        <v>0</v>
      </c>
      <c r="AD265" s="35">
        <f t="shared" si="304"/>
        <v>0</v>
      </c>
      <c r="AE265" s="35">
        <f t="shared" si="305"/>
        <v>0</v>
      </c>
      <c r="AF265" s="35">
        <f t="shared" si="306"/>
        <v>0</v>
      </c>
      <c r="AG265" s="35">
        <f t="shared" si="307"/>
        <v>0</v>
      </c>
      <c r="AH265" s="35">
        <f t="shared" si="308"/>
        <v>0</v>
      </c>
      <c r="AI265" s="12" t="s">
        <v>215</v>
      </c>
      <c r="AJ265" s="35">
        <f t="shared" si="309"/>
        <v>0</v>
      </c>
      <c r="AK265" s="35">
        <f t="shared" si="310"/>
        <v>0</v>
      </c>
      <c r="AL265" s="35">
        <f t="shared" si="311"/>
        <v>0</v>
      </c>
      <c r="AN265" s="35">
        <v>21</v>
      </c>
      <c r="AO265" s="35">
        <f t="shared" si="312"/>
        <v>0</v>
      </c>
      <c r="AP265" s="35">
        <f t="shared" si="313"/>
        <v>0</v>
      </c>
      <c r="AQ265" s="38" t="s">
        <v>196</v>
      </c>
      <c r="AV265" s="35">
        <f t="shared" si="314"/>
        <v>0</v>
      </c>
      <c r="AW265" s="35">
        <f t="shared" si="315"/>
        <v>0</v>
      </c>
      <c r="AX265" s="35">
        <f t="shared" si="316"/>
        <v>0</v>
      </c>
      <c r="AY265" s="38" t="s">
        <v>197</v>
      </c>
      <c r="AZ265" s="38" t="s">
        <v>699</v>
      </c>
      <c r="BA265" s="12" t="s">
        <v>225</v>
      </c>
      <c r="BC265" s="35">
        <f t="shared" si="317"/>
        <v>0</v>
      </c>
      <c r="BD265" s="35">
        <f t="shared" si="318"/>
        <v>0</v>
      </c>
      <c r="BE265" s="35">
        <v>0</v>
      </c>
      <c r="BF265" s="35">
        <f t="shared" si="319"/>
        <v>0</v>
      </c>
      <c r="BH265" s="35">
        <f t="shared" si="320"/>
        <v>0</v>
      </c>
      <c r="BI265" s="35">
        <f t="shared" si="321"/>
        <v>0</v>
      </c>
      <c r="BJ265" s="35">
        <f t="shared" si="322"/>
        <v>0</v>
      </c>
      <c r="BK265" s="38" t="s">
        <v>156</v>
      </c>
      <c r="BL265" s="35"/>
      <c r="BW265" s="35">
        <f t="shared" si="323"/>
        <v>21</v>
      </c>
      <c r="BX265" s="4" t="s">
        <v>812</v>
      </c>
    </row>
    <row r="266" spans="1:76" ht="25.5" x14ac:dyDescent="0.25">
      <c r="A266" s="2" t="s">
        <v>813</v>
      </c>
      <c r="B266" s="3" t="s">
        <v>215</v>
      </c>
      <c r="C266" s="3" t="s">
        <v>752</v>
      </c>
      <c r="D266" s="70" t="s">
        <v>814</v>
      </c>
      <c r="E266" s="71"/>
      <c r="F266" s="3" t="s">
        <v>85</v>
      </c>
      <c r="G266" s="35">
        <v>2</v>
      </c>
      <c r="H266" s="68">
        <v>0</v>
      </c>
      <c r="I266" s="36">
        <v>21</v>
      </c>
      <c r="J266" s="35">
        <f t="shared" si="296"/>
        <v>0</v>
      </c>
      <c r="K266" s="35">
        <f t="shared" si="297"/>
        <v>0</v>
      </c>
      <c r="L266" s="35">
        <f t="shared" si="298"/>
        <v>0</v>
      </c>
      <c r="M266" s="35">
        <f t="shared" si="299"/>
        <v>0</v>
      </c>
      <c r="N266" s="35">
        <v>0</v>
      </c>
      <c r="O266" s="35">
        <f t="shared" si="300"/>
        <v>0</v>
      </c>
      <c r="P266" s="37" t="s">
        <v>64</v>
      </c>
      <c r="Z266" s="35">
        <f t="shared" si="301"/>
        <v>0</v>
      </c>
      <c r="AB266" s="35">
        <f t="shared" si="302"/>
        <v>0</v>
      </c>
      <c r="AC266" s="35">
        <f t="shared" si="303"/>
        <v>0</v>
      </c>
      <c r="AD266" s="35">
        <f t="shared" si="304"/>
        <v>0</v>
      </c>
      <c r="AE266" s="35">
        <f t="shared" si="305"/>
        <v>0</v>
      </c>
      <c r="AF266" s="35">
        <f t="shared" si="306"/>
        <v>0</v>
      </c>
      <c r="AG266" s="35">
        <f t="shared" si="307"/>
        <v>0</v>
      </c>
      <c r="AH266" s="35">
        <f t="shared" si="308"/>
        <v>0</v>
      </c>
      <c r="AI266" s="12" t="s">
        <v>215</v>
      </c>
      <c r="AJ266" s="35">
        <f t="shared" si="309"/>
        <v>0</v>
      </c>
      <c r="AK266" s="35">
        <f t="shared" si="310"/>
        <v>0</v>
      </c>
      <c r="AL266" s="35">
        <f t="shared" si="311"/>
        <v>0</v>
      </c>
      <c r="AN266" s="35">
        <v>21</v>
      </c>
      <c r="AO266" s="35">
        <f t="shared" si="312"/>
        <v>0</v>
      </c>
      <c r="AP266" s="35">
        <f t="shared" si="313"/>
        <v>0</v>
      </c>
      <c r="AQ266" s="38" t="s">
        <v>196</v>
      </c>
      <c r="AV266" s="35">
        <f t="shared" si="314"/>
        <v>0</v>
      </c>
      <c r="AW266" s="35">
        <f t="shared" si="315"/>
        <v>0</v>
      </c>
      <c r="AX266" s="35">
        <f t="shared" si="316"/>
        <v>0</v>
      </c>
      <c r="AY266" s="38" t="s">
        <v>197</v>
      </c>
      <c r="AZ266" s="38" t="s">
        <v>699</v>
      </c>
      <c r="BA266" s="12" t="s">
        <v>225</v>
      </c>
      <c r="BC266" s="35">
        <f t="shared" si="317"/>
        <v>0</v>
      </c>
      <c r="BD266" s="35">
        <f t="shared" si="318"/>
        <v>0</v>
      </c>
      <c r="BE266" s="35">
        <v>0</v>
      </c>
      <c r="BF266" s="35">
        <f t="shared" si="319"/>
        <v>0</v>
      </c>
      <c r="BH266" s="35">
        <f t="shared" si="320"/>
        <v>0</v>
      </c>
      <c r="BI266" s="35">
        <f t="shared" si="321"/>
        <v>0</v>
      </c>
      <c r="BJ266" s="35">
        <f t="shared" si="322"/>
        <v>0</v>
      </c>
      <c r="BK266" s="38" t="s">
        <v>156</v>
      </c>
      <c r="BL266" s="35"/>
      <c r="BW266" s="35">
        <f t="shared" si="323"/>
        <v>21</v>
      </c>
      <c r="BX266" s="4" t="s">
        <v>814</v>
      </c>
    </row>
    <row r="267" spans="1:76" ht="25.5" x14ac:dyDescent="0.25">
      <c r="A267" s="2" t="s">
        <v>815</v>
      </c>
      <c r="B267" s="3" t="s">
        <v>215</v>
      </c>
      <c r="C267" s="3" t="s">
        <v>816</v>
      </c>
      <c r="D267" s="70" t="s">
        <v>817</v>
      </c>
      <c r="E267" s="71"/>
      <c r="F267" s="3" t="s">
        <v>85</v>
      </c>
      <c r="G267" s="35">
        <v>4</v>
      </c>
      <c r="H267" s="68">
        <v>0</v>
      </c>
      <c r="I267" s="36">
        <v>21</v>
      </c>
      <c r="J267" s="35">
        <f t="shared" si="296"/>
        <v>0</v>
      </c>
      <c r="K267" s="35">
        <f t="shared" si="297"/>
        <v>0</v>
      </c>
      <c r="L267" s="35">
        <f t="shared" si="298"/>
        <v>0</v>
      </c>
      <c r="M267" s="35">
        <f t="shared" si="299"/>
        <v>0</v>
      </c>
      <c r="N267" s="35">
        <v>0</v>
      </c>
      <c r="O267" s="35">
        <f t="shared" si="300"/>
        <v>0</v>
      </c>
      <c r="P267" s="37" t="s">
        <v>64</v>
      </c>
      <c r="Z267" s="35">
        <f t="shared" si="301"/>
        <v>0</v>
      </c>
      <c r="AB267" s="35">
        <f t="shared" si="302"/>
        <v>0</v>
      </c>
      <c r="AC267" s="35">
        <f t="shared" si="303"/>
        <v>0</v>
      </c>
      <c r="AD267" s="35">
        <f t="shared" si="304"/>
        <v>0</v>
      </c>
      <c r="AE267" s="35">
        <f t="shared" si="305"/>
        <v>0</v>
      </c>
      <c r="AF267" s="35">
        <f t="shared" si="306"/>
        <v>0</v>
      </c>
      <c r="AG267" s="35">
        <f t="shared" si="307"/>
        <v>0</v>
      </c>
      <c r="AH267" s="35">
        <f t="shared" si="308"/>
        <v>0</v>
      </c>
      <c r="AI267" s="12" t="s">
        <v>215</v>
      </c>
      <c r="AJ267" s="35">
        <f t="shared" si="309"/>
        <v>0</v>
      </c>
      <c r="AK267" s="35">
        <f t="shared" si="310"/>
        <v>0</v>
      </c>
      <c r="AL267" s="35">
        <f t="shared" si="311"/>
        <v>0</v>
      </c>
      <c r="AN267" s="35">
        <v>21</v>
      </c>
      <c r="AO267" s="35">
        <f t="shared" si="312"/>
        <v>0</v>
      </c>
      <c r="AP267" s="35">
        <f t="shared" si="313"/>
        <v>0</v>
      </c>
      <c r="AQ267" s="38" t="s">
        <v>196</v>
      </c>
      <c r="AV267" s="35">
        <f t="shared" si="314"/>
        <v>0</v>
      </c>
      <c r="AW267" s="35">
        <f t="shared" si="315"/>
        <v>0</v>
      </c>
      <c r="AX267" s="35">
        <f t="shared" si="316"/>
        <v>0</v>
      </c>
      <c r="AY267" s="38" t="s">
        <v>197</v>
      </c>
      <c r="AZ267" s="38" t="s">
        <v>699</v>
      </c>
      <c r="BA267" s="12" t="s">
        <v>225</v>
      </c>
      <c r="BC267" s="35">
        <f t="shared" si="317"/>
        <v>0</v>
      </c>
      <c r="BD267" s="35">
        <f t="shared" si="318"/>
        <v>0</v>
      </c>
      <c r="BE267" s="35">
        <v>0</v>
      </c>
      <c r="BF267" s="35">
        <f t="shared" si="319"/>
        <v>0</v>
      </c>
      <c r="BH267" s="35">
        <f t="shared" si="320"/>
        <v>0</v>
      </c>
      <c r="BI267" s="35">
        <f t="shared" si="321"/>
        <v>0</v>
      </c>
      <c r="BJ267" s="35">
        <f t="shared" si="322"/>
        <v>0</v>
      </c>
      <c r="BK267" s="38" t="s">
        <v>156</v>
      </c>
      <c r="BL267" s="35"/>
      <c r="BW267" s="35">
        <f t="shared" si="323"/>
        <v>21</v>
      </c>
      <c r="BX267" s="4" t="s">
        <v>817</v>
      </c>
    </row>
    <row r="268" spans="1:76" ht="25.5" x14ac:dyDescent="0.25">
      <c r="A268" s="2" t="s">
        <v>818</v>
      </c>
      <c r="B268" s="3" t="s">
        <v>215</v>
      </c>
      <c r="C268" s="3" t="s">
        <v>819</v>
      </c>
      <c r="D268" s="70" t="s">
        <v>820</v>
      </c>
      <c r="E268" s="71"/>
      <c r="F268" s="3" t="s">
        <v>85</v>
      </c>
      <c r="G268" s="35">
        <v>1</v>
      </c>
      <c r="H268" s="68">
        <v>0</v>
      </c>
      <c r="I268" s="36">
        <v>21</v>
      </c>
      <c r="J268" s="35">
        <f t="shared" si="296"/>
        <v>0</v>
      </c>
      <c r="K268" s="35">
        <f t="shared" si="297"/>
        <v>0</v>
      </c>
      <c r="L268" s="35">
        <f t="shared" si="298"/>
        <v>0</v>
      </c>
      <c r="M268" s="35">
        <f t="shared" si="299"/>
        <v>0</v>
      </c>
      <c r="N268" s="35">
        <v>0</v>
      </c>
      <c r="O268" s="35">
        <f t="shared" si="300"/>
        <v>0</v>
      </c>
      <c r="P268" s="37" t="s">
        <v>64</v>
      </c>
      <c r="Z268" s="35">
        <f t="shared" si="301"/>
        <v>0</v>
      </c>
      <c r="AB268" s="35">
        <f t="shared" si="302"/>
        <v>0</v>
      </c>
      <c r="AC268" s="35">
        <f t="shared" si="303"/>
        <v>0</v>
      </c>
      <c r="AD268" s="35">
        <f t="shared" si="304"/>
        <v>0</v>
      </c>
      <c r="AE268" s="35">
        <f t="shared" si="305"/>
        <v>0</v>
      </c>
      <c r="AF268" s="35">
        <f t="shared" si="306"/>
        <v>0</v>
      </c>
      <c r="AG268" s="35">
        <f t="shared" si="307"/>
        <v>0</v>
      </c>
      <c r="AH268" s="35">
        <f t="shared" si="308"/>
        <v>0</v>
      </c>
      <c r="AI268" s="12" t="s">
        <v>215</v>
      </c>
      <c r="AJ268" s="35">
        <f t="shared" si="309"/>
        <v>0</v>
      </c>
      <c r="AK268" s="35">
        <f t="shared" si="310"/>
        <v>0</v>
      </c>
      <c r="AL268" s="35">
        <f t="shared" si="311"/>
        <v>0</v>
      </c>
      <c r="AN268" s="35">
        <v>21</v>
      </c>
      <c r="AO268" s="35">
        <f t="shared" si="312"/>
        <v>0</v>
      </c>
      <c r="AP268" s="35">
        <f t="shared" si="313"/>
        <v>0</v>
      </c>
      <c r="AQ268" s="38" t="s">
        <v>196</v>
      </c>
      <c r="AV268" s="35">
        <f t="shared" si="314"/>
        <v>0</v>
      </c>
      <c r="AW268" s="35">
        <f t="shared" si="315"/>
        <v>0</v>
      </c>
      <c r="AX268" s="35">
        <f t="shared" si="316"/>
        <v>0</v>
      </c>
      <c r="AY268" s="38" t="s">
        <v>197</v>
      </c>
      <c r="AZ268" s="38" t="s">
        <v>699</v>
      </c>
      <c r="BA268" s="12" t="s">
        <v>225</v>
      </c>
      <c r="BC268" s="35">
        <f t="shared" si="317"/>
        <v>0</v>
      </c>
      <c r="BD268" s="35">
        <f t="shared" si="318"/>
        <v>0</v>
      </c>
      <c r="BE268" s="35">
        <v>0</v>
      </c>
      <c r="BF268" s="35">
        <f t="shared" si="319"/>
        <v>0</v>
      </c>
      <c r="BH268" s="35">
        <f t="shared" si="320"/>
        <v>0</v>
      </c>
      <c r="BI268" s="35">
        <f t="shared" si="321"/>
        <v>0</v>
      </c>
      <c r="BJ268" s="35">
        <f t="shared" si="322"/>
        <v>0</v>
      </c>
      <c r="BK268" s="38" t="s">
        <v>156</v>
      </c>
      <c r="BL268" s="35"/>
      <c r="BW268" s="35">
        <f t="shared" si="323"/>
        <v>21</v>
      </c>
      <c r="BX268" s="4" t="s">
        <v>820</v>
      </c>
    </row>
    <row r="269" spans="1:76" ht="25.5" x14ac:dyDescent="0.25">
      <c r="A269" s="2" t="s">
        <v>821</v>
      </c>
      <c r="B269" s="3" t="s">
        <v>215</v>
      </c>
      <c r="C269" s="3" t="s">
        <v>822</v>
      </c>
      <c r="D269" s="70" t="s">
        <v>823</v>
      </c>
      <c r="E269" s="71"/>
      <c r="F269" s="3" t="s">
        <v>85</v>
      </c>
      <c r="G269" s="35">
        <v>1</v>
      </c>
      <c r="H269" s="68">
        <v>0</v>
      </c>
      <c r="I269" s="36">
        <v>21</v>
      </c>
      <c r="J269" s="35">
        <f t="shared" si="296"/>
        <v>0</v>
      </c>
      <c r="K269" s="35">
        <f t="shared" si="297"/>
        <v>0</v>
      </c>
      <c r="L269" s="35">
        <f t="shared" si="298"/>
        <v>0</v>
      </c>
      <c r="M269" s="35">
        <f t="shared" si="299"/>
        <v>0</v>
      </c>
      <c r="N269" s="35">
        <v>0</v>
      </c>
      <c r="O269" s="35">
        <f t="shared" si="300"/>
        <v>0</v>
      </c>
      <c r="P269" s="37" t="s">
        <v>64</v>
      </c>
      <c r="Z269" s="35">
        <f t="shared" si="301"/>
        <v>0</v>
      </c>
      <c r="AB269" s="35">
        <f t="shared" si="302"/>
        <v>0</v>
      </c>
      <c r="AC269" s="35">
        <f t="shared" si="303"/>
        <v>0</v>
      </c>
      <c r="AD269" s="35">
        <f t="shared" si="304"/>
        <v>0</v>
      </c>
      <c r="AE269" s="35">
        <f t="shared" si="305"/>
        <v>0</v>
      </c>
      <c r="AF269" s="35">
        <f t="shared" si="306"/>
        <v>0</v>
      </c>
      <c r="AG269" s="35">
        <f t="shared" si="307"/>
        <v>0</v>
      </c>
      <c r="AH269" s="35">
        <f t="shared" si="308"/>
        <v>0</v>
      </c>
      <c r="AI269" s="12" t="s">
        <v>215</v>
      </c>
      <c r="AJ269" s="35">
        <f t="shared" si="309"/>
        <v>0</v>
      </c>
      <c r="AK269" s="35">
        <f t="shared" si="310"/>
        <v>0</v>
      </c>
      <c r="AL269" s="35">
        <f t="shared" si="311"/>
        <v>0</v>
      </c>
      <c r="AN269" s="35">
        <v>21</v>
      </c>
      <c r="AO269" s="35">
        <f t="shared" si="312"/>
        <v>0</v>
      </c>
      <c r="AP269" s="35">
        <f t="shared" si="313"/>
        <v>0</v>
      </c>
      <c r="AQ269" s="38" t="s">
        <v>196</v>
      </c>
      <c r="AV269" s="35">
        <f t="shared" si="314"/>
        <v>0</v>
      </c>
      <c r="AW269" s="35">
        <f t="shared" si="315"/>
        <v>0</v>
      </c>
      <c r="AX269" s="35">
        <f t="shared" si="316"/>
        <v>0</v>
      </c>
      <c r="AY269" s="38" t="s">
        <v>197</v>
      </c>
      <c r="AZ269" s="38" t="s">
        <v>699</v>
      </c>
      <c r="BA269" s="12" t="s">
        <v>225</v>
      </c>
      <c r="BC269" s="35">
        <f t="shared" si="317"/>
        <v>0</v>
      </c>
      <c r="BD269" s="35">
        <f t="shared" si="318"/>
        <v>0</v>
      </c>
      <c r="BE269" s="35">
        <v>0</v>
      </c>
      <c r="BF269" s="35">
        <f t="shared" si="319"/>
        <v>0</v>
      </c>
      <c r="BH269" s="35">
        <f t="shared" si="320"/>
        <v>0</v>
      </c>
      <c r="BI269" s="35">
        <f t="shared" si="321"/>
        <v>0</v>
      </c>
      <c r="BJ269" s="35">
        <f t="shared" si="322"/>
        <v>0</v>
      </c>
      <c r="BK269" s="38" t="s">
        <v>156</v>
      </c>
      <c r="BL269" s="35"/>
      <c r="BW269" s="35">
        <f t="shared" si="323"/>
        <v>21</v>
      </c>
      <c r="BX269" s="4" t="s">
        <v>823</v>
      </c>
    </row>
    <row r="270" spans="1:76" ht="25.5" x14ac:dyDescent="0.25">
      <c r="A270" s="2" t="s">
        <v>824</v>
      </c>
      <c r="B270" s="3" t="s">
        <v>215</v>
      </c>
      <c r="C270" s="3" t="s">
        <v>825</v>
      </c>
      <c r="D270" s="70" t="s">
        <v>826</v>
      </c>
      <c r="E270" s="71"/>
      <c r="F270" s="3" t="s">
        <v>85</v>
      </c>
      <c r="G270" s="35">
        <v>1</v>
      </c>
      <c r="H270" s="68">
        <v>0</v>
      </c>
      <c r="I270" s="36">
        <v>21</v>
      </c>
      <c r="J270" s="35">
        <f t="shared" si="296"/>
        <v>0</v>
      </c>
      <c r="K270" s="35">
        <f t="shared" si="297"/>
        <v>0</v>
      </c>
      <c r="L270" s="35">
        <f t="shared" si="298"/>
        <v>0</v>
      </c>
      <c r="M270" s="35">
        <f t="shared" si="299"/>
        <v>0</v>
      </c>
      <c r="N270" s="35">
        <v>0</v>
      </c>
      <c r="O270" s="35">
        <f t="shared" si="300"/>
        <v>0</v>
      </c>
      <c r="P270" s="37" t="s">
        <v>64</v>
      </c>
      <c r="Z270" s="35">
        <f t="shared" si="301"/>
        <v>0</v>
      </c>
      <c r="AB270" s="35">
        <f t="shared" si="302"/>
        <v>0</v>
      </c>
      <c r="AC270" s="35">
        <f t="shared" si="303"/>
        <v>0</v>
      </c>
      <c r="AD270" s="35">
        <f t="shared" si="304"/>
        <v>0</v>
      </c>
      <c r="AE270" s="35">
        <f t="shared" si="305"/>
        <v>0</v>
      </c>
      <c r="AF270" s="35">
        <f t="shared" si="306"/>
        <v>0</v>
      </c>
      <c r="AG270" s="35">
        <f t="shared" si="307"/>
        <v>0</v>
      </c>
      <c r="AH270" s="35">
        <f t="shared" si="308"/>
        <v>0</v>
      </c>
      <c r="AI270" s="12" t="s">
        <v>215</v>
      </c>
      <c r="AJ270" s="35">
        <f t="shared" si="309"/>
        <v>0</v>
      </c>
      <c r="AK270" s="35">
        <f t="shared" si="310"/>
        <v>0</v>
      </c>
      <c r="AL270" s="35">
        <f t="shared" si="311"/>
        <v>0</v>
      </c>
      <c r="AN270" s="35">
        <v>21</v>
      </c>
      <c r="AO270" s="35">
        <f t="shared" si="312"/>
        <v>0</v>
      </c>
      <c r="AP270" s="35">
        <f t="shared" si="313"/>
        <v>0</v>
      </c>
      <c r="AQ270" s="38" t="s">
        <v>196</v>
      </c>
      <c r="AV270" s="35">
        <f t="shared" si="314"/>
        <v>0</v>
      </c>
      <c r="AW270" s="35">
        <f t="shared" si="315"/>
        <v>0</v>
      </c>
      <c r="AX270" s="35">
        <f t="shared" si="316"/>
        <v>0</v>
      </c>
      <c r="AY270" s="38" t="s">
        <v>197</v>
      </c>
      <c r="AZ270" s="38" t="s">
        <v>699</v>
      </c>
      <c r="BA270" s="12" t="s">
        <v>225</v>
      </c>
      <c r="BC270" s="35">
        <f t="shared" si="317"/>
        <v>0</v>
      </c>
      <c r="BD270" s="35">
        <f t="shared" si="318"/>
        <v>0</v>
      </c>
      <c r="BE270" s="35">
        <v>0</v>
      </c>
      <c r="BF270" s="35">
        <f t="shared" si="319"/>
        <v>0</v>
      </c>
      <c r="BH270" s="35">
        <f t="shared" si="320"/>
        <v>0</v>
      </c>
      <c r="BI270" s="35">
        <f t="shared" si="321"/>
        <v>0</v>
      </c>
      <c r="BJ270" s="35">
        <f t="shared" si="322"/>
        <v>0</v>
      </c>
      <c r="BK270" s="38" t="s">
        <v>156</v>
      </c>
      <c r="BL270" s="35"/>
      <c r="BW270" s="35">
        <f t="shared" si="323"/>
        <v>21</v>
      </c>
      <c r="BX270" s="4" t="s">
        <v>826</v>
      </c>
    </row>
    <row r="271" spans="1:76" ht="25.5" x14ac:dyDescent="0.25">
      <c r="A271" s="2" t="s">
        <v>827</v>
      </c>
      <c r="B271" s="3" t="s">
        <v>215</v>
      </c>
      <c r="C271" s="3" t="s">
        <v>825</v>
      </c>
      <c r="D271" s="70" t="s">
        <v>828</v>
      </c>
      <c r="E271" s="71"/>
      <c r="F271" s="3" t="s">
        <v>85</v>
      </c>
      <c r="G271" s="35">
        <v>1</v>
      </c>
      <c r="H271" s="68">
        <v>0</v>
      </c>
      <c r="I271" s="36">
        <v>21</v>
      </c>
      <c r="J271" s="35">
        <f t="shared" si="296"/>
        <v>0</v>
      </c>
      <c r="K271" s="35">
        <f t="shared" si="297"/>
        <v>0</v>
      </c>
      <c r="L271" s="35">
        <f t="shared" si="298"/>
        <v>0</v>
      </c>
      <c r="M271" s="35">
        <f t="shared" si="299"/>
        <v>0</v>
      </c>
      <c r="N271" s="35">
        <v>0</v>
      </c>
      <c r="O271" s="35">
        <f t="shared" si="300"/>
        <v>0</v>
      </c>
      <c r="P271" s="37" t="s">
        <v>64</v>
      </c>
      <c r="Z271" s="35">
        <f t="shared" si="301"/>
        <v>0</v>
      </c>
      <c r="AB271" s="35">
        <f t="shared" si="302"/>
        <v>0</v>
      </c>
      <c r="AC271" s="35">
        <f t="shared" si="303"/>
        <v>0</v>
      </c>
      <c r="AD271" s="35">
        <f t="shared" si="304"/>
        <v>0</v>
      </c>
      <c r="AE271" s="35">
        <f t="shared" si="305"/>
        <v>0</v>
      </c>
      <c r="AF271" s="35">
        <f t="shared" si="306"/>
        <v>0</v>
      </c>
      <c r="AG271" s="35">
        <f t="shared" si="307"/>
        <v>0</v>
      </c>
      <c r="AH271" s="35">
        <f t="shared" si="308"/>
        <v>0</v>
      </c>
      <c r="AI271" s="12" t="s">
        <v>215</v>
      </c>
      <c r="AJ271" s="35">
        <f t="shared" si="309"/>
        <v>0</v>
      </c>
      <c r="AK271" s="35">
        <f t="shared" si="310"/>
        <v>0</v>
      </c>
      <c r="AL271" s="35">
        <f t="shared" si="311"/>
        <v>0</v>
      </c>
      <c r="AN271" s="35">
        <v>21</v>
      </c>
      <c r="AO271" s="35">
        <f t="shared" si="312"/>
        <v>0</v>
      </c>
      <c r="AP271" s="35">
        <f t="shared" si="313"/>
        <v>0</v>
      </c>
      <c r="AQ271" s="38" t="s">
        <v>196</v>
      </c>
      <c r="AV271" s="35">
        <f t="shared" si="314"/>
        <v>0</v>
      </c>
      <c r="AW271" s="35">
        <f t="shared" si="315"/>
        <v>0</v>
      </c>
      <c r="AX271" s="35">
        <f t="shared" si="316"/>
        <v>0</v>
      </c>
      <c r="AY271" s="38" t="s">
        <v>197</v>
      </c>
      <c r="AZ271" s="38" t="s">
        <v>699</v>
      </c>
      <c r="BA271" s="12" t="s">
        <v>225</v>
      </c>
      <c r="BC271" s="35">
        <f t="shared" si="317"/>
        <v>0</v>
      </c>
      <c r="BD271" s="35">
        <f t="shared" si="318"/>
        <v>0</v>
      </c>
      <c r="BE271" s="35">
        <v>0</v>
      </c>
      <c r="BF271" s="35">
        <f t="shared" si="319"/>
        <v>0</v>
      </c>
      <c r="BH271" s="35">
        <f t="shared" si="320"/>
        <v>0</v>
      </c>
      <c r="BI271" s="35">
        <f t="shared" si="321"/>
        <v>0</v>
      </c>
      <c r="BJ271" s="35">
        <f t="shared" si="322"/>
        <v>0</v>
      </c>
      <c r="BK271" s="38" t="s">
        <v>156</v>
      </c>
      <c r="BL271" s="35"/>
      <c r="BW271" s="35">
        <f t="shared" si="323"/>
        <v>21</v>
      </c>
      <c r="BX271" s="4" t="s">
        <v>828</v>
      </c>
    </row>
    <row r="272" spans="1:76" ht="25.5" x14ac:dyDescent="0.25">
      <c r="A272" s="2" t="s">
        <v>829</v>
      </c>
      <c r="B272" s="3" t="s">
        <v>215</v>
      </c>
      <c r="C272" s="3" t="s">
        <v>825</v>
      </c>
      <c r="D272" s="70" t="s">
        <v>830</v>
      </c>
      <c r="E272" s="71"/>
      <c r="F272" s="3" t="s">
        <v>85</v>
      </c>
      <c r="G272" s="35">
        <v>1</v>
      </c>
      <c r="H272" s="68">
        <v>0</v>
      </c>
      <c r="I272" s="36">
        <v>21</v>
      </c>
      <c r="J272" s="35">
        <f t="shared" si="296"/>
        <v>0</v>
      </c>
      <c r="K272" s="35">
        <f t="shared" si="297"/>
        <v>0</v>
      </c>
      <c r="L272" s="35">
        <f t="shared" si="298"/>
        <v>0</v>
      </c>
      <c r="M272" s="35">
        <f t="shared" si="299"/>
        <v>0</v>
      </c>
      <c r="N272" s="35">
        <v>0</v>
      </c>
      <c r="O272" s="35">
        <f t="shared" si="300"/>
        <v>0</v>
      </c>
      <c r="P272" s="37" t="s">
        <v>64</v>
      </c>
      <c r="Z272" s="35">
        <f t="shared" si="301"/>
        <v>0</v>
      </c>
      <c r="AB272" s="35">
        <f t="shared" si="302"/>
        <v>0</v>
      </c>
      <c r="AC272" s="35">
        <f t="shared" si="303"/>
        <v>0</v>
      </c>
      <c r="AD272" s="35">
        <f t="shared" si="304"/>
        <v>0</v>
      </c>
      <c r="AE272" s="35">
        <f t="shared" si="305"/>
        <v>0</v>
      </c>
      <c r="AF272" s="35">
        <f t="shared" si="306"/>
        <v>0</v>
      </c>
      <c r="AG272" s="35">
        <f t="shared" si="307"/>
        <v>0</v>
      </c>
      <c r="AH272" s="35">
        <f t="shared" si="308"/>
        <v>0</v>
      </c>
      <c r="AI272" s="12" t="s">
        <v>215</v>
      </c>
      <c r="AJ272" s="35">
        <f t="shared" si="309"/>
        <v>0</v>
      </c>
      <c r="AK272" s="35">
        <f t="shared" si="310"/>
        <v>0</v>
      </c>
      <c r="AL272" s="35">
        <f t="shared" si="311"/>
        <v>0</v>
      </c>
      <c r="AN272" s="35">
        <v>21</v>
      </c>
      <c r="AO272" s="35">
        <f t="shared" si="312"/>
        <v>0</v>
      </c>
      <c r="AP272" s="35">
        <f t="shared" si="313"/>
        <v>0</v>
      </c>
      <c r="AQ272" s="38" t="s">
        <v>196</v>
      </c>
      <c r="AV272" s="35">
        <f t="shared" si="314"/>
        <v>0</v>
      </c>
      <c r="AW272" s="35">
        <f t="shared" si="315"/>
        <v>0</v>
      </c>
      <c r="AX272" s="35">
        <f t="shared" si="316"/>
        <v>0</v>
      </c>
      <c r="AY272" s="38" t="s">
        <v>197</v>
      </c>
      <c r="AZ272" s="38" t="s">
        <v>699</v>
      </c>
      <c r="BA272" s="12" t="s">
        <v>225</v>
      </c>
      <c r="BC272" s="35">
        <f t="shared" si="317"/>
        <v>0</v>
      </c>
      <c r="BD272" s="35">
        <f t="shared" si="318"/>
        <v>0</v>
      </c>
      <c r="BE272" s="35">
        <v>0</v>
      </c>
      <c r="BF272" s="35">
        <f t="shared" si="319"/>
        <v>0</v>
      </c>
      <c r="BH272" s="35">
        <f t="shared" si="320"/>
        <v>0</v>
      </c>
      <c r="BI272" s="35">
        <f t="shared" si="321"/>
        <v>0</v>
      </c>
      <c r="BJ272" s="35">
        <f t="shared" si="322"/>
        <v>0</v>
      </c>
      <c r="BK272" s="38" t="s">
        <v>156</v>
      </c>
      <c r="BL272" s="35"/>
      <c r="BW272" s="35">
        <f t="shared" si="323"/>
        <v>21</v>
      </c>
      <c r="BX272" s="4" t="s">
        <v>830</v>
      </c>
    </row>
    <row r="273" spans="1:76" x14ac:dyDescent="0.25">
      <c r="A273" s="2" t="s">
        <v>831</v>
      </c>
      <c r="B273" s="3" t="s">
        <v>215</v>
      </c>
      <c r="C273" s="3" t="s">
        <v>832</v>
      </c>
      <c r="D273" s="70" t="s">
        <v>833</v>
      </c>
      <c r="E273" s="71"/>
      <c r="F273" s="3" t="s">
        <v>85</v>
      </c>
      <c r="G273" s="35">
        <v>1</v>
      </c>
      <c r="H273" s="68">
        <v>0</v>
      </c>
      <c r="I273" s="36">
        <v>21</v>
      </c>
      <c r="J273" s="35">
        <f t="shared" si="296"/>
        <v>0</v>
      </c>
      <c r="K273" s="35">
        <f t="shared" si="297"/>
        <v>0</v>
      </c>
      <c r="L273" s="35">
        <f t="shared" si="298"/>
        <v>0</v>
      </c>
      <c r="M273" s="35">
        <f t="shared" si="299"/>
        <v>0</v>
      </c>
      <c r="N273" s="35">
        <v>0</v>
      </c>
      <c r="O273" s="35">
        <f t="shared" si="300"/>
        <v>0</v>
      </c>
      <c r="P273" s="37" t="s">
        <v>64</v>
      </c>
      <c r="Z273" s="35">
        <f t="shared" si="301"/>
        <v>0</v>
      </c>
      <c r="AB273" s="35">
        <f t="shared" si="302"/>
        <v>0</v>
      </c>
      <c r="AC273" s="35">
        <f t="shared" si="303"/>
        <v>0</v>
      </c>
      <c r="AD273" s="35">
        <f t="shared" si="304"/>
        <v>0</v>
      </c>
      <c r="AE273" s="35">
        <f t="shared" si="305"/>
        <v>0</v>
      </c>
      <c r="AF273" s="35">
        <f t="shared" si="306"/>
        <v>0</v>
      </c>
      <c r="AG273" s="35">
        <f t="shared" si="307"/>
        <v>0</v>
      </c>
      <c r="AH273" s="35">
        <f t="shared" si="308"/>
        <v>0</v>
      </c>
      <c r="AI273" s="12" t="s">
        <v>215</v>
      </c>
      <c r="AJ273" s="35">
        <f t="shared" si="309"/>
        <v>0</v>
      </c>
      <c r="AK273" s="35">
        <f t="shared" si="310"/>
        <v>0</v>
      </c>
      <c r="AL273" s="35">
        <f t="shared" si="311"/>
        <v>0</v>
      </c>
      <c r="AN273" s="35">
        <v>21</v>
      </c>
      <c r="AO273" s="35">
        <f t="shared" si="312"/>
        <v>0</v>
      </c>
      <c r="AP273" s="35">
        <f t="shared" si="313"/>
        <v>0</v>
      </c>
      <c r="AQ273" s="38" t="s">
        <v>196</v>
      </c>
      <c r="AV273" s="35">
        <f t="shared" si="314"/>
        <v>0</v>
      </c>
      <c r="AW273" s="35">
        <f t="shared" si="315"/>
        <v>0</v>
      </c>
      <c r="AX273" s="35">
        <f t="shared" si="316"/>
        <v>0</v>
      </c>
      <c r="AY273" s="38" t="s">
        <v>197</v>
      </c>
      <c r="AZ273" s="38" t="s">
        <v>699</v>
      </c>
      <c r="BA273" s="12" t="s">
        <v>225</v>
      </c>
      <c r="BC273" s="35">
        <f t="shared" si="317"/>
        <v>0</v>
      </c>
      <c r="BD273" s="35">
        <f t="shared" si="318"/>
        <v>0</v>
      </c>
      <c r="BE273" s="35">
        <v>0</v>
      </c>
      <c r="BF273" s="35">
        <f t="shared" si="319"/>
        <v>0</v>
      </c>
      <c r="BH273" s="35">
        <f t="shared" si="320"/>
        <v>0</v>
      </c>
      <c r="BI273" s="35">
        <f t="shared" si="321"/>
        <v>0</v>
      </c>
      <c r="BJ273" s="35">
        <f t="shared" si="322"/>
        <v>0</v>
      </c>
      <c r="BK273" s="38" t="s">
        <v>156</v>
      </c>
      <c r="BL273" s="35"/>
      <c r="BW273" s="35">
        <f t="shared" si="323"/>
        <v>21</v>
      </c>
      <c r="BX273" s="4" t="s">
        <v>833</v>
      </c>
    </row>
    <row r="274" spans="1:76" x14ac:dyDescent="0.25">
      <c r="A274" s="2" t="s">
        <v>834</v>
      </c>
      <c r="B274" s="3" t="s">
        <v>215</v>
      </c>
      <c r="C274" s="3" t="s">
        <v>835</v>
      </c>
      <c r="D274" s="70" t="s">
        <v>836</v>
      </c>
      <c r="E274" s="71"/>
      <c r="F274" s="3" t="s">
        <v>85</v>
      </c>
      <c r="G274" s="35">
        <v>1</v>
      </c>
      <c r="H274" s="68">
        <v>0</v>
      </c>
      <c r="I274" s="36">
        <v>21</v>
      </c>
      <c r="J274" s="35">
        <f t="shared" si="296"/>
        <v>0</v>
      </c>
      <c r="K274" s="35">
        <f t="shared" si="297"/>
        <v>0</v>
      </c>
      <c r="L274" s="35">
        <f t="shared" si="298"/>
        <v>0</v>
      </c>
      <c r="M274" s="35">
        <f t="shared" si="299"/>
        <v>0</v>
      </c>
      <c r="N274" s="35">
        <v>0</v>
      </c>
      <c r="O274" s="35">
        <f t="shared" si="300"/>
        <v>0</v>
      </c>
      <c r="P274" s="37" t="s">
        <v>64</v>
      </c>
      <c r="Z274" s="35">
        <f t="shared" si="301"/>
        <v>0</v>
      </c>
      <c r="AB274" s="35">
        <f t="shared" si="302"/>
        <v>0</v>
      </c>
      <c r="AC274" s="35">
        <f t="shared" si="303"/>
        <v>0</v>
      </c>
      <c r="AD274" s="35">
        <f t="shared" si="304"/>
        <v>0</v>
      </c>
      <c r="AE274" s="35">
        <f t="shared" si="305"/>
        <v>0</v>
      </c>
      <c r="AF274" s="35">
        <f t="shared" si="306"/>
        <v>0</v>
      </c>
      <c r="AG274" s="35">
        <f t="shared" si="307"/>
        <v>0</v>
      </c>
      <c r="AH274" s="35">
        <f t="shared" si="308"/>
        <v>0</v>
      </c>
      <c r="AI274" s="12" t="s">
        <v>215</v>
      </c>
      <c r="AJ274" s="35">
        <f t="shared" si="309"/>
        <v>0</v>
      </c>
      <c r="AK274" s="35">
        <f t="shared" si="310"/>
        <v>0</v>
      </c>
      <c r="AL274" s="35">
        <f t="shared" si="311"/>
        <v>0</v>
      </c>
      <c r="AN274" s="35">
        <v>21</v>
      </c>
      <c r="AO274" s="35">
        <f t="shared" si="312"/>
        <v>0</v>
      </c>
      <c r="AP274" s="35">
        <f t="shared" si="313"/>
        <v>0</v>
      </c>
      <c r="AQ274" s="38" t="s">
        <v>196</v>
      </c>
      <c r="AV274" s="35">
        <f t="shared" si="314"/>
        <v>0</v>
      </c>
      <c r="AW274" s="35">
        <f t="shared" si="315"/>
        <v>0</v>
      </c>
      <c r="AX274" s="35">
        <f t="shared" si="316"/>
        <v>0</v>
      </c>
      <c r="AY274" s="38" t="s">
        <v>197</v>
      </c>
      <c r="AZ274" s="38" t="s">
        <v>699</v>
      </c>
      <c r="BA274" s="12" t="s">
        <v>225</v>
      </c>
      <c r="BC274" s="35">
        <f t="shared" si="317"/>
        <v>0</v>
      </c>
      <c r="BD274" s="35">
        <f t="shared" si="318"/>
        <v>0</v>
      </c>
      <c r="BE274" s="35">
        <v>0</v>
      </c>
      <c r="BF274" s="35">
        <f t="shared" si="319"/>
        <v>0</v>
      </c>
      <c r="BH274" s="35">
        <f t="shared" si="320"/>
        <v>0</v>
      </c>
      <c r="BI274" s="35">
        <f t="shared" si="321"/>
        <v>0</v>
      </c>
      <c r="BJ274" s="35">
        <f t="shared" si="322"/>
        <v>0</v>
      </c>
      <c r="BK274" s="38" t="s">
        <v>156</v>
      </c>
      <c r="BL274" s="35"/>
      <c r="BW274" s="35">
        <f t="shared" si="323"/>
        <v>21</v>
      </c>
      <c r="BX274" s="4" t="s">
        <v>836</v>
      </c>
    </row>
    <row r="275" spans="1:76" x14ac:dyDescent="0.25">
      <c r="A275" s="2" t="s">
        <v>837</v>
      </c>
      <c r="B275" s="3" t="s">
        <v>215</v>
      </c>
      <c r="C275" s="3" t="s">
        <v>838</v>
      </c>
      <c r="D275" s="70" t="s">
        <v>839</v>
      </c>
      <c r="E275" s="71"/>
      <c r="F275" s="3" t="s">
        <v>85</v>
      </c>
      <c r="G275" s="35">
        <v>1</v>
      </c>
      <c r="H275" s="68">
        <v>0</v>
      </c>
      <c r="I275" s="36">
        <v>21</v>
      </c>
      <c r="J275" s="35">
        <f t="shared" si="296"/>
        <v>0</v>
      </c>
      <c r="K275" s="35">
        <f t="shared" si="297"/>
        <v>0</v>
      </c>
      <c r="L275" s="35">
        <f t="shared" si="298"/>
        <v>0</v>
      </c>
      <c r="M275" s="35">
        <f t="shared" si="299"/>
        <v>0</v>
      </c>
      <c r="N275" s="35">
        <v>0</v>
      </c>
      <c r="O275" s="35">
        <f t="shared" si="300"/>
        <v>0</v>
      </c>
      <c r="P275" s="37" t="s">
        <v>64</v>
      </c>
      <c r="Z275" s="35">
        <f t="shared" si="301"/>
        <v>0</v>
      </c>
      <c r="AB275" s="35">
        <f t="shared" si="302"/>
        <v>0</v>
      </c>
      <c r="AC275" s="35">
        <f t="shared" si="303"/>
        <v>0</v>
      </c>
      <c r="AD275" s="35">
        <f t="shared" si="304"/>
        <v>0</v>
      </c>
      <c r="AE275" s="35">
        <f t="shared" si="305"/>
        <v>0</v>
      </c>
      <c r="AF275" s="35">
        <f t="shared" si="306"/>
        <v>0</v>
      </c>
      <c r="AG275" s="35">
        <f t="shared" si="307"/>
        <v>0</v>
      </c>
      <c r="AH275" s="35">
        <f t="shared" si="308"/>
        <v>0</v>
      </c>
      <c r="AI275" s="12" t="s">
        <v>215</v>
      </c>
      <c r="AJ275" s="35">
        <f t="shared" si="309"/>
        <v>0</v>
      </c>
      <c r="AK275" s="35">
        <f t="shared" si="310"/>
        <v>0</v>
      </c>
      <c r="AL275" s="35">
        <f t="shared" si="311"/>
        <v>0</v>
      </c>
      <c r="AN275" s="35">
        <v>21</v>
      </c>
      <c r="AO275" s="35">
        <f t="shared" si="312"/>
        <v>0</v>
      </c>
      <c r="AP275" s="35">
        <f t="shared" si="313"/>
        <v>0</v>
      </c>
      <c r="AQ275" s="38" t="s">
        <v>196</v>
      </c>
      <c r="AV275" s="35">
        <f t="shared" si="314"/>
        <v>0</v>
      </c>
      <c r="AW275" s="35">
        <f t="shared" si="315"/>
        <v>0</v>
      </c>
      <c r="AX275" s="35">
        <f t="shared" si="316"/>
        <v>0</v>
      </c>
      <c r="AY275" s="38" t="s">
        <v>197</v>
      </c>
      <c r="AZ275" s="38" t="s">
        <v>699</v>
      </c>
      <c r="BA275" s="12" t="s">
        <v>225</v>
      </c>
      <c r="BC275" s="35">
        <f t="shared" si="317"/>
        <v>0</v>
      </c>
      <c r="BD275" s="35">
        <f t="shared" si="318"/>
        <v>0</v>
      </c>
      <c r="BE275" s="35">
        <v>0</v>
      </c>
      <c r="BF275" s="35">
        <f t="shared" si="319"/>
        <v>0</v>
      </c>
      <c r="BH275" s="35">
        <f t="shared" si="320"/>
        <v>0</v>
      </c>
      <c r="BI275" s="35">
        <f t="shared" si="321"/>
        <v>0</v>
      </c>
      <c r="BJ275" s="35">
        <f t="shared" si="322"/>
        <v>0</v>
      </c>
      <c r="BK275" s="38" t="s">
        <v>156</v>
      </c>
      <c r="BL275" s="35"/>
      <c r="BW275" s="35">
        <f t="shared" si="323"/>
        <v>21</v>
      </c>
      <c r="BX275" s="4" t="s">
        <v>839</v>
      </c>
    </row>
    <row r="276" spans="1:76" x14ac:dyDescent="0.25">
      <c r="A276" s="2" t="s">
        <v>840</v>
      </c>
      <c r="B276" s="3" t="s">
        <v>215</v>
      </c>
      <c r="C276" s="3" t="s">
        <v>841</v>
      </c>
      <c r="D276" s="70" t="s">
        <v>842</v>
      </c>
      <c r="E276" s="71"/>
      <c r="F276" s="3" t="s">
        <v>85</v>
      </c>
      <c r="G276" s="35">
        <v>6</v>
      </c>
      <c r="H276" s="68">
        <v>0</v>
      </c>
      <c r="I276" s="36">
        <v>21</v>
      </c>
      <c r="J276" s="35">
        <f t="shared" si="296"/>
        <v>0</v>
      </c>
      <c r="K276" s="35">
        <f t="shared" si="297"/>
        <v>0</v>
      </c>
      <c r="L276" s="35">
        <f t="shared" si="298"/>
        <v>0</v>
      </c>
      <c r="M276" s="35">
        <f t="shared" si="299"/>
        <v>0</v>
      </c>
      <c r="N276" s="35">
        <v>0</v>
      </c>
      <c r="O276" s="35">
        <f t="shared" si="300"/>
        <v>0</v>
      </c>
      <c r="P276" s="37" t="s">
        <v>64</v>
      </c>
      <c r="Z276" s="35">
        <f t="shared" si="301"/>
        <v>0</v>
      </c>
      <c r="AB276" s="35">
        <f t="shared" si="302"/>
        <v>0</v>
      </c>
      <c r="AC276" s="35">
        <f t="shared" si="303"/>
        <v>0</v>
      </c>
      <c r="AD276" s="35">
        <f t="shared" si="304"/>
        <v>0</v>
      </c>
      <c r="AE276" s="35">
        <f t="shared" si="305"/>
        <v>0</v>
      </c>
      <c r="AF276" s="35">
        <f t="shared" si="306"/>
        <v>0</v>
      </c>
      <c r="AG276" s="35">
        <f t="shared" si="307"/>
        <v>0</v>
      </c>
      <c r="AH276" s="35">
        <f t="shared" si="308"/>
        <v>0</v>
      </c>
      <c r="AI276" s="12" t="s">
        <v>215</v>
      </c>
      <c r="AJ276" s="35">
        <f t="shared" si="309"/>
        <v>0</v>
      </c>
      <c r="AK276" s="35">
        <f t="shared" si="310"/>
        <v>0</v>
      </c>
      <c r="AL276" s="35">
        <f t="shared" si="311"/>
        <v>0</v>
      </c>
      <c r="AN276" s="35">
        <v>21</v>
      </c>
      <c r="AO276" s="35">
        <f t="shared" si="312"/>
        <v>0</v>
      </c>
      <c r="AP276" s="35">
        <f t="shared" si="313"/>
        <v>0</v>
      </c>
      <c r="AQ276" s="38" t="s">
        <v>196</v>
      </c>
      <c r="AV276" s="35">
        <f t="shared" si="314"/>
        <v>0</v>
      </c>
      <c r="AW276" s="35">
        <f t="shared" si="315"/>
        <v>0</v>
      </c>
      <c r="AX276" s="35">
        <f t="shared" si="316"/>
        <v>0</v>
      </c>
      <c r="AY276" s="38" t="s">
        <v>197</v>
      </c>
      <c r="AZ276" s="38" t="s">
        <v>699</v>
      </c>
      <c r="BA276" s="12" t="s">
        <v>225</v>
      </c>
      <c r="BC276" s="35">
        <f t="shared" si="317"/>
        <v>0</v>
      </c>
      <c r="BD276" s="35">
        <f t="shared" si="318"/>
        <v>0</v>
      </c>
      <c r="BE276" s="35">
        <v>0</v>
      </c>
      <c r="BF276" s="35">
        <f t="shared" si="319"/>
        <v>0</v>
      </c>
      <c r="BH276" s="35">
        <f t="shared" si="320"/>
        <v>0</v>
      </c>
      <c r="BI276" s="35">
        <f t="shared" si="321"/>
        <v>0</v>
      </c>
      <c r="BJ276" s="35">
        <f t="shared" si="322"/>
        <v>0</v>
      </c>
      <c r="BK276" s="38" t="s">
        <v>156</v>
      </c>
      <c r="BL276" s="35"/>
      <c r="BW276" s="35">
        <f t="shared" si="323"/>
        <v>21</v>
      </c>
      <c r="BX276" s="4" t="s">
        <v>842</v>
      </c>
    </row>
    <row r="277" spans="1:76" x14ac:dyDescent="0.25">
      <c r="A277" s="2" t="s">
        <v>843</v>
      </c>
      <c r="B277" s="3" t="s">
        <v>215</v>
      </c>
      <c r="C277" s="3" t="s">
        <v>844</v>
      </c>
      <c r="D277" s="70" t="s">
        <v>845</v>
      </c>
      <c r="E277" s="71"/>
      <c r="F277" s="3" t="s">
        <v>85</v>
      </c>
      <c r="G277" s="35">
        <v>6</v>
      </c>
      <c r="H277" s="68">
        <v>0</v>
      </c>
      <c r="I277" s="36">
        <v>21</v>
      </c>
      <c r="J277" s="35">
        <f t="shared" si="296"/>
        <v>0</v>
      </c>
      <c r="K277" s="35">
        <f t="shared" si="297"/>
        <v>0</v>
      </c>
      <c r="L277" s="35">
        <f t="shared" si="298"/>
        <v>0</v>
      </c>
      <c r="M277" s="35">
        <f t="shared" si="299"/>
        <v>0</v>
      </c>
      <c r="N277" s="35">
        <v>0</v>
      </c>
      <c r="O277" s="35">
        <f t="shared" si="300"/>
        <v>0</v>
      </c>
      <c r="P277" s="37" t="s">
        <v>64</v>
      </c>
      <c r="Z277" s="35">
        <f t="shared" si="301"/>
        <v>0</v>
      </c>
      <c r="AB277" s="35">
        <f t="shared" si="302"/>
        <v>0</v>
      </c>
      <c r="AC277" s="35">
        <f t="shared" si="303"/>
        <v>0</v>
      </c>
      <c r="AD277" s="35">
        <f t="shared" si="304"/>
        <v>0</v>
      </c>
      <c r="AE277" s="35">
        <f t="shared" si="305"/>
        <v>0</v>
      </c>
      <c r="AF277" s="35">
        <f t="shared" si="306"/>
        <v>0</v>
      </c>
      <c r="AG277" s="35">
        <f t="shared" si="307"/>
        <v>0</v>
      </c>
      <c r="AH277" s="35">
        <f t="shared" si="308"/>
        <v>0</v>
      </c>
      <c r="AI277" s="12" t="s">
        <v>215</v>
      </c>
      <c r="AJ277" s="35">
        <f t="shared" si="309"/>
        <v>0</v>
      </c>
      <c r="AK277" s="35">
        <f t="shared" si="310"/>
        <v>0</v>
      </c>
      <c r="AL277" s="35">
        <f t="shared" si="311"/>
        <v>0</v>
      </c>
      <c r="AN277" s="35">
        <v>21</v>
      </c>
      <c r="AO277" s="35">
        <f t="shared" si="312"/>
        <v>0</v>
      </c>
      <c r="AP277" s="35">
        <f t="shared" si="313"/>
        <v>0</v>
      </c>
      <c r="AQ277" s="38" t="s">
        <v>196</v>
      </c>
      <c r="AV277" s="35">
        <f t="shared" si="314"/>
        <v>0</v>
      </c>
      <c r="AW277" s="35">
        <f t="shared" si="315"/>
        <v>0</v>
      </c>
      <c r="AX277" s="35">
        <f t="shared" si="316"/>
        <v>0</v>
      </c>
      <c r="AY277" s="38" t="s">
        <v>197</v>
      </c>
      <c r="AZ277" s="38" t="s">
        <v>699</v>
      </c>
      <c r="BA277" s="12" t="s">
        <v>225</v>
      </c>
      <c r="BC277" s="35">
        <f t="shared" si="317"/>
        <v>0</v>
      </c>
      <c r="BD277" s="35">
        <f t="shared" si="318"/>
        <v>0</v>
      </c>
      <c r="BE277" s="35">
        <v>0</v>
      </c>
      <c r="BF277" s="35">
        <f t="shared" si="319"/>
        <v>0</v>
      </c>
      <c r="BH277" s="35">
        <f t="shared" si="320"/>
        <v>0</v>
      </c>
      <c r="BI277" s="35">
        <f t="shared" si="321"/>
        <v>0</v>
      </c>
      <c r="BJ277" s="35">
        <f t="shared" si="322"/>
        <v>0</v>
      </c>
      <c r="BK277" s="38" t="s">
        <v>156</v>
      </c>
      <c r="BL277" s="35"/>
      <c r="BW277" s="35">
        <f t="shared" si="323"/>
        <v>21</v>
      </c>
      <c r="BX277" s="4" t="s">
        <v>845</v>
      </c>
    </row>
    <row r="278" spans="1:76" x14ac:dyDescent="0.25">
      <c r="A278" s="2" t="s">
        <v>846</v>
      </c>
      <c r="B278" s="3" t="s">
        <v>215</v>
      </c>
      <c r="C278" s="3" t="s">
        <v>847</v>
      </c>
      <c r="D278" s="70" t="s">
        <v>848</v>
      </c>
      <c r="E278" s="71"/>
      <c r="F278" s="3" t="s">
        <v>85</v>
      </c>
      <c r="G278" s="35">
        <v>6</v>
      </c>
      <c r="H278" s="68">
        <v>0</v>
      </c>
      <c r="I278" s="36">
        <v>21</v>
      </c>
      <c r="J278" s="35">
        <f t="shared" si="296"/>
        <v>0</v>
      </c>
      <c r="K278" s="35">
        <f t="shared" si="297"/>
        <v>0</v>
      </c>
      <c r="L278" s="35">
        <f t="shared" si="298"/>
        <v>0</v>
      </c>
      <c r="M278" s="35">
        <f t="shared" si="299"/>
        <v>0</v>
      </c>
      <c r="N278" s="35">
        <v>0</v>
      </c>
      <c r="O278" s="35">
        <f t="shared" si="300"/>
        <v>0</v>
      </c>
      <c r="P278" s="37" t="s">
        <v>64</v>
      </c>
      <c r="Z278" s="35">
        <f t="shared" si="301"/>
        <v>0</v>
      </c>
      <c r="AB278" s="35">
        <f t="shared" si="302"/>
        <v>0</v>
      </c>
      <c r="AC278" s="35">
        <f t="shared" si="303"/>
        <v>0</v>
      </c>
      <c r="AD278" s="35">
        <f t="shared" si="304"/>
        <v>0</v>
      </c>
      <c r="AE278" s="35">
        <f t="shared" si="305"/>
        <v>0</v>
      </c>
      <c r="AF278" s="35">
        <f t="shared" si="306"/>
        <v>0</v>
      </c>
      <c r="AG278" s="35">
        <f t="shared" si="307"/>
        <v>0</v>
      </c>
      <c r="AH278" s="35">
        <f t="shared" si="308"/>
        <v>0</v>
      </c>
      <c r="AI278" s="12" t="s">
        <v>215</v>
      </c>
      <c r="AJ278" s="35">
        <f t="shared" si="309"/>
        <v>0</v>
      </c>
      <c r="AK278" s="35">
        <f t="shared" si="310"/>
        <v>0</v>
      </c>
      <c r="AL278" s="35">
        <f t="shared" si="311"/>
        <v>0</v>
      </c>
      <c r="AN278" s="35">
        <v>21</v>
      </c>
      <c r="AO278" s="35">
        <f t="shared" si="312"/>
        <v>0</v>
      </c>
      <c r="AP278" s="35">
        <f t="shared" si="313"/>
        <v>0</v>
      </c>
      <c r="AQ278" s="38" t="s">
        <v>196</v>
      </c>
      <c r="AV278" s="35">
        <f t="shared" si="314"/>
        <v>0</v>
      </c>
      <c r="AW278" s="35">
        <f t="shared" si="315"/>
        <v>0</v>
      </c>
      <c r="AX278" s="35">
        <f t="shared" si="316"/>
        <v>0</v>
      </c>
      <c r="AY278" s="38" t="s">
        <v>197</v>
      </c>
      <c r="AZ278" s="38" t="s">
        <v>699</v>
      </c>
      <c r="BA278" s="12" t="s">
        <v>225</v>
      </c>
      <c r="BC278" s="35">
        <f t="shared" si="317"/>
        <v>0</v>
      </c>
      <c r="BD278" s="35">
        <f t="shared" si="318"/>
        <v>0</v>
      </c>
      <c r="BE278" s="35">
        <v>0</v>
      </c>
      <c r="BF278" s="35">
        <f t="shared" si="319"/>
        <v>0</v>
      </c>
      <c r="BH278" s="35">
        <f t="shared" si="320"/>
        <v>0</v>
      </c>
      <c r="BI278" s="35">
        <f t="shared" si="321"/>
        <v>0</v>
      </c>
      <c r="BJ278" s="35">
        <f t="shared" si="322"/>
        <v>0</v>
      </c>
      <c r="BK278" s="38" t="s">
        <v>156</v>
      </c>
      <c r="BL278" s="35"/>
      <c r="BW278" s="35">
        <f t="shared" si="323"/>
        <v>21</v>
      </c>
      <c r="BX278" s="4" t="s">
        <v>848</v>
      </c>
    </row>
    <row r="279" spans="1:76" x14ac:dyDescent="0.25">
      <c r="A279" s="2" t="s">
        <v>849</v>
      </c>
      <c r="B279" s="3" t="s">
        <v>215</v>
      </c>
      <c r="C279" s="3" t="s">
        <v>850</v>
      </c>
      <c r="D279" s="70" t="s">
        <v>851</v>
      </c>
      <c r="E279" s="71"/>
      <c r="F279" s="3" t="s">
        <v>85</v>
      </c>
      <c r="G279" s="35">
        <v>22</v>
      </c>
      <c r="H279" s="68">
        <v>0</v>
      </c>
      <c r="I279" s="36">
        <v>21</v>
      </c>
      <c r="J279" s="35">
        <f t="shared" si="296"/>
        <v>0</v>
      </c>
      <c r="K279" s="35">
        <f t="shared" si="297"/>
        <v>0</v>
      </c>
      <c r="L279" s="35">
        <f t="shared" si="298"/>
        <v>0</v>
      </c>
      <c r="M279" s="35">
        <f t="shared" si="299"/>
        <v>0</v>
      </c>
      <c r="N279" s="35">
        <v>0</v>
      </c>
      <c r="O279" s="35">
        <f t="shared" si="300"/>
        <v>0</v>
      </c>
      <c r="P279" s="37" t="s">
        <v>64</v>
      </c>
      <c r="Z279" s="35">
        <f t="shared" si="301"/>
        <v>0</v>
      </c>
      <c r="AB279" s="35">
        <f t="shared" si="302"/>
        <v>0</v>
      </c>
      <c r="AC279" s="35">
        <f t="shared" si="303"/>
        <v>0</v>
      </c>
      <c r="AD279" s="35">
        <f t="shared" si="304"/>
        <v>0</v>
      </c>
      <c r="AE279" s="35">
        <f t="shared" si="305"/>
        <v>0</v>
      </c>
      <c r="AF279" s="35">
        <f t="shared" si="306"/>
        <v>0</v>
      </c>
      <c r="AG279" s="35">
        <f t="shared" si="307"/>
        <v>0</v>
      </c>
      <c r="AH279" s="35">
        <f t="shared" si="308"/>
        <v>0</v>
      </c>
      <c r="AI279" s="12" t="s">
        <v>215</v>
      </c>
      <c r="AJ279" s="35">
        <f t="shared" si="309"/>
        <v>0</v>
      </c>
      <c r="AK279" s="35">
        <f t="shared" si="310"/>
        <v>0</v>
      </c>
      <c r="AL279" s="35">
        <f t="shared" si="311"/>
        <v>0</v>
      </c>
      <c r="AN279" s="35">
        <v>21</v>
      </c>
      <c r="AO279" s="35">
        <f t="shared" si="312"/>
        <v>0</v>
      </c>
      <c r="AP279" s="35">
        <f t="shared" si="313"/>
        <v>0</v>
      </c>
      <c r="AQ279" s="38" t="s">
        <v>196</v>
      </c>
      <c r="AV279" s="35">
        <f t="shared" si="314"/>
        <v>0</v>
      </c>
      <c r="AW279" s="35">
        <f t="shared" si="315"/>
        <v>0</v>
      </c>
      <c r="AX279" s="35">
        <f t="shared" si="316"/>
        <v>0</v>
      </c>
      <c r="AY279" s="38" t="s">
        <v>197</v>
      </c>
      <c r="AZ279" s="38" t="s">
        <v>699</v>
      </c>
      <c r="BA279" s="12" t="s">
        <v>225</v>
      </c>
      <c r="BC279" s="35">
        <f t="shared" si="317"/>
        <v>0</v>
      </c>
      <c r="BD279" s="35">
        <f t="shared" si="318"/>
        <v>0</v>
      </c>
      <c r="BE279" s="35">
        <v>0</v>
      </c>
      <c r="BF279" s="35">
        <f t="shared" si="319"/>
        <v>0</v>
      </c>
      <c r="BH279" s="35">
        <f t="shared" si="320"/>
        <v>0</v>
      </c>
      <c r="BI279" s="35">
        <f t="shared" si="321"/>
        <v>0</v>
      </c>
      <c r="BJ279" s="35">
        <f t="shared" si="322"/>
        <v>0</v>
      </c>
      <c r="BK279" s="38" t="s">
        <v>156</v>
      </c>
      <c r="BL279" s="35"/>
      <c r="BW279" s="35">
        <f t="shared" si="323"/>
        <v>21</v>
      </c>
      <c r="BX279" s="4" t="s">
        <v>851</v>
      </c>
    </row>
    <row r="280" spans="1:76" x14ac:dyDescent="0.25">
      <c r="A280" s="2" t="s">
        <v>852</v>
      </c>
      <c r="B280" s="3" t="s">
        <v>215</v>
      </c>
      <c r="C280" s="3" t="s">
        <v>853</v>
      </c>
      <c r="D280" s="70" t="s">
        <v>854</v>
      </c>
      <c r="E280" s="71"/>
      <c r="F280" s="3" t="s">
        <v>85</v>
      </c>
      <c r="G280" s="35">
        <v>20</v>
      </c>
      <c r="H280" s="68">
        <v>0</v>
      </c>
      <c r="I280" s="36">
        <v>21</v>
      </c>
      <c r="J280" s="35">
        <f t="shared" si="296"/>
        <v>0</v>
      </c>
      <c r="K280" s="35">
        <f t="shared" si="297"/>
        <v>0</v>
      </c>
      <c r="L280" s="35">
        <f t="shared" si="298"/>
        <v>0</v>
      </c>
      <c r="M280" s="35">
        <f t="shared" si="299"/>
        <v>0</v>
      </c>
      <c r="N280" s="35">
        <v>0</v>
      </c>
      <c r="O280" s="35">
        <f t="shared" si="300"/>
        <v>0</v>
      </c>
      <c r="P280" s="37" t="s">
        <v>64</v>
      </c>
      <c r="Z280" s="35">
        <f t="shared" si="301"/>
        <v>0</v>
      </c>
      <c r="AB280" s="35">
        <f t="shared" si="302"/>
        <v>0</v>
      </c>
      <c r="AC280" s="35">
        <f t="shared" si="303"/>
        <v>0</v>
      </c>
      <c r="AD280" s="35">
        <f t="shared" si="304"/>
        <v>0</v>
      </c>
      <c r="AE280" s="35">
        <f t="shared" si="305"/>
        <v>0</v>
      </c>
      <c r="AF280" s="35">
        <f t="shared" si="306"/>
        <v>0</v>
      </c>
      <c r="AG280" s="35">
        <f t="shared" si="307"/>
        <v>0</v>
      </c>
      <c r="AH280" s="35">
        <f t="shared" si="308"/>
        <v>0</v>
      </c>
      <c r="AI280" s="12" t="s">
        <v>215</v>
      </c>
      <c r="AJ280" s="35">
        <f t="shared" si="309"/>
        <v>0</v>
      </c>
      <c r="AK280" s="35">
        <f t="shared" si="310"/>
        <v>0</v>
      </c>
      <c r="AL280" s="35">
        <f t="shared" si="311"/>
        <v>0</v>
      </c>
      <c r="AN280" s="35">
        <v>21</v>
      </c>
      <c r="AO280" s="35">
        <f t="shared" si="312"/>
        <v>0</v>
      </c>
      <c r="AP280" s="35">
        <f t="shared" si="313"/>
        <v>0</v>
      </c>
      <c r="AQ280" s="38" t="s">
        <v>196</v>
      </c>
      <c r="AV280" s="35">
        <f t="shared" si="314"/>
        <v>0</v>
      </c>
      <c r="AW280" s="35">
        <f t="shared" si="315"/>
        <v>0</v>
      </c>
      <c r="AX280" s="35">
        <f t="shared" si="316"/>
        <v>0</v>
      </c>
      <c r="AY280" s="38" t="s">
        <v>197</v>
      </c>
      <c r="AZ280" s="38" t="s">
        <v>699</v>
      </c>
      <c r="BA280" s="12" t="s">
        <v>225</v>
      </c>
      <c r="BC280" s="35">
        <f t="shared" si="317"/>
        <v>0</v>
      </c>
      <c r="BD280" s="35">
        <f t="shared" si="318"/>
        <v>0</v>
      </c>
      <c r="BE280" s="35">
        <v>0</v>
      </c>
      <c r="BF280" s="35">
        <f t="shared" si="319"/>
        <v>0</v>
      </c>
      <c r="BH280" s="35">
        <f t="shared" si="320"/>
        <v>0</v>
      </c>
      <c r="BI280" s="35">
        <f t="shared" si="321"/>
        <v>0</v>
      </c>
      <c r="BJ280" s="35">
        <f t="shared" si="322"/>
        <v>0</v>
      </c>
      <c r="BK280" s="38" t="s">
        <v>156</v>
      </c>
      <c r="BL280" s="35"/>
      <c r="BW280" s="35">
        <f t="shared" si="323"/>
        <v>21</v>
      </c>
      <c r="BX280" s="4" t="s">
        <v>854</v>
      </c>
    </row>
    <row r="281" spans="1:76" x14ac:dyDescent="0.25">
      <c r="A281" s="2" t="s">
        <v>855</v>
      </c>
      <c r="B281" s="3" t="s">
        <v>215</v>
      </c>
      <c r="C281" s="3" t="s">
        <v>856</v>
      </c>
      <c r="D281" s="70" t="s">
        <v>857</v>
      </c>
      <c r="E281" s="71"/>
      <c r="F281" s="3" t="s">
        <v>155</v>
      </c>
      <c r="G281" s="35">
        <v>1</v>
      </c>
      <c r="H281" s="68">
        <v>0</v>
      </c>
      <c r="I281" s="36">
        <v>21</v>
      </c>
      <c r="J281" s="35">
        <f t="shared" si="296"/>
        <v>0</v>
      </c>
      <c r="K281" s="35">
        <f t="shared" si="297"/>
        <v>0</v>
      </c>
      <c r="L281" s="35">
        <f t="shared" si="298"/>
        <v>0</v>
      </c>
      <c r="M281" s="35">
        <f t="shared" si="299"/>
        <v>0</v>
      </c>
      <c r="N281" s="35">
        <v>0</v>
      </c>
      <c r="O281" s="35">
        <f t="shared" si="300"/>
        <v>0</v>
      </c>
      <c r="P281" s="37" t="s">
        <v>64</v>
      </c>
      <c r="Z281" s="35">
        <f t="shared" si="301"/>
        <v>0</v>
      </c>
      <c r="AB281" s="35">
        <f t="shared" si="302"/>
        <v>0</v>
      </c>
      <c r="AC281" s="35">
        <f t="shared" si="303"/>
        <v>0</v>
      </c>
      <c r="AD281" s="35">
        <f t="shared" si="304"/>
        <v>0</v>
      </c>
      <c r="AE281" s="35">
        <f t="shared" si="305"/>
        <v>0</v>
      </c>
      <c r="AF281" s="35">
        <f t="shared" si="306"/>
        <v>0</v>
      </c>
      <c r="AG281" s="35">
        <f t="shared" si="307"/>
        <v>0</v>
      </c>
      <c r="AH281" s="35">
        <f t="shared" si="308"/>
        <v>0</v>
      </c>
      <c r="AI281" s="12" t="s">
        <v>215</v>
      </c>
      <c r="AJ281" s="35">
        <f t="shared" si="309"/>
        <v>0</v>
      </c>
      <c r="AK281" s="35">
        <f t="shared" si="310"/>
        <v>0</v>
      </c>
      <c r="AL281" s="35">
        <f t="shared" si="311"/>
        <v>0</v>
      </c>
      <c r="AN281" s="35">
        <v>21</v>
      </c>
      <c r="AO281" s="35">
        <f t="shared" si="312"/>
        <v>0</v>
      </c>
      <c r="AP281" s="35">
        <f t="shared" si="313"/>
        <v>0</v>
      </c>
      <c r="AQ281" s="38" t="s">
        <v>196</v>
      </c>
      <c r="AV281" s="35">
        <f t="shared" si="314"/>
        <v>0</v>
      </c>
      <c r="AW281" s="35">
        <f t="shared" si="315"/>
        <v>0</v>
      </c>
      <c r="AX281" s="35">
        <f t="shared" si="316"/>
        <v>0</v>
      </c>
      <c r="AY281" s="38" t="s">
        <v>197</v>
      </c>
      <c r="AZ281" s="38" t="s">
        <v>699</v>
      </c>
      <c r="BA281" s="12" t="s">
        <v>225</v>
      </c>
      <c r="BC281" s="35">
        <f t="shared" si="317"/>
        <v>0</v>
      </c>
      <c r="BD281" s="35">
        <f t="shared" si="318"/>
        <v>0</v>
      </c>
      <c r="BE281" s="35">
        <v>0</v>
      </c>
      <c r="BF281" s="35">
        <f t="shared" si="319"/>
        <v>0</v>
      </c>
      <c r="BH281" s="35">
        <f t="shared" si="320"/>
        <v>0</v>
      </c>
      <c r="BI281" s="35">
        <f t="shared" si="321"/>
        <v>0</v>
      </c>
      <c r="BJ281" s="35">
        <f t="shared" si="322"/>
        <v>0</v>
      </c>
      <c r="BK281" s="38" t="s">
        <v>156</v>
      </c>
      <c r="BL281" s="35"/>
      <c r="BW281" s="35">
        <f t="shared" si="323"/>
        <v>21</v>
      </c>
      <c r="BX281" s="4" t="s">
        <v>857</v>
      </c>
    </row>
    <row r="282" spans="1:76" x14ac:dyDescent="0.25">
      <c r="A282" s="2" t="s">
        <v>858</v>
      </c>
      <c r="B282" s="3" t="s">
        <v>215</v>
      </c>
      <c r="C282" s="3" t="s">
        <v>859</v>
      </c>
      <c r="D282" s="70" t="s">
        <v>860</v>
      </c>
      <c r="E282" s="71"/>
      <c r="F282" s="3" t="s">
        <v>155</v>
      </c>
      <c r="G282" s="35">
        <v>1</v>
      </c>
      <c r="H282" s="68">
        <v>0</v>
      </c>
      <c r="I282" s="36">
        <v>21</v>
      </c>
      <c r="J282" s="35">
        <f t="shared" si="296"/>
        <v>0</v>
      </c>
      <c r="K282" s="35">
        <f t="shared" si="297"/>
        <v>0</v>
      </c>
      <c r="L282" s="35">
        <f t="shared" si="298"/>
        <v>0</v>
      </c>
      <c r="M282" s="35">
        <f t="shared" si="299"/>
        <v>0</v>
      </c>
      <c r="N282" s="35">
        <v>0</v>
      </c>
      <c r="O282" s="35">
        <f t="shared" si="300"/>
        <v>0</v>
      </c>
      <c r="P282" s="37" t="s">
        <v>64</v>
      </c>
      <c r="Z282" s="35">
        <f t="shared" si="301"/>
        <v>0</v>
      </c>
      <c r="AB282" s="35">
        <f t="shared" si="302"/>
        <v>0</v>
      </c>
      <c r="AC282" s="35">
        <f t="shared" si="303"/>
        <v>0</v>
      </c>
      <c r="AD282" s="35">
        <f t="shared" si="304"/>
        <v>0</v>
      </c>
      <c r="AE282" s="35">
        <f t="shared" si="305"/>
        <v>0</v>
      </c>
      <c r="AF282" s="35">
        <f t="shared" si="306"/>
        <v>0</v>
      </c>
      <c r="AG282" s="35">
        <f t="shared" si="307"/>
        <v>0</v>
      </c>
      <c r="AH282" s="35">
        <f t="shared" si="308"/>
        <v>0</v>
      </c>
      <c r="AI282" s="12" t="s">
        <v>215</v>
      </c>
      <c r="AJ282" s="35">
        <f t="shared" si="309"/>
        <v>0</v>
      </c>
      <c r="AK282" s="35">
        <f t="shared" si="310"/>
        <v>0</v>
      </c>
      <c r="AL282" s="35">
        <f t="shared" si="311"/>
        <v>0</v>
      </c>
      <c r="AN282" s="35">
        <v>21</v>
      </c>
      <c r="AO282" s="35">
        <f t="shared" si="312"/>
        <v>0</v>
      </c>
      <c r="AP282" s="35">
        <f t="shared" si="313"/>
        <v>0</v>
      </c>
      <c r="AQ282" s="38" t="s">
        <v>196</v>
      </c>
      <c r="AV282" s="35">
        <f t="shared" si="314"/>
        <v>0</v>
      </c>
      <c r="AW282" s="35">
        <f t="shared" si="315"/>
        <v>0</v>
      </c>
      <c r="AX282" s="35">
        <f t="shared" si="316"/>
        <v>0</v>
      </c>
      <c r="AY282" s="38" t="s">
        <v>197</v>
      </c>
      <c r="AZ282" s="38" t="s">
        <v>699</v>
      </c>
      <c r="BA282" s="12" t="s">
        <v>225</v>
      </c>
      <c r="BC282" s="35">
        <f t="shared" si="317"/>
        <v>0</v>
      </c>
      <c r="BD282" s="35">
        <f t="shared" si="318"/>
        <v>0</v>
      </c>
      <c r="BE282" s="35">
        <v>0</v>
      </c>
      <c r="BF282" s="35">
        <f t="shared" si="319"/>
        <v>0</v>
      </c>
      <c r="BH282" s="35">
        <f t="shared" si="320"/>
        <v>0</v>
      </c>
      <c r="BI282" s="35">
        <f t="shared" si="321"/>
        <v>0</v>
      </c>
      <c r="BJ282" s="35">
        <f t="shared" si="322"/>
        <v>0</v>
      </c>
      <c r="BK282" s="38" t="s">
        <v>156</v>
      </c>
      <c r="BL282" s="35"/>
      <c r="BW282" s="35">
        <f t="shared" si="323"/>
        <v>21</v>
      </c>
      <c r="BX282" s="4" t="s">
        <v>860</v>
      </c>
    </row>
    <row r="283" spans="1:76" x14ac:dyDescent="0.25">
      <c r="A283" s="31" t="s">
        <v>55</v>
      </c>
      <c r="B283" s="32" t="s">
        <v>861</v>
      </c>
      <c r="C283" s="32" t="s">
        <v>55</v>
      </c>
      <c r="D283" s="128" t="s">
        <v>862</v>
      </c>
      <c r="E283" s="129"/>
      <c r="F283" s="33" t="s">
        <v>4</v>
      </c>
      <c r="G283" s="33" t="s">
        <v>4</v>
      </c>
      <c r="H283" s="33" t="s">
        <v>4</v>
      </c>
      <c r="I283" s="33" t="s">
        <v>4</v>
      </c>
      <c r="J283" s="1">
        <f>J284+J295</f>
        <v>0</v>
      </c>
      <c r="K283" s="1">
        <f>K284+K295</f>
        <v>0</v>
      </c>
      <c r="L283" s="1">
        <f>L284+L295</f>
        <v>0</v>
      </c>
      <c r="M283" s="1">
        <f>M284+M295</f>
        <v>0</v>
      </c>
      <c r="N283" s="12" t="s">
        <v>55</v>
      </c>
      <c r="O283" s="1">
        <f>O284+O295</f>
        <v>0</v>
      </c>
      <c r="P283" s="34" t="s">
        <v>55</v>
      </c>
    </row>
    <row r="284" spans="1:76" x14ac:dyDescent="0.25">
      <c r="A284" s="31" t="s">
        <v>55</v>
      </c>
      <c r="B284" s="32" t="s">
        <v>861</v>
      </c>
      <c r="C284" s="32" t="s">
        <v>863</v>
      </c>
      <c r="D284" s="128" t="s">
        <v>864</v>
      </c>
      <c r="E284" s="129"/>
      <c r="F284" s="33" t="s">
        <v>4</v>
      </c>
      <c r="G284" s="33" t="s">
        <v>4</v>
      </c>
      <c r="H284" s="33" t="s">
        <v>4</v>
      </c>
      <c r="I284" s="33" t="s">
        <v>4</v>
      </c>
      <c r="J284" s="1">
        <f>SUM(J285:J294)</f>
        <v>0</v>
      </c>
      <c r="K284" s="1">
        <f>SUM(K285:K294)</f>
        <v>0</v>
      </c>
      <c r="L284" s="1">
        <f>SUM(L285:L294)</f>
        <v>0</v>
      </c>
      <c r="M284" s="1">
        <f>SUM(M285:M294)</f>
        <v>0</v>
      </c>
      <c r="N284" s="12" t="s">
        <v>55</v>
      </c>
      <c r="O284" s="1">
        <f>SUM(O285:O294)</f>
        <v>0</v>
      </c>
      <c r="P284" s="34" t="s">
        <v>55</v>
      </c>
      <c r="AI284" s="12" t="s">
        <v>861</v>
      </c>
      <c r="AS284" s="1">
        <f>SUM(AJ285:AJ294)</f>
        <v>0</v>
      </c>
      <c r="AT284" s="1">
        <f>SUM(AK285:AK294)</f>
        <v>0</v>
      </c>
      <c r="AU284" s="1">
        <f>SUM(AL285:AL294)</f>
        <v>0</v>
      </c>
    </row>
    <row r="285" spans="1:76" ht="25.5" x14ac:dyDescent="0.25">
      <c r="A285" s="2" t="s">
        <v>865</v>
      </c>
      <c r="B285" s="3" t="s">
        <v>861</v>
      </c>
      <c r="C285" s="3" t="s">
        <v>866</v>
      </c>
      <c r="D285" s="70" t="s">
        <v>867</v>
      </c>
      <c r="E285" s="71"/>
      <c r="F285" s="3" t="s">
        <v>85</v>
      </c>
      <c r="G285" s="35">
        <v>1</v>
      </c>
      <c r="H285" s="68">
        <v>0</v>
      </c>
      <c r="I285" s="36">
        <v>21</v>
      </c>
      <c r="J285" s="35">
        <f t="shared" ref="J285:J294" si="324">ROUND(G285*AO285,2)</f>
        <v>0</v>
      </c>
      <c r="K285" s="35">
        <f t="shared" ref="K285:K294" si="325">ROUND(G285*AP285,2)</f>
        <v>0</v>
      </c>
      <c r="L285" s="35">
        <f t="shared" ref="L285:L294" si="326">ROUND(G285*H285,2)</f>
        <v>0</v>
      </c>
      <c r="M285" s="35">
        <f t="shared" ref="M285:M294" si="327">L285*(1+BW285/100)</f>
        <v>0</v>
      </c>
      <c r="N285" s="35">
        <v>0</v>
      </c>
      <c r="O285" s="35">
        <f t="shared" ref="O285:O294" si="328">G285*N285</f>
        <v>0</v>
      </c>
      <c r="P285" s="37" t="s">
        <v>64</v>
      </c>
      <c r="Z285" s="35">
        <f t="shared" ref="Z285:Z294" si="329">ROUND(IF(AQ285="5",BJ285,0),2)</f>
        <v>0</v>
      </c>
      <c r="AB285" s="35">
        <f t="shared" ref="AB285:AB294" si="330">ROUND(IF(AQ285="1",BH285,0),2)</f>
        <v>0</v>
      </c>
      <c r="AC285" s="35">
        <f t="shared" ref="AC285:AC294" si="331">ROUND(IF(AQ285="1",BI285,0),2)</f>
        <v>0</v>
      </c>
      <c r="AD285" s="35">
        <f t="shared" ref="AD285:AD294" si="332">ROUND(IF(AQ285="7",BH285,0),2)</f>
        <v>0</v>
      </c>
      <c r="AE285" s="35">
        <f t="shared" ref="AE285:AE294" si="333">ROUND(IF(AQ285="7",BI285,0),2)</f>
        <v>0</v>
      </c>
      <c r="AF285" s="35">
        <f t="shared" ref="AF285:AF294" si="334">ROUND(IF(AQ285="2",BH285,0),2)</f>
        <v>0</v>
      </c>
      <c r="AG285" s="35">
        <f t="shared" ref="AG285:AG294" si="335">ROUND(IF(AQ285="2",BI285,0),2)</f>
        <v>0</v>
      </c>
      <c r="AH285" s="35">
        <f t="shared" ref="AH285:AH294" si="336">ROUND(IF(AQ285="0",BJ285,0),2)</f>
        <v>0</v>
      </c>
      <c r="AI285" s="12" t="s">
        <v>861</v>
      </c>
      <c r="AJ285" s="35">
        <f t="shared" ref="AJ285:AJ294" si="337">IF(AN285=0,L285,0)</f>
        <v>0</v>
      </c>
      <c r="AK285" s="35">
        <f t="shared" ref="AK285:AK294" si="338">IF(AN285=15,L285,0)</f>
        <v>0</v>
      </c>
      <c r="AL285" s="35">
        <f t="shared" ref="AL285:AL294" si="339">IF(AN285=21,L285,0)</f>
        <v>0</v>
      </c>
      <c r="AN285" s="35">
        <v>21</v>
      </c>
      <c r="AO285" s="35">
        <f>H285*1</f>
        <v>0</v>
      </c>
      <c r="AP285" s="35">
        <f>H285*(1-1)</f>
        <v>0</v>
      </c>
      <c r="AQ285" s="38" t="s">
        <v>65</v>
      </c>
      <c r="AV285" s="35">
        <f t="shared" ref="AV285:AV294" si="340">ROUND(AW285+AX285,2)</f>
        <v>0</v>
      </c>
      <c r="AW285" s="35">
        <f t="shared" ref="AW285:AW294" si="341">ROUND(G285*AO285,2)</f>
        <v>0</v>
      </c>
      <c r="AX285" s="35">
        <f t="shared" ref="AX285:AX294" si="342">ROUND(G285*AP285,2)</f>
        <v>0</v>
      </c>
      <c r="AY285" s="38" t="s">
        <v>868</v>
      </c>
      <c r="AZ285" s="38" t="s">
        <v>869</v>
      </c>
      <c r="BA285" s="12" t="s">
        <v>870</v>
      </c>
      <c r="BC285" s="35">
        <f t="shared" ref="BC285:BC294" si="343">AW285+AX285</f>
        <v>0</v>
      </c>
      <c r="BD285" s="35">
        <f t="shared" ref="BD285:BD294" si="344">H285/(100-BE285)*100</f>
        <v>0</v>
      </c>
      <c r="BE285" s="35">
        <v>0</v>
      </c>
      <c r="BF285" s="35">
        <f t="shared" ref="BF285:BF294" si="345">O285</f>
        <v>0</v>
      </c>
      <c r="BH285" s="35">
        <f t="shared" ref="BH285:BH294" si="346">G285*AO285</f>
        <v>0</v>
      </c>
      <c r="BI285" s="35">
        <f t="shared" ref="BI285:BI294" si="347">G285*AP285</f>
        <v>0</v>
      </c>
      <c r="BJ285" s="35">
        <f t="shared" ref="BJ285:BJ294" si="348">G285*H285</f>
        <v>0</v>
      </c>
      <c r="BK285" s="38" t="s">
        <v>156</v>
      </c>
      <c r="BL285" s="35">
        <v>728</v>
      </c>
      <c r="BW285" s="35">
        <f t="shared" ref="BW285:BW294" si="349">I285</f>
        <v>21</v>
      </c>
      <c r="BX285" s="4" t="s">
        <v>867</v>
      </c>
    </row>
    <row r="286" spans="1:76" ht="25.5" x14ac:dyDescent="0.25">
      <c r="A286" s="2" t="s">
        <v>871</v>
      </c>
      <c r="B286" s="3" t="s">
        <v>861</v>
      </c>
      <c r="C286" s="3" t="s">
        <v>872</v>
      </c>
      <c r="D286" s="70" t="s">
        <v>873</v>
      </c>
      <c r="E286" s="71"/>
      <c r="F286" s="3" t="s">
        <v>85</v>
      </c>
      <c r="G286" s="35">
        <v>1</v>
      </c>
      <c r="H286" s="68">
        <v>0</v>
      </c>
      <c r="I286" s="36">
        <v>21</v>
      </c>
      <c r="J286" s="35">
        <f t="shared" si="324"/>
        <v>0</v>
      </c>
      <c r="K286" s="35">
        <f t="shared" si="325"/>
        <v>0</v>
      </c>
      <c r="L286" s="35">
        <f t="shared" si="326"/>
        <v>0</v>
      </c>
      <c r="M286" s="35">
        <f t="shared" si="327"/>
        <v>0</v>
      </c>
      <c r="N286" s="35">
        <v>0</v>
      </c>
      <c r="O286" s="35">
        <f t="shared" si="328"/>
        <v>0</v>
      </c>
      <c r="P286" s="37" t="s">
        <v>64</v>
      </c>
      <c r="Z286" s="35">
        <f t="shared" si="329"/>
        <v>0</v>
      </c>
      <c r="AB286" s="35">
        <f t="shared" si="330"/>
        <v>0</v>
      </c>
      <c r="AC286" s="35">
        <f t="shared" si="331"/>
        <v>0</v>
      </c>
      <c r="AD286" s="35">
        <f t="shared" si="332"/>
        <v>0</v>
      </c>
      <c r="AE286" s="35">
        <f t="shared" si="333"/>
        <v>0</v>
      </c>
      <c r="AF286" s="35">
        <f t="shared" si="334"/>
        <v>0</v>
      </c>
      <c r="AG286" s="35">
        <f t="shared" si="335"/>
        <v>0</v>
      </c>
      <c r="AH286" s="35">
        <f t="shared" si="336"/>
        <v>0</v>
      </c>
      <c r="AI286" s="12" t="s">
        <v>861</v>
      </c>
      <c r="AJ286" s="35">
        <f t="shared" si="337"/>
        <v>0</v>
      </c>
      <c r="AK286" s="35">
        <f t="shared" si="338"/>
        <v>0</v>
      </c>
      <c r="AL286" s="35">
        <f t="shared" si="339"/>
        <v>0</v>
      </c>
      <c r="AN286" s="35">
        <v>21</v>
      </c>
      <c r="AO286" s="35">
        <f>H286*1</f>
        <v>0</v>
      </c>
      <c r="AP286" s="35">
        <f>H286*(1-1)</f>
        <v>0</v>
      </c>
      <c r="AQ286" s="38" t="s">
        <v>65</v>
      </c>
      <c r="AV286" s="35">
        <f t="shared" si="340"/>
        <v>0</v>
      </c>
      <c r="AW286" s="35">
        <f t="shared" si="341"/>
        <v>0</v>
      </c>
      <c r="AX286" s="35">
        <f t="shared" si="342"/>
        <v>0</v>
      </c>
      <c r="AY286" s="38" t="s">
        <v>868</v>
      </c>
      <c r="AZ286" s="38" t="s">
        <v>869</v>
      </c>
      <c r="BA286" s="12" t="s">
        <v>870</v>
      </c>
      <c r="BC286" s="35">
        <f t="shared" si="343"/>
        <v>0</v>
      </c>
      <c r="BD286" s="35">
        <f t="shared" si="344"/>
        <v>0</v>
      </c>
      <c r="BE286" s="35">
        <v>0</v>
      </c>
      <c r="BF286" s="35">
        <f t="shared" si="345"/>
        <v>0</v>
      </c>
      <c r="BH286" s="35">
        <f t="shared" si="346"/>
        <v>0</v>
      </c>
      <c r="BI286" s="35">
        <f t="shared" si="347"/>
        <v>0</v>
      </c>
      <c r="BJ286" s="35">
        <f t="shared" si="348"/>
        <v>0</v>
      </c>
      <c r="BK286" s="38" t="s">
        <v>156</v>
      </c>
      <c r="BL286" s="35">
        <v>728</v>
      </c>
      <c r="BW286" s="35">
        <f t="shared" si="349"/>
        <v>21</v>
      </c>
      <c r="BX286" s="4" t="s">
        <v>873</v>
      </c>
    </row>
    <row r="287" spans="1:76" ht="25.5" x14ac:dyDescent="0.25">
      <c r="A287" s="2" t="s">
        <v>874</v>
      </c>
      <c r="B287" s="3" t="s">
        <v>861</v>
      </c>
      <c r="C287" s="3" t="s">
        <v>875</v>
      </c>
      <c r="D287" s="70" t="s">
        <v>876</v>
      </c>
      <c r="E287" s="71"/>
      <c r="F287" s="3" t="s">
        <v>222</v>
      </c>
      <c r="G287" s="35">
        <v>13</v>
      </c>
      <c r="H287" s="68">
        <v>0</v>
      </c>
      <c r="I287" s="36">
        <v>21</v>
      </c>
      <c r="J287" s="35">
        <f t="shared" si="324"/>
        <v>0</v>
      </c>
      <c r="K287" s="35">
        <f t="shared" si="325"/>
        <v>0</v>
      </c>
      <c r="L287" s="35">
        <f t="shared" si="326"/>
        <v>0</v>
      </c>
      <c r="M287" s="35">
        <f t="shared" si="327"/>
        <v>0</v>
      </c>
      <c r="N287" s="35">
        <v>0</v>
      </c>
      <c r="O287" s="35">
        <f t="shared" si="328"/>
        <v>0</v>
      </c>
      <c r="P287" s="37" t="s">
        <v>64</v>
      </c>
      <c r="Z287" s="35">
        <f t="shared" si="329"/>
        <v>0</v>
      </c>
      <c r="AB287" s="35">
        <f t="shared" si="330"/>
        <v>0</v>
      </c>
      <c r="AC287" s="35">
        <f t="shared" si="331"/>
        <v>0</v>
      </c>
      <c r="AD287" s="35">
        <f t="shared" si="332"/>
        <v>0</v>
      </c>
      <c r="AE287" s="35">
        <f t="shared" si="333"/>
        <v>0</v>
      </c>
      <c r="AF287" s="35">
        <f t="shared" si="334"/>
        <v>0</v>
      </c>
      <c r="AG287" s="35">
        <f t="shared" si="335"/>
        <v>0</v>
      </c>
      <c r="AH287" s="35">
        <f t="shared" si="336"/>
        <v>0</v>
      </c>
      <c r="AI287" s="12" t="s">
        <v>861</v>
      </c>
      <c r="AJ287" s="35">
        <f t="shared" si="337"/>
        <v>0</v>
      </c>
      <c r="AK287" s="35">
        <f t="shared" si="338"/>
        <v>0</v>
      </c>
      <c r="AL287" s="35">
        <f t="shared" si="339"/>
        <v>0</v>
      </c>
      <c r="AN287" s="35">
        <v>21</v>
      </c>
      <c r="AO287" s="35">
        <f>H287*0.579037801</f>
        <v>0</v>
      </c>
      <c r="AP287" s="35">
        <f>H287*(1-0.579037801)</f>
        <v>0</v>
      </c>
      <c r="AQ287" s="38" t="s">
        <v>65</v>
      </c>
      <c r="AV287" s="35">
        <f t="shared" si="340"/>
        <v>0</v>
      </c>
      <c r="AW287" s="35">
        <f t="shared" si="341"/>
        <v>0</v>
      </c>
      <c r="AX287" s="35">
        <f t="shared" si="342"/>
        <v>0</v>
      </c>
      <c r="AY287" s="38" t="s">
        <v>868</v>
      </c>
      <c r="AZ287" s="38" t="s">
        <v>869</v>
      </c>
      <c r="BA287" s="12" t="s">
        <v>870</v>
      </c>
      <c r="BC287" s="35">
        <f t="shared" si="343"/>
        <v>0</v>
      </c>
      <c r="BD287" s="35">
        <f t="shared" si="344"/>
        <v>0</v>
      </c>
      <c r="BE287" s="35">
        <v>0</v>
      </c>
      <c r="BF287" s="35">
        <f t="shared" si="345"/>
        <v>0</v>
      </c>
      <c r="BH287" s="35">
        <f t="shared" si="346"/>
        <v>0</v>
      </c>
      <c r="BI287" s="35">
        <f t="shared" si="347"/>
        <v>0</v>
      </c>
      <c r="BJ287" s="35">
        <f t="shared" si="348"/>
        <v>0</v>
      </c>
      <c r="BK287" s="38" t="s">
        <v>69</v>
      </c>
      <c r="BL287" s="35">
        <v>728</v>
      </c>
      <c r="BW287" s="35">
        <f t="shared" si="349"/>
        <v>21</v>
      </c>
      <c r="BX287" s="4" t="s">
        <v>876</v>
      </c>
    </row>
    <row r="288" spans="1:76" ht="25.5" x14ac:dyDescent="0.25">
      <c r="A288" s="2" t="s">
        <v>877</v>
      </c>
      <c r="B288" s="3" t="s">
        <v>861</v>
      </c>
      <c r="C288" s="3" t="s">
        <v>878</v>
      </c>
      <c r="D288" s="70" t="s">
        <v>879</v>
      </c>
      <c r="E288" s="71"/>
      <c r="F288" s="3" t="s">
        <v>85</v>
      </c>
      <c r="G288" s="35">
        <v>1</v>
      </c>
      <c r="H288" s="68">
        <v>0</v>
      </c>
      <c r="I288" s="36">
        <v>21</v>
      </c>
      <c r="J288" s="35">
        <f t="shared" si="324"/>
        <v>0</v>
      </c>
      <c r="K288" s="35">
        <f t="shared" si="325"/>
        <v>0</v>
      </c>
      <c r="L288" s="35">
        <f t="shared" si="326"/>
        <v>0</v>
      </c>
      <c r="M288" s="35">
        <f t="shared" si="327"/>
        <v>0</v>
      </c>
      <c r="N288" s="35">
        <v>0</v>
      </c>
      <c r="O288" s="35">
        <f t="shared" si="328"/>
        <v>0</v>
      </c>
      <c r="P288" s="37" t="s">
        <v>64</v>
      </c>
      <c r="Z288" s="35">
        <f t="shared" si="329"/>
        <v>0</v>
      </c>
      <c r="AB288" s="35">
        <f t="shared" si="330"/>
        <v>0</v>
      </c>
      <c r="AC288" s="35">
        <f t="shared" si="331"/>
        <v>0</v>
      </c>
      <c r="AD288" s="35">
        <f t="shared" si="332"/>
        <v>0</v>
      </c>
      <c r="AE288" s="35">
        <f t="shared" si="333"/>
        <v>0</v>
      </c>
      <c r="AF288" s="35">
        <f t="shared" si="334"/>
        <v>0</v>
      </c>
      <c r="AG288" s="35">
        <f t="shared" si="335"/>
        <v>0</v>
      </c>
      <c r="AH288" s="35">
        <f t="shared" si="336"/>
        <v>0</v>
      </c>
      <c r="AI288" s="12" t="s">
        <v>861</v>
      </c>
      <c r="AJ288" s="35">
        <f t="shared" si="337"/>
        <v>0</v>
      </c>
      <c r="AK288" s="35">
        <f t="shared" si="338"/>
        <v>0</v>
      </c>
      <c r="AL288" s="35">
        <f t="shared" si="339"/>
        <v>0</v>
      </c>
      <c r="AN288" s="35">
        <v>21</v>
      </c>
      <c r="AO288" s="35">
        <f>H288*1</f>
        <v>0</v>
      </c>
      <c r="AP288" s="35">
        <f>H288*(1-1)</f>
        <v>0</v>
      </c>
      <c r="AQ288" s="38" t="s">
        <v>65</v>
      </c>
      <c r="AV288" s="35">
        <f t="shared" si="340"/>
        <v>0</v>
      </c>
      <c r="AW288" s="35">
        <f t="shared" si="341"/>
        <v>0</v>
      </c>
      <c r="AX288" s="35">
        <f t="shared" si="342"/>
        <v>0</v>
      </c>
      <c r="AY288" s="38" t="s">
        <v>868</v>
      </c>
      <c r="AZ288" s="38" t="s">
        <v>869</v>
      </c>
      <c r="BA288" s="12" t="s">
        <v>870</v>
      </c>
      <c r="BC288" s="35">
        <f t="shared" si="343"/>
        <v>0</v>
      </c>
      <c r="BD288" s="35">
        <f t="shared" si="344"/>
        <v>0</v>
      </c>
      <c r="BE288" s="35">
        <v>0</v>
      </c>
      <c r="BF288" s="35">
        <f t="shared" si="345"/>
        <v>0</v>
      </c>
      <c r="BH288" s="35">
        <f t="shared" si="346"/>
        <v>0</v>
      </c>
      <c r="BI288" s="35">
        <f t="shared" si="347"/>
        <v>0</v>
      </c>
      <c r="BJ288" s="35">
        <f t="shared" si="348"/>
        <v>0</v>
      </c>
      <c r="BK288" s="38" t="s">
        <v>156</v>
      </c>
      <c r="BL288" s="35">
        <v>728</v>
      </c>
      <c r="BW288" s="35">
        <f t="shared" si="349"/>
        <v>21</v>
      </c>
      <c r="BX288" s="4" t="s">
        <v>879</v>
      </c>
    </row>
    <row r="289" spans="1:76" ht="25.5" x14ac:dyDescent="0.25">
      <c r="A289" s="2" t="s">
        <v>880</v>
      </c>
      <c r="B289" s="3" t="s">
        <v>861</v>
      </c>
      <c r="C289" s="3" t="s">
        <v>881</v>
      </c>
      <c r="D289" s="70" t="s">
        <v>882</v>
      </c>
      <c r="E289" s="71"/>
      <c r="F289" s="3" t="s">
        <v>155</v>
      </c>
      <c r="G289" s="35">
        <v>1</v>
      </c>
      <c r="H289" s="68">
        <v>0</v>
      </c>
      <c r="I289" s="36">
        <v>21</v>
      </c>
      <c r="J289" s="35">
        <f t="shared" si="324"/>
        <v>0</v>
      </c>
      <c r="K289" s="35">
        <f t="shared" si="325"/>
        <v>0</v>
      </c>
      <c r="L289" s="35">
        <f t="shared" si="326"/>
        <v>0</v>
      </c>
      <c r="M289" s="35">
        <f t="shared" si="327"/>
        <v>0</v>
      </c>
      <c r="N289" s="35">
        <v>0</v>
      </c>
      <c r="O289" s="35">
        <f t="shared" si="328"/>
        <v>0</v>
      </c>
      <c r="P289" s="37" t="s">
        <v>64</v>
      </c>
      <c r="Z289" s="35">
        <f t="shared" si="329"/>
        <v>0</v>
      </c>
      <c r="AB289" s="35">
        <f t="shared" si="330"/>
        <v>0</v>
      </c>
      <c r="AC289" s="35">
        <f t="shared" si="331"/>
        <v>0</v>
      </c>
      <c r="AD289" s="35">
        <f t="shared" si="332"/>
        <v>0</v>
      </c>
      <c r="AE289" s="35">
        <f t="shared" si="333"/>
        <v>0</v>
      </c>
      <c r="AF289" s="35">
        <f t="shared" si="334"/>
        <v>0</v>
      </c>
      <c r="AG289" s="35">
        <f t="shared" si="335"/>
        <v>0</v>
      </c>
      <c r="AH289" s="35">
        <f t="shared" si="336"/>
        <v>0</v>
      </c>
      <c r="AI289" s="12" t="s">
        <v>861</v>
      </c>
      <c r="AJ289" s="35">
        <f t="shared" si="337"/>
        <v>0</v>
      </c>
      <c r="AK289" s="35">
        <f t="shared" si="338"/>
        <v>0</v>
      </c>
      <c r="AL289" s="35">
        <f t="shared" si="339"/>
        <v>0</v>
      </c>
      <c r="AN289" s="35">
        <v>21</v>
      </c>
      <c r="AO289" s="35">
        <f>H289*1</f>
        <v>0</v>
      </c>
      <c r="AP289" s="35">
        <f>H289*(1-1)</f>
        <v>0</v>
      </c>
      <c r="AQ289" s="38" t="s">
        <v>65</v>
      </c>
      <c r="AV289" s="35">
        <f t="shared" si="340"/>
        <v>0</v>
      </c>
      <c r="AW289" s="35">
        <f t="shared" si="341"/>
        <v>0</v>
      </c>
      <c r="AX289" s="35">
        <f t="shared" si="342"/>
        <v>0</v>
      </c>
      <c r="AY289" s="38" t="s">
        <v>868</v>
      </c>
      <c r="AZ289" s="38" t="s">
        <v>869</v>
      </c>
      <c r="BA289" s="12" t="s">
        <v>870</v>
      </c>
      <c r="BC289" s="35">
        <f t="shared" si="343"/>
        <v>0</v>
      </c>
      <c r="BD289" s="35">
        <f t="shared" si="344"/>
        <v>0</v>
      </c>
      <c r="BE289" s="35">
        <v>0</v>
      </c>
      <c r="BF289" s="35">
        <f t="shared" si="345"/>
        <v>0</v>
      </c>
      <c r="BH289" s="35">
        <f t="shared" si="346"/>
        <v>0</v>
      </c>
      <c r="BI289" s="35">
        <f t="shared" si="347"/>
        <v>0</v>
      </c>
      <c r="BJ289" s="35">
        <f t="shared" si="348"/>
        <v>0</v>
      </c>
      <c r="BK289" s="38" t="s">
        <v>156</v>
      </c>
      <c r="BL289" s="35">
        <v>728</v>
      </c>
      <c r="BW289" s="35">
        <f t="shared" si="349"/>
        <v>21</v>
      </c>
      <c r="BX289" s="4" t="s">
        <v>882</v>
      </c>
    </row>
    <row r="290" spans="1:76" ht="25.5" x14ac:dyDescent="0.25">
      <c r="A290" s="2" t="s">
        <v>883</v>
      </c>
      <c r="B290" s="3" t="s">
        <v>861</v>
      </c>
      <c r="C290" s="3" t="s">
        <v>884</v>
      </c>
      <c r="D290" s="70" t="s">
        <v>885</v>
      </c>
      <c r="E290" s="71"/>
      <c r="F290" s="3" t="s">
        <v>155</v>
      </c>
      <c r="G290" s="35">
        <v>1</v>
      </c>
      <c r="H290" s="68">
        <v>0</v>
      </c>
      <c r="I290" s="36">
        <v>21</v>
      </c>
      <c r="J290" s="35">
        <f t="shared" si="324"/>
        <v>0</v>
      </c>
      <c r="K290" s="35">
        <f t="shared" si="325"/>
        <v>0</v>
      </c>
      <c r="L290" s="35">
        <f t="shared" si="326"/>
        <v>0</v>
      </c>
      <c r="M290" s="35">
        <f t="shared" si="327"/>
        <v>0</v>
      </c>
      <c r="N290" s="35">
        <v>0</v>
      </c>
      <c r="O290" s="35">
        <f t="shared" si="328"/>
        <v>0</v>
      </c>
      <c r="P290" s="37" t="s">
        <v>64</v>
      </c>
      <c r="Z290" s="35">
        <f t="shared" si="329"/>
        <v>0</v>
      </c>
      <c r="AB290" s="35">
        <f t="shared" si="330"/>
        <v>0</v>
      </c>
      <c r="AC290" s="35">
        <f t="shared" si="331"/>
        <v>0</v>
      </c>
      <c r="AD290" s="35">
        <f t="shared" si="332"/>
        <v>0</v>
      </c>
      <c r="AE290" s="35">
        <f t="shared" si="333"/>
        <v>0</v>
      </c>
      <c r="AF290" s="35">
        <f t="shared" si="334"/>
        <v>0</v>
      </c>
      <c r="AG290" s="35">
        <f t="shared" si="335"/>
        <v>0</v>
      </c>
      <c r="AH290" s="35">
        <f t="shared" si="336"/>
        <v>0</v>
      </c>
      <c r="AI290" s="12" t="s">
        <v>861</v>
      </c>
      <c r="AJ290" s="35">
        <f t="shared" si="337"/>
        <v>0</v>
      </c>
      <c r="AK290" s="35">
        <f t="shared" si="338"/>
        <v>0</v>
      </c>
      <c r="AL290" s="35">
        <f t="shared" si="339"/>
        <v>0</v>
      </c>
      <c r="AN290" s="35">
        <v>21</v>
      </c>
      <c r="AO290" s="35">
        <f>H290*0.126696833</f>
        <v>0</v>
      </c>
      <c r="AP290" s="35">
        <f>H290*(1-0.126696833)</f>
        <v>0</v>
      </c>
      <c r="AQ290" s="38" t="s">
        <v>65</v>
      </c>
      <c r="AV290" s="35">
        <f t="shared" si="340"/>
        <v>0</v>
      </c>
      <c r="AW290" s="35">
        <f t="shared" si="341"/>
        <v>0</v>
      </c>
      <c r="AX290" s="35">
        <f t="shared" si="342"/>
        <v>0</v>
      </c>
      <c r="AY290" s="38" t="s">
        <v>868</v>
      </c>
      <c r="AZ290" s="38" t="s">
        <v>869</v>
      </c>
      <c r="BA290" s="12" t="s">
        <v>870</v>
      </c>
      <c r="BC290" s="35">
        <f t="shared" si="343"/>
        <v>0</v>
      </c>
      <c r="BD290" s="35">
        <f t="shared" si="344"/>
        <v>0</v>
      </c>
      <c r="BE290" s="35">
        <v>0</v>
      </c>
      <c r="BF290" s="35">
        <f t="shared" si="345"/>
        <v>0</v>
      </c>
      <c r="BH290" s="35">
        <f t="shared" si="346"/>
        <v>0</v>
      </c>
      <c r="BI290" s="35">
        <f t="shared" si="347"/>
        <v>0</v>
      </c>
      <c r="BJ290" s="35">
        <f t="shared" si="348"/>
        <v>0</v>
      </c>
      <c r="BK290" s="38" t="s">
        <v>69</v>
      </c>
      <c r="BL290" s="35">
        <v>728</v>
      </c>
      <c r="BW290" s="35">
        <f t="shared" si="349"/>
        <v>21</v>
      </c>
      <c r="BX290" s="4" t="s">
        <v>885</v>
      </c>
    </row>
    <row r="291" spans="1:76" x14ac:dyDescent="0.25">
      <c r="A291" s="2" t="s">
        <v>886</v>
      </c>
      <c r="B291" s="3" t="s">
        <v>861</v>
      </c>
      <c r="C291" s="3" t="s">
        <v>887</v>
      </c>
      <c r="D291" s="70" t="s">
        <v>888</v>
      </c>
      <c r="E291" s="71"/>
      <c r="F291" s="3" t="s">
        <v>155</v>
      </c>
      <c r="G291" s="35">
        <v>1</v>
      </c>
      <c r="H291" s="68">
        <v>0</v>
      </c>
      <c r="I291" s="36">
        <v>21</v>
      </c>
      <c r="J291" s="35">
        <f t="shared" si="324"/>
        <v>0</v>
      </c>
      <c r="K291" s="35">
        <f t="shared" si="325"/>
        <v>0</v>
      </c>
      <c r="L291" s="35">
        <f t="shared" si="326"/>
        <v>0</v>
      </c>
      <c r="M291" s="35">
        <f t="shared" si="327"/>
        <v>0</v>
      </c>
      <c r="N291" s="35">
        <v>0</v>
      </c>
      <c r="O291" s="35">
        <f t="shared" si="328"/>
        <v>0</v>
      </c>
      <c r="P291" s="37" t="s">
        <v>64</v>
      </c>
      <c r="Z291" s="35">
        <f t="shared" si="329"/>
        <v>0</v>
      </c>
      <c r="AB291" s="35">
        <f t="shared" si="330"/>
        <v>0</v>
      </c>
      <c r="AC291" s="35">
        <f t="shared" si="331"/>
        <v>0</v>
      </c>
      <c r="AD291" s="35">
        <f t="shared" si="332"/>
        <v>0</v>
      </c>
      <c r="AE291" s="35">
        <f t="shared" si="333"/>
        <v>0</v>
      </c>
      <c r="AF291" s="35">
        <f t="shared" si="334"/>
        <v>0</v>
      </c>
      <c r="AG291" s="35">
        <f t="shared" si="335"/>
        <v>0</v>
      </c>
      <c r="AH291" s="35">
        <f t="shared" si="336"/>
        <v>0</v>
      </c>
      <c r="AI291" s="12" t="s">
        <v>861</v>
      </c>
      <c r="AJ291" s="35">
        <f t="shared" si="337"/>
        <v>0</v>
      </c>
      <c r="AK291" s="35">
        <f t="shared" si="338"/>
        <v>0</v>
      </c>
      <c r="AL291" s="35">
        <f t="shared" si="339"/>
        <v>0</v>
      </c>
      <c r="AN291" s="35">
        <v>21</v>
      </c>
      <c r="AO291" s="35">
        <f>H291*0.178571429</f>
        <v>0</v>
      </c>
      <c r="AP291" s="35">
        <f>H291*(1-0.178571429)</f>
        <v>0</v>
      </c>
      <c r="AQ291" s="38" t="s">
        <v>65</v>
      </c>
      <c r="AV291" s="35">
        <f t="shared" si="340"/>
        <v>0</v>
      </c>
      <c r="AW291" s="35">
        <f t="shared" si="341"/>
        <v>0</v>
      </c>
      <c r="AX291" s="35">
        <f t="shared" si="342"/>
        <v>0</v>
      </c>
      <c r="AY291" s="38" t="s">
        <v>868</v>
      </c>
      <c r="AZ291" s="38" t="s">
        <v>869</v>
      </c>
      <c r="BA291" s="12" t="s">
        <v>870</v>
      </c>
      <c r="BC291" s="35">
        <f t="shared" si="343"/>
        <v>0</v>
      </c>
      <c r="BD291" s="35">
        <f t="shared" si="344"/>
        <v>0</v>
      </c>
      <c r="BE291" s="35">
        <v>0</v>
      </c>
      <c r="BF291" s="35">
        <f t="shared" si="345"/>
        <v>0</v>
      </c>
      <c r="BH291" s="35">
        <f t="shared" si="346"/>
        <v>0</v>
      </c>
      <c r="BI291" s="35">
        <f t="shared" si="347"/>
        <v>0</v>
      </c>
      <c r="BJ291" s="35">
        <f t="shared" si="348"/>
        <v>0</v>
      </c>
      <c r="BK291" s="38" t="s">
        <v>69</v>
      </c>
      <c r="BL291" s="35">
        <v>728</v>
      </c>
      <c r="BW291" s="35">
        <f t="shared" si="349"/>
        <v>21</v>
      </c>
      <c r="BX291" s="4" t="s">
        <v>888</v>
      </c>
    </row>
    <row r="292" spans="1:76" x14ac:dyDescent="0.25">
      <c r="A292" s="2" t="s">
        <v>889</v>
      </c>
      <c r="B292" s="3" t="s">
        <v>861</v>
      </c>
      <c r="C292" s="3" t="s">
        <v>890</v>
      </c>
      <c r="D292" s="70" t="s">
        <v>891</v>
      </c>
      <c r="E292" s="71"/>
      <c r="F292" s="3" t="s">
        <v>179</v>
      </c>
      <c r="G292" s="35">
        <v>20</v>
      </c>
      <c r="H292" s="68">
        <v>0</v>
      </c>
      <c r="I292" s="36">
        <v>21</v>
      </c>
      <c r="J292" s="35">
        <f t="shared" si="324"/>
        <v>0</v>
      </c>
      <c r="K292" s="35">
        <f t="shared" si="325"/>
        <v>0</v>
      </c>
      <c r="L292" s="35">
        <f t="shared" si="326"/>
        <v>0</v>
      </c>
      <c r="M292" s="35">
        <f t="shared" si="327"/>
        <v>0</v>
      </c>
      <c r="N292" s="35">
        <v>0</v>
      </c>
      <c r="O292" s="35">
        <f t="shared" si="328"/>
        <v>0</v>
      </c>
      <c r="P292" s="37" t="s">
        <v>64</v>
      </c>
      <c r="Z292" s="35">
        <f t="shared" si="329"/>
        <v>0</v>
      </c>
      <c r="AB292" s="35">
        <f t="shared" si="330"/>
        <v>0</v>
      </c>
      <c r="AC292" s="35">
        <f t="shared" si="331"/>
        <v>0</v>
      </c>
      <c r="AD292" s="35">
        <f t="shared" si="332"/>
        <v>0</v>
      </c>
      <c r="AE292" s="35">
        <f t="shared" si="333"/>
        <v>0</v>
      </c>
      <c r="AF292" s="35">
        <f t="shared" si="334"/>
        <v>0</v>
      </c>
      <c r="AG292" s="35">
        <f t="shared" si="335"/>
        <v>0</v>
      </c>
      <c r="AH292" s="35">
        <f t="shared" si="336"/>
        <v>0</v>
      </c>
      <c r="AI292" s="12" t="s">
        <v>861</v>
      </c>
      <c r="AJ292" s="35">
        <f t="shared" si="337"/>
        <v>0</v>
      </c>
      <c r="AK292" s="35">
        <f t="shared" si="338"/>
        <v>0</v>
      </c>
      <c r="AL292" s="35">
        <f t="shared" si="339"/>
        <v>0</v>
      </c>
      <c r="AN292" s="35">
        <v>21</v>
      </c>
      <c r="AO292" s="35">
        <f>H292*0</f>
        <v>0</v>
      </c>
      <c r="AP292" s="35">
        <f>H292*(1-0)</f>
        <v>0</v>
      </c>
      <c r="AQ292" s="38" t="s">
        <v>65</v>
      </c>
      <c r="AV292" s="35">
        <f t="shared" si="340"/>
        <v>0</v>
      </c>
      <c r="AW292" s="35">
        <f t="shared" si="341"/>
        <v>0</v>
      </c>
      <c r="AX292" s="35">
        <f t="shared" si="342"/>
        <v>0</v>
      </c>
      <c r="AY292" s="38" t="s">
        <v>868</v>
      </c>
      <c r="AZ292" s="38" t="s">
        <v>869</v>
      </c>
      <c r="BA292" s="12" t="s">
        <v>870</v>
      </c>
      <c r="BC292" s="35">
        <f t="shared" si="343"/>
        <v>0</v>
      </c>
      <c r="BD292" s="35">
        <f t="shared" si="344"/>
        <v>0</v>
      </c>
      <c r="BE292" s="35">
        <v>0</v>
      </c>
      <c r="BF292" s="35">
        <f t="shared" si="345"/>
        <v>0</v>
      </c>
      <c r="BH292" s="35">
        <f t="shared" si="346"/>
        <v>0</v>
      </c>
      <c r="BI292" s="35">
        <f t="shared" si="347"/>
        <v>0</v>
      </c>
      <c r="BJ292" s="35">
        <f t="shared" si="348"/>
        <v>0</v>
      </c>
      <c r="BK292" s="38" t="s">
        <v>69</v>
      </c>
      <c r="BL292" s="35">
        <v>728</v>
      </c>
      <c r="BW292" s="35">
        <f t="shared" si="349"/>
        <v>21</v>
      </c>
      <c r="BX292" s="4" t="s">
        <v>891</v>
      </c>
    </row>
    <row r="293" spans="1:76" x14ac:dyDescent="0.25">
      <c r="A293" s="2" t="s">
        <v>892</v>
      </c>
      <c r="B293" s="3" t="s">
        <v>861</v>
      </c>
      <c r="C293" s="3" t="s">
        <v>893</v>
      </c>
      <c r="D293" s="70" t="s">
        <v>894</v>
      </c>
      <c r="E293" s="71"/>
      <c r="F293" s="3" t="s">
        <v>155</v>
      </c>
      <c r="G293" s="35">
        <v>1</v>
      </c>
      <c r="H293" s="68">
        <v>0</v>
      </c>
      <c r="I293" s="36">
        <v>21</v>
      </c>
      <c r="J293" s="35">
        <f t="shared" si="324"/>
        <v>0</v>
      </c>
      <c r="K293" s="35">
        <f t="shared" si="325"/>
        <v>0</v>
      </c>
      <c r="L293" s="35">
        <f t="shared" si="326"/>
        <v>0</v>
      </c>
      <c r="M293" s="35">
        <f t="shared" si="327"/>
        <v>0</v>
      </c>
      <c r="N293" s="35">
        <v>0</v>
      </c>
      <c r="O293" s="35">
        <f t="shared" si="328"/>
        <v>0</v>
      </c>
      <c r="P293" s="37" t="s">
        <v>64</v>
      </c>
      <c r="Z293" s="35">
        <f t="shared" si="329"/>
        <v>0</v>
      </c>
      <c r="AB293" s="35">
        <f t="shared" si="330"/>
        <v>0</v>
      </c>
      <c r="AC293" s="35">
        <f t="shared" si="331"/>
        <v>0</v>
      </c>
      <c r="AD293" s="35">
        <f t="shared" si="332"/>
        <v>0</v>
      </c>
      <c r="AE293" s="35">
        <f t="shared" si="333"/>
        <v>0</v>
      </c>
      <c r="AF293" s="35">
        <f t="shared" si="334"/>
        <v>0</v>
      </c>
      <c r="AG293" s="35">
        <f t="shared" si="335"/>
        <v>0</v>
      </c>
      <c r="AH293" s="35">
        <f t="shared" si="336"/>
        <v>0</v>
      </c>
      <c r="AI293" s="12" t="s">
        <v>861</v>
      </c>
      <c r="AJ293" s="35">
        <f t="shared" si="337"/>
        <v>0</v>
      </c>
      <c r="AK293" s="35">
        <f t="shared" si="338"/>
        <v>0</v>
      </c>
      <c r="AL293" s="35">
        <f t="shared" si="339"/>
        <v>0</v>
      </c>
      <c r="AN293" s="35">
        <v>21</v>
      </c>
      <c r="AO293" s="35">
        <f>H293*0</f>
        <v>0</v>
      </c>
      <c r="AP293" s="35">
        <f>H293*(1-0)</f>
        <v>0</v>
      </c>
      <c r="AQ293" s="38" t="s">
        <v>70</v>
      </c>
      <c r="AV293" s="35">
        <f t="shared" si="340"/>
        <v>0</v>
      </c>
      <c r="AW293" s="35">
        <f t="shared" si="341"/>
        <v>0</v>
      </c>
      <c r="AX293" s="35">
        <f t="shared" si="342"/>
        <v>0</v>
      </c>
      <c r="AY293" s="38" t="s">
        <v>868</v>
      </c>
      <c r="AZ293" s="38" t="s">
        <v>869</v>
      </c>
      <c r="BA293" s="12" t="s">
        <v>870</v>
      </c>
      <c r="BC293" s="35">
        <f t="shared" si="343"/>
        <v>0</v>
      </c>
      <c r="BD293" s="35">
        <f t="shared" si="344"/>
        <v>0</v>
      </c>
      <c r="BE293" s="35">
        <v>0</v>
      </c>
      <c r="BF293" s="35">
        <f t="shared" si="345"/>
        <v>0</v>
      </c>
      <c r="BH293" s="35">
        <f t="shared" si="346"/>
        <v>0</v>
      </c>
      <c r="BI293" s="35">
        <f t="shared" si="347"/>
        <v>0</v>
      </c>
      <c r="BJ293" s="35">
        <f t="shared" si="348"/>
        <v>0</v>
      </c>
      <c r="BK293" s="38" t="s">
        <v>69</v>
      </c>
      <c r="BL293" s="35">
        <v>728</v>
      </c>
      <c r="BW293" s="35">
        <f t="shared" si="349"/>
        <v>21</v>
      </c>
      <c r="BX293" s="4" t="s">
        <v>894</v>
      </c>
    </row>
    <row r="294" spans="1:76" x14ac:dyDescent="0.25">
      <c r="A294" s="2" t="s">
        <v>895</v>
      </c>
      <c r="B294" s="3" t="s">
        <v>861</v>
      </c>
      <c r="C294" s="3" t="s">
        <v>896</v>
      </c>
      <c r="D294" s="70" t="s">
        <v>897</v>
      </c>
      <c r="E294" s="71"/>
      <c r="F294" s="3" t="s">
        <v>155</v>
      </c>
      <c r="G294" s="35">
        <v>1</v>
      </c>
      <c r="H294" s="68">
        <v>0</v>
      </c>
      <c r="I294" s="36">
        <v>21</v>
      </c>
      <c r="J294" s="35">
        <f t="shared" si="324"/>
        <v>0</v>
      </c>
      <c r="K294" s="35">
        <f t="shared" si="325"/>
        <v>0</v>
      </c>
      <c r="L294" s="35">
        <f t="shared" si="326"/>
        <v>0</v>
      </c>
      <c r="M294" s="35">
        <f t="shared" si="327"/>
        <v>0</v>
      </c>
      <c r="N294" s="35">
        <v>0</v>
      </c>
      <c r="O294" s="35">
        <f t="shared" si="328"/>
        <v>0</v>
      </c>
      <c r="P294" s="37" t="s">
        <v>64</v>
      </c>
      <c r="Z294" s="35">
        <f t="shared" si="329"/>
        <v>0</v>
      </c>
      <c r="AB294" s="35">
        <f t="shared" si="330"/>
        <v>0</v>
      </c>
      <c r="AC294" s="35">
        <f t="shared" si="331"/>
        <v>0</v>
      </c>
      <c r="AD294" s="35">
        <f t="shared" si="332"/>
        <v>0</v>
      </c>
      <c r="AE294" s="35">
        <f t="shared" si="333"/>
        <v>0</v>
      </c>
      <c r="AF294" s="35">
        <f t="shared" si="334"/>
        <v>0</v>
      </c>
      <c r="AG294" s="35">
        <f t="shared" si="335"/>
        <v>0</v>
      </c>
      <c r="AH294" s="35">
        <f t="shared" si="336"/>
        <v>0</v>
      </c>
      <c r="AI294" s="12" t="s">
        <v>861</v>
      </c>
      <c r="AJ294" s="35">
        <f t="shared" si="337"/>
        <v>0</v>
      </c>
      <c r="AK294" s="35">
        <f t="shared" si="338"/>
        <v>0</v>
      </c>
      <c r="AL294" s="35">
        <f t="shared" si="339"/>
        <v>0</v>
      </c>
      <c r="AN294" s="35">
        <v>21</v>
      </c>
      <c r="AO294" s="35">
        <f>H294*0.219296763</f>
        <v>0</v>
      </c>
      <c r="AP294" s="35">
        <f>H294*(1-0.219296763)</f>
        <v>0</v>
      </c>
      <c r="AQ294" s="38" t="s">
        <v>70</v>
      </c>
      <c r="AV294" s="35">
        <f t="shared" si="340"/>
        <v>0</v>
      </c>
      <c r="AW294" s="35">
        <f t="shared" si="341"/>
        <v>0</v>
      </c>
      <c r="AX294" s="35">
        <f t="shared" si="342"/>
        <v>0</v>
      </c>
      <c r="AY294" s="38" t="s">
        <v>868</v>
      </c>
      <c r="AZ294" s="38" t="s">
        <v>869</v>
      </c>
      <c r="BA294" s="12" t="s">
        <v>870</v>
      </c>
      <c r="BC294" s="35">
        <f t="shared" si="343"/>
        <v>0</v>
      </c>
      <c r="BD294" s="35">
        <f t="shared" si="344"/>
        <v>0</v>
      </c>
      <c r="BE294" s="35">
        <v>0</v>
      </c>
      <c r="BF294" s="35">
        <f t="shared" si="345"/>
        <v>0</v>
      </c>
      <c r="BH294" s="35">
        <f t="shared" si="346"/>
        <v>0</v>
      </c>
      <c r="BI294" s="35">
        <f t="shared" si="347"/>
        <v>0</v>
      </c>
      <c r="BJ294" s="35">
        <f t="shared" si="348"/>
        <v>0</v>
      </c>
      <c r="BK294" s="38" t="s">
        <v>69</v>
      </c>
      <c r="BL294" s="35">
        <v>728</v>
      </c>
      <c r="BW294" s="35">
        <f t="shared" si="349"/>
        <v>21</v>
      </c>
      <c r="BX294" s="4" t="s">
        <v>897</v>
      </c>
    </row>
    <row r="295" spans="1:76" x14ac:dyDescent="0.25">
      <c r="A295" s="31" t="s">
        <v>55</v>
      </c>
      <c r="B295" s="32" t="s">
        <v>861</v>
      </c>
      <c r="C295" s="32" t="s">
        <v>174</v>
      </c>
      <c r="D295" s="128" t="s">
        <v>175</v>
      </c>
      <c r="E295" s="129"/>
      <c r="F295" s="33" t="s">
        <v>4</v>
      </c>
      <c r="G295" s="33" t="s">
        <v>4</v>
      </c>
      <c r="H295" s="33" t="s">
        <v>4</v>
      </c>
      <c r="I295" s="33" t="s">
        <v>4</v>
      </c>
      <c r="J295" s="1">
        <f>SUM(J296:J297)</f>
        <v>0</v>
      </c>
      <c r="K295" s="1">
        <f>SUM(K296:K297)</f>
        <v>0</v>
      </c>
      <c r="L295" s="1">
        <f>SUM(L296:L297)</f>
        <v>0</v>
      </c>
      <c r="M295" s="1">
        <f>SUM(M296:M297)</f>
        <v>0</v>
      </c>
      <c r="N295" s="12" t="s">
        <v>55</v>
      </c>
      <c r="O295" s="1">
        <f>SUM(O296:O297)</f>
        <v>0</v>
      </c>
      <c r="P295" s="34" t="s">
        <v>55</v>
      </c>
      <c r="AI295" s="12" t="s">
        <v>861</v>
      </c>
      <c r="AS295" s="1">
        <f>SUM(AJ296:AJ297)</f>
        <v>0</v>
      </c>
      <c r="AT295" s="1">
        <f>SUM(AK296:AK297)</f>
        <v>0</v>
      </c>
      <c r="AU295" s="1">
        <f>SUM(AL296:AL297)</f>
        <v>0</v>
      </c>
    </row>
    <row r="296" spans="1:76" x14ac:dyDescent="0.25">
      <c r="A296" s="2" t="s">
        <v>898</v>
      </c>
      <c r="B296" s="3" t="s">
        <v>861</v>
      </c>
      <c r="C296" s="3" t="s">
        <v>899</v>
      </c>
      <c r="D296" s="70" t="s">
        <v>900</v>
      </c>
      <c r="E296" s="71"/>
      <c r="F296" s="3" t="s">
        <v>179</v>
      </c>
      <c r="G296" s="35">
        <v>12</v>
      </c>
      <c r="H296" s="68">
        <v>0</v>
      </c>
      <c r="I296" s="36">
        <v>21</v>
      </c>
      <c r="J296" s="35">
        <f>ROUND(G296*AO296,2)</f>
        <v>0</v>
      </c>
      <c r="K296" s="35">
        <f>ROUND(G296*AP296,2)</f>
        <v>0</v>
      </c>
      <c r="L296" s="35">
        <f>ROUND(G296*H296,2)</f>
        <v>0</v>
      </c>
      <c r="M296" s="35">
        <f>L296*(1+BW296/100)</f>
        <v>0</v>
      </c>
      <c r="N296" s="35">
        <v>0</v>
      </c>
      <c r="O296" s="35">
        <f>G296*N296</f>
        <v>0</v>
      </c>
      <c r="P296" s="37" t="s">
        <v>64</v>
      </c>
      <c r="Z296" s="35">
        <f>ROUND(IF(AQ296="5",BJ296,0),2)</f>
        <v>0</v>
      </c>
      <c r="AB296" s="35">
        <f>ROUND(IF(AQ296="1",BH296,0),2)</f>
        <v>0</v>
      </c>
      <c r="AC296" s="35">
        <f>ROUND(IF(AQ296="1",BI296,0),2)</f>
        <v>0</v>
      </c>
      <c r="AD296" s="35">
        <f>ROUND(IF(AQ296="7",BH296,0),2)</f>
        <v>0</v>
      </c>
      <c r="AE296" s="35">
        <f>ROUND(IF(AQ296="7",BI296,0),2)</f>
        <v>0</v>
      </c>
      <c r="AF296" s="35">
        <f>ROUND(IF(AQ296="2",BH296,0),2)</f>
        <v>0</v>
      </c>
      <c r="AG296" s="35">
        <f>ROUND(IF(AQ296="2",BI296,0),2)</f>
        <v>0</v>
      </c>
      <c r="AH296" s="35">
        <f>ROUND(IF(AQ296="0",BJ296,0),2)</f>
        <v>0</v>
      </c>
      <c r="AI296" s="12" t="s">
        <v>861</v>
      </c>
      <c r="AJ296" s="35">
        <f>IF(AN296=0,L296,0)</f>
        <v>0</v>
      </c>
      <c r="AK296" s="35">
        <f>IF(AN296=15,L296,0)</f>
        <v>0</v>
      </c>
      <c r="AL296" s="35">
        <f>IF(AN296=21,L296,0)</f>
        <v>0</v>
      </c>
      <c r="AN296" s="35">
        <v>21</v>
      </c>
      <c r="AO296" s="35">
        <f>H296*0</f>
        <v>0</v>
      </c>
      <c r="AP296" s="35">
        <f>H296*(1-0)</f>
        <v>0</v>
      </c>
      <c r="AQ296" s="38" t="s">
        <v>60</v>
      </c>
      <c r="AV296" s="35">
        <f>ROUND(AW296+AX296,2)</f>
        <v>0</v>
      </c>
      <c r="AW296" s="35">
        <f>ROUND(G296*AO296,2)</f>
        <v>0</v>
      </c>
      <c r="AX296" s="35">
        <f>ROUND(G296*AP296,2)</f>
        <v>0</v>
      </c>
      <c r="AY296" s="38" t="s">
        <v>180</v>
      </c>
      <c r="AZ296" s="38" t="s">
        <v>901</v>
      </c>
      <c r="BA296" s="12" t="s">
        <v>870</v>
      </c>
      <c r="BC296" s="35">
        <f>AW296+AX296</f>
        <v>0</v>
      </c>
      <c r="BD296" s="35">
        <f>H296/(100-BE296)*100</f>
        <v>0</v>
      </c>
      <c r="BE296" s="35">
        <v>0</v>
      </c>
      <c r="BF296" s="35">
        <f>O296</f>
        <v>0</v>
      </c>
      <c r="BH296" s="35">
        <f>G296*AO296</f>
        <v>0</v>
      </c>
      <c r="BI296" s="35">
        <f>G296*AP296</f>
        <v>0</v>
      </c>
      <c r="BJ296" s="35">
        <f>G296*H296</f>
        <v>0</v>
      </c>
      <c r="BK296" s="38" t="s">
        <v>69</v>
      </c>
      <c r="BL296" s="35">
        <v>90</v>
      </c>
      <c r="BW296" s="35">
        <f>I296</f>
        <v>21</v>
      </c>
      <c r="BX296" s="4" t="s">
        <v>900</v>
      </c>
    </row>
    <row r="297" spans="1:76" x14ac:dyDescent="0.25">
      <c r="A297" s="2" t="s">
        <v>902</v>
      </c>
      <c r="B297" s="3" t="s">
        <v>861</v>
      </c>
      <c r="C297" s="3" t="s">
        <v>672</v>
      </c>
      <c r="D297" s="70" t="s">
        <v>903</v>
      </c>
      <c r="E297" s="71"/>
      <c r="F297" s="3" t="s">
        <v>179</v>
      </c>
      <c r="G297" s="35">
        <v>2</v>
      </c>
      <c r="H297" s="68">
        <v>0</v>
      </c>
      <c r="I297" s="36">
        <v>21</v>
      </c>
      <c r="J297" s="35">
        <f>ROUND(G297*AO297,2)</f>
        <v>0</v>
      </c>
      <c r="K297" s="35">
        <f>ROUND(G297*AP297,2)</f>
        <v>0</v>
      </c>
      <c r="L297" s="35">
        <f>ROUND(G297*H297,2)</f>
        <v>0</v>
      </c>
      <c r="M297" s="35">
        <f>L297*(1+BW297/100)</f>
        <v>0</v>
      </c>
      <c r="N297" s="35">
        <v>0</v>
      </c>
      <c r="O297" s="35">
        <f>G297*N297</f>
        <v>0</v>
      </c>
      <c r="P297" s="37" t="s">
        <v>64</v>
      </c>
      <c r="Z297" s="35">
        <f>ROUND(IF(AQ297="5",BJ297,0),2)</f>
        <v>0</v>
      </c>
      <c r="AB297" s="35">
        <f>ROUND(IF(AQ297="1",BH297,0),2)</f>
        <v>0</v>
      </c>
      <c r="AC297" s="35">
        <f>ROUND(IF(AQ297="1",BI297,0),2)</f>
        <v>0</v>
      </c>
      <c r="AD297" s="35">
        <f>ROUND(IF(AQ297="7",BH297,0),2)</f>
        <v>0</v>
      </c>
      <c r="AE297" s="35">
        <f>ROUND(IF(AQ297="7",BI297,0),2)</f>
        <v>0</v>
      </c>
      <c r="AF297" s="35">
        <f>ROUND(IF(AQ297="2",BH297,0),2)</f>
        <v>0</v>
      </c>
      <c r="AG297" s="35">
        <f>ROUND(IF(AQ297="2",BI297,0),2)</f>
        <v>0</v>
      </c>
      <c r="AH297" s="35">
        <f>ROUND(IF(AQ297="0",BJ297,0),2)</f>
        <v>0</v>
      </c>
      <c r="AI297" s="12" t="s">
        <v>861</v>
      </c>
      <c r="AJ297" s="35">
        <f>IF(AN297=0,L297,0)</f>
        <v>0</v>
      </c>
      <c r="AK297" s="35">
        <f>IF(AN297=15,L297,0)</f>
        <v>0</v>
      </c>
      <c r="AL297" s="35">
        <f>IF(AN297=21,L297,0)</f>
        <v>0</v>
      </c>
      <c r="AN297" s="35">
        <v>21</v>
      </c>
      <c r="AO297" s="35">
        <f>H297*0</f>
        <v>0</v>
      </c>
      <c r="AP297" s="35">
        <f>H297*(1-0)</f>
        <v>0</v>
      </c>
      <c r="AQ297" s="38" t="s">
        <v>60</v>
      </c>
      <c r="AV297" s="35">
        <f>ROUND(AW297+AX297,2)</f>
        <v>0</v>
      </c>
      <c r="AW297" s="35">
        <f>ROUND(G297*AO297,2)</f>
        <v>0</v>
      </c>
      <c r="AX297" s="35">
        <f>ROUND(G297*AP297,2)</f>
        <v>0</v>
      </c>
      <c r="AY297" s="38" t="s">
        <v>180</v>
      </c>
      <c r="AZ297" s="38" t="s">
        <v>901</v>
      </c>
      <c r="BA297" s="12" t="s">
        <v>870</v>
      </c>
      <c r="BC297" s="35">
        <f>AW297+AX297</f>
        <v>0</v>
      </c>
      <c r="BD297" s="35">
        <f>H297/(100-BE297)*100</f>
        <v>0</v>
      </c>
      <c r="BE297" s="35">
        <v>0</v>
      </c>
      <c r="BF297" s="35">
        <f>O297</f>
        <v>0</v>
      </c>
      <c r="BH297" s="35">
        <f>G297*AO297</f>
        <v>0</v>
      </c>
      <c r="BI297" s="35">
        <f>G297*AP297</f>
        <v>0</v>
      </c>
      <c r="BJ297" s="35">
        <f>G297*H297</f>
        <v>0</v>
      </c>
      <c r="BK297" s="38" t="s">
        <v>69</v>
      </c>
      <c r="BL297" s="35">
        <v>90</v>
      </c>
      <c r="BW297" s="35">
        <f>I297</f>
        <v>21</v>
      </c>
      <c r="BX297" s="4" t="s">
        <v>903</v>
      </c>
    </row>
    <row r="298" spans="1:76" x14ac:dyDescent="0.25">
      <c r="A298" s="31" t="s">
        <v>55</v>
      </c>
      <c r="B298" s="32" t="s">
        <v>904</v>
      </c>
      <c r="C298" s="32" t="s">
        <v>55</v>
      </c>
      <c r="D298" s="128" t="s">
        <v>905</v>
      </c>
      <c r="E298" s="129"/>
      <c r="F298" s="33" t="s">
        <v>4</v>
      </c>
      <c r="G298" s="33" t="s">
        <v>4</v>
      </c>
      <c r="H298" s="33" t="s">
        <v>4</v>
      </c>
      <c r="I298" s="33" t="s">
        <v>4</v>
      </c>
      <c r="J298" s="1">
        <f>J299</f>
        <v>0</v>
      </c>
      <c r="K298" s="1">
        <f>K299</f>
        <v>0</v>
      </c>
      <c r="L298" s="1">
        <f>L299</f>
        <v>0</v>
      </c>
      <c r="M298" s="1">
        <f>M299</f>
        <v>0</v>
      </c>
      <c r="N298" s="12" t="s">
        <v>55</v>
      </c>
      <c r="O298" s="1">
        <f>O299</f>
        <v>0</v>
      </c>
      <c r="P298" s="34" t="s">
        <v>55</v>
      </c>
    </row>
    <row r="299" spans="1:76" x14ac:dyDescent="0.25">
      <c r="A299" s="31" t="s">
        <v>55</v>
      </c>
      <c r="B299" s="32" t="s">
        <v>904</v>
      </c>
      <c r="C299" s="32" t="s">
        <v>906</v>
      </c>
      <c r="D299" s="128" t="s">
        <v>359</v>
      </c>
      <c r="E299" s="129"/>
      <c r="F299" s="33" t="s">
        <v>4</v>
      </c>
      <c r="G299" s="33" t="s">
        <v>4</v>
      </c>
      <c r="H299" s="33" t="s">
        <v>4</v>
      </c>
      <c r="I299" s="33" t="s">
        <v>4</v>
      </c>
      <c r="J299" s="1">
        <f>SUM(J300:J327)</f>
        <v>0</v>
      </c>
      <c r="K299" s="1">
        <f>SUM(K300:K327)</f>
        <v>0</v>
      </c>
      <c r="L299" s="1">
        <f>SUM(L300:L327)</f>
        <v>0</v>
      </c>
      <c r="M299" s="1">
        <f>SUM(M300:M327)</f>
        <v>0</v>
      </c>
      <c r="N299" s="12" t="s">
        <v>55</v>
      </c>
      <c r="O299" s="1">
        <f>SUM(O300:O327)</f>
        <v>0</v>
      </c>
      <c r="P299" s="34" t="s">
        <v>55</v>
      </c>
      <c r="AI299" s="12" t="s">
        <v>904</v>
      </c>
      <c r="AS299" s="1">
        <f>SUM(AJ300:AJ327)</f>
        <v>0</v>
      </c>
      <c r="AT299" s="1">
        <f>SUM(AK300:AK327)</f>
        <v>0</v>
      </c>
      <c r="AU299" s="1">
        <f>SUM(AL300:AL327)</f>
        <v>0</v>
      </c>
    </row>
    <row r="300" spans="1:76" ht="25.5" x14ac:dyDescent="0.25">
      <c r="A300" s="2" t="s">
        <v>907</v>
      </c>
      <c r="B300" s="3" t="s">
        <v>904</v>
      </c>
      <c r="C300" s="3" t="s">
        <v>908</v>
      </c>
      <c r="D300" s="70" t="s">
        <v>909</v>
      </c>
      <c r="E300" s="71"/>
      <c r="F300" s="3" t="s">
        <v>85</v>
      </c>
      <c r="G300" s="35">
        <v>1</v>
      </c>
      <c r="H300" s="68">
        <v>0</v>
      </c>
      <c r="I300" s="36">
        <v>21</v>
      </c>
      <c r="J300" s="35">
        <f t="shared" ref="J300:J327" si="350">ROUND(G300*AO300,2)</f>
        <v>0</v>
      </c>
      <c r="K300" s="35">
        <f t="shared" ref="K300:K327" si="351">ROUND(G300*AP300,2)</f>
        <v>0</v>
      </c>
      <c r="L300" s="35">
        <f t="shared" ref="L300:L327" si="352">ROUND(G300*H300,2)</f>
        <v>0</v>
      </c>
      <c r="M300" s="35">
        <f t="shared" ref="M300:M327" si="353">L300*(1+BW300/100)</f>
        <v>0</v>
      </c>
      <c r="N300" s="35">
        <v>0</v>
      </c>
      <c r="O300" s="35">
        <f t="shared" ref="O300:O327" si="354">G300*N300</f>
        <v>0</v>
      </c>
      <c r="P300" s="37" t="s">
        <v>64</v>
      </c>
      <c r="Z300" s="35">
        <f t="shared" ref="Z300:Z327" si="355">ROUND(IF(AQ300="5",BJ300,0),2)</f>
        <v>0</v>
      </c>
      <c r="AB300" s="35">
        <f t="shared" ref="AB300:AB327" si="356">ROUND(IF(AQ300="1",BH300,0),2)</f>
        <v>0</v>
      </c>
      <c r="AC300" s="35">
        <f t="shared" ref="AC300:AC327" si="357">ROUND(IF(AQ300="1",BI300,0),2)</f>
        <v>0</v>
      </c>
      <c r="AD300" s="35">
        <f t="shared" ref="AD300:AD327" si="358">ROUND(IF(AQ300="7",BH300,0),2)</f>
        <v>0</v>
      </c>
      <c r="AE300" s="35">
        <f t="shared" ref="AE300:AE327" si="359">ROUND(IF(AQ300="7",BI300,0),2)</f>
        <v>0</v>
      </c>
      <c r="AF300" s="35">
        <f t="shared" ref="AF300:AF327" si="360">ROUND(IF(AQ300="2",BH300,0),2)</f>
        <v>0</v>
      </c>
      <c r="AG300" s="35">
        <f t="shared" ref="AG300:AG327" si="361">ROUND(IF(AQ300="2",BI300,0),2)</f>
        <v>0</v>
      </c>
      <c r="AH300" s="35">
        <f t="shared" ref="AH300:AH327" si="362">ROUND(IF(AQ300="0",BJ300,0),2)</f>
        <v>0</v>
      </c>
      <c r="AI300" s="12" t="s">
        <v>904</v>
      </c>
      <c r="AJ300" s="35">
        <f t="shared" ref="AJ300:AJ327" si="363">IF(AN300=0,L300,0)</f>
        <v>0</v>
      </c>
      <c r="AK300" s="35">
        <f t="shared" ref="AK300:AK327" si="364">IF(AN300=15,L300,0)</f>
        <v>0</v>
      </c>
      <c r="AL300" s="35">
        <f t="shared" ref="AL300:AL327" si="365">IF(AN300=21,L300,0)</f>
        <v>0</v>
      </c>
      <c r="AN300" s="35">
        <v>21</v>
      </c>
      <c r="AO300" s="35">
        <f>H300*0.723837209</f>
        <v>0</v>
      </c>
      <c r="AP300" s="35">
        <f>H300*(1-0.723837209)</f>
        <v>0</v>
      </c>
      <c r="AQ300" s="38" t="s">
        <v>65</v>
      </c>
      <c r="AV300" s="35">
        <f t="shared" ref="AV300:AV327" si="366">ROUND(AW300+AX300,2)</f>
        <v>0</v>
      </c>
      <c r="AW300" s="35">
        <f t="shared" ref="AW300:AW327" si="367">ROUND(G300*AO300,2)</f>
        <v>0</v>
      </c>
      <c r="AX300" s="35">
        <f t="shared" ref="AX300:AX327" si="368">ROUND(G300*AP300,2)</f>
        <v>0</v>
      </c>
      <c r="AY300" s="38" t="s">
        <v>910</v>
      </c>
      <c r="AZ300" s="38" t="s">
        <v>911</v>
      </c>
      <c r="BA300" s="12" t="s">
        <v>912</v>
      </c>
      <c r="BC300" s="35">
        <f t="shared" ref="BC300:BC327" si="369">AW300+AX300</f>
        <v>0</v>
      </c>
      <c r="BD300" s="35">
        <f t="shared" ref="BD300:BD327" si="370">H300/(100-BE300)*100</f>
        <v>0</v>
      </c>
      <c r="BE300" s="35">
        <v>0</v>
      </c>
      <c r="BF300" s="35">
        <f t="shared" ref="BF300:BF327" si="371">O300</f>
        <v>0</v>
      </c>
      <c r="BH300" s="35">
        <f t="shared" ref="BH300:BH327" si="372">G300*AO300</f>
        <v>0</v>
      </c>
      <c r="BI300" s="35">
        <f t="shared" ref="BI300:BI327" si="373">G300*AP300</f>
        <v>0</v>
      </c>
      <c r="BJ300" s="35">
        <f t="shared" ref="BJ300:BJ327" si="374">G300*H300</f>
        <v>0</v>
      </c>
      <c r="BK300" s="38" t="s">
        <v>69</v>
      </c>
      <c r="BL300" s="35"/>
      <c r="BW300" s="35">
        <f t="shared" ref="BW300:BW327" si="375">I300</f>
        <v>21</v>
      </c>
      <c r="BX300" s="4" t="s">
        <v>909</v>
      </c>
    </row>
    <row r="301" spans="1:76" x14ac:dyDescent="0.25">
      <c r="A301" s="2" t="s">
        <v>913</v>
      </c>
      <c r="B301" s="3" t="s">
        <v>904</v>
      </c>
      <c r="C301" s="3" t="s">
        <v>914</v>
      </c>
      <c r="D301" s="70" t="s">
        <v>915</v>
      </c>
      <c r="E301" s="71"/>
      <c r="F301" s="3" t="s">
        <v>63</v>
      </c>
      <c r="G301" s="35">
        <v>21</v>
      </c>
      <c r="H301" s="68">
        <v>0</v>
      </c>
      <c r="I301" s="36">
        <v>21</v>
      </c>
      <c r="J301" s="35">
        <f t="shared" si="350"/>
        <v>0</v>
      </c>
      <c r="K301" s="35">
        <f t="shared" si="351"/>
        <v>0</v>
      </c>
      <c r="L301" s="35">
        <f t="shared" si="352"/>
        <v>0</v>
      </c>
      <c r="M301" s="35">
        <f t="shared" si="353"/>
        <v>0</v>
      </c>
      <c r="N301" s="35">
        <v>0</v>
      </c>
      <c r="O301" s="35">
        <f t="shared" si="354"/>
        <v>0</v>
      </c>
      <c r="P301" s="37" t="s">
        <v>64</v>
      </c>
      <c r="Z301" s="35">
        <f t="shared" si="355"/>
        <v>0</v>
      </c>
      <c r="AB301" s="35">
        <f t="shared" si="356"/>
        <v>0</v>
      </c>
      <c r="AC301" s="35">
        <f t="shared" si="357"/>
        <v>0</v>
      </c>
      <c r="AD301" s="35">
        <f t="shared" si="358"/>
        <v>0</v>
      </c>
      <c r="AE301" s="35">
        <f t="shared" si="359"/>
        <v>0</v>
      </c>
      <c r="AF301" s="35">
        <f t="shared" si="360"/>
        <v>0</v>
      </c>
      <c r="AG301" s="35">
        <f t="shared" si="361"/>
        <v>0</v>
      </c>
      <c r="AH301" s="35">
        <f t="shared" si="362"/>
        <v>0</v>
      </c>
      <c r="AI301" s="12" t="s">
        <v>904</v>
      </c>
      <c r="AJ301" s="35">
        <f t="shared" si="363"/>
        <v>0</v>
      </c>
      <c r="AK301" s="35">
        <f t="shared" si="364"/>
        <v>0</v>
      </c>
      <c r="AL301" s="35">
        <f t="shared" si="365"/>
        <v>0</v>
      </c>
      <c r="AN301" s="35">
        <v>21</v>
      </c>
      <c r="AO301" s="35">
        <f t="shared" ref="AO301:AO323" si="376">H301*1</f>
        <v>0</v>
      </c>
      <c r="AP301" s="35">
        <f t="shared" ref="AP301:AP323" si="377">H301*(1-1)</f>
        <v>0</v>
      </c>
      <c r="AQ301" s="38" t="s">
        <v>65</v>
      </c>
      <c r="AV301" s="35">
        <f t="shared" si="366"/>
        <v>0</v>
      </c>
      <c r="AW301" s="35">
        <f t="shared" si="367"/>
        <v>0</v>
      </c>
      <c r="AX301" s="35">
        <f t="shared" si="368"/>
        <v>0</v>
      </c>
      <c r="AY301" s="38" t="s">
        <v>910</v>
      </c>
      <c r="AZ301" s="38" t="s">
        <v>911</v>
      </c>
      <c r="BA301" s="12" t="s">
        <v>912</v>
      </c>
      <c r="BC301" s="35">
        <f t="shared" si="369"/>
        <v>0</v>
      </c>
      <c r="BD301" s="35">
        <f t="shared" si="370"/>
        <v>0</v>
      </c>
      <c r="BE301" s="35">
        <v>0</v>
      </c>
      <c r="BF301" s="35">
        <f t="shared" si="371"/>
        <v>0</v>
      </c>
      <c r="BH301" s="35">
        <f t="shared" si="372"/>
        <v>0</v>
      </c>
      <c r="BI301" s="35">
        <f t="shared" si="373"/>
        <v>0</v>
      </c>
      <c r="BJ301" s="35">
        <f t="shared" si="374"/>
        <v>0</v>
      </c>
      <c r="BK301" s="38" t="s">
        <v>69</v>
      </c>
      <c r="BL301" s="35"/>
      <c r="BW301" s="35">
        <f t="shared" si="375"/>
        <v>21</v>
      </c>
      <c r="BX301" s="4" t="s">
        <v>915</v>
      </c>
    </row>
    <row r="302" spans="1:76" x14ac:dyDescent="0.25">
      <c r="A302" s="2" t="s">
        <v>916</v>
      </c>
      <c r="B302" s="3" t="s">
        <v>904</v>
      </c>
      <c r="C302" s="3" t="s">
        <v>917</v>
      </c>
      <c r="D302" s="70" t="s">
        <v>918</v>
      </c>
      <c r="E302" s="71"/>
      <c r="F302" s="3" t="s">
        <v>85</v>
      </c>
      <c r="G302" s="35">
        <v>1</v>
      </c>
      <c r="H302" s="68">
        <v>0</v>
      </c>
      <c r="I302" s="36">
        <v>21</v>
      </c>
      <c r="J302" s="35">
        <f t="shared" si="350"/>
        <v>0</v>
      </c>
      <c r="K302" s="35">
        <f t="shared" si="351"/>
        <v>0</v>
      </c>
      <c r="L302" s="35">
        <f t="shared" si="352"/>
        <v>0</v>
      </c>
      <c r="M302" s="35">
        <f t="shared" si="353"/>
        <v>0</v>
      </c>
      <c r="N302" s="35">
        <v>0</v>
      </c>
      <c r="O302" s="35">
        <f t="shared" si="354"/>
        <v>0</v>
      </c>
      <c r="P302" s="37" t="s">
        <v>64</v>
      </c>
      <c r="Z302" s="35">
        <f t="shared" si="355"/>
        <v>0</v>
      </c>
      <c r="AB302" s="35">
        <f t="shared" si="356"/>
        <v>0</v>
      </c>
      <c r="AC302" s="35">
        <f t="shared" si="357"/>
        <v>0</v>
      </c>
      <c r="AD302" s="35">
        <f t="shared" si="358"/>
        <v>0</v>
      </c>
      <c r="AE302" s="35">
        <f t="shared" si="359"/>
        <v>0</v>
      </c>
      <c r="AF302" s="35">
        <f t="shared" si="360"/>
        <v>0</v>
      </c>
      <c r="AG302" s="35">
        <f t="shared" si="361"/>
        <v>0</v>
      </c>
      <c r="AH302" s="35">
        <f t="shared" si="362"/>
        <v>0</v>
      </c>
      <c r="AI302" s="12" t="s">
        <v>904</v>
      </c>
      <c r="AJ302" s="35">
        <f t="shared" si="363"/>
        <v>0</v>
      </c>
      <c r="AK302" s="35">
        <f t="shared" si="364"/>
        <v>0</v>
      </c>
      <c r="AL302" s="35">
        <f t="shared" si="365"/>
        <v>0</v>
      </c>
      <c r="AN302" s="35">
        <v>21</v>
      </c>
      <c r="AO302" s="35">
        <f t="shared" si="376"/>
        <v>0</v>
      </c>
      <c r="AP302" s="35">
        <f t="shared" si="377"/>
        <v>0</v>
      </c>
      <c r="AQ302" s="38" t="s">
        <v>65</v>
      </c>
      <c r="AV302" s="35">
        <f t="shared" si="366"/>
        <v>0</v>
      </c>
      <c r="AW302" s="35">
        <f t="shared" si="367"/>
        <v>0</v>
      </c>
      <c r="AX302" s="35">
        <f t="shared" si="368"/>
        <v>0</v>
      </c>
      <c r="AY302" s="38" t="s">
        <v>910</v>
      </c>
      <c r="AZ302" s="38" t="s">
        <v>911</v>
      </c>
      <c r="BA302" s="12" t="s">
        <v>912</v>
      </c>
      <c r="BC302" s="35">
        <f t="shared" si="369"/>
        <v>0</v>
      </c>
      <c r="BD302" s="35">
        <f t="shared" si="370"/>
        <v>0</v>
      </c>
      <c r="BE302" s="35">
        <v>0</v>
      </c>
      <c r="BF302" s="35">
        <f t="shared" si="371"/>
        <v>0</v>
      </c>
      <c r="BH302" s="35">
        <f t="shared" si="372"/>
        <v>0</v>
      </c>
      <c r="BI302" s="35">
        <f t="shared" si="373"/>
        <v>0</v>
      </c>
      <c r="BJ302" s="35">
        <f t="shared" si="374"/>
        <v>0</v>
      </c>
      <c r="BK302" s="38" t="s">
        <v>69</v>
      </c>
      <c r="BL302" s="35"/>
      <c r="BW302" s="35">
        <f t="shared" si="375"/>
        <v>21</v>
      </c>
      <c r="BX302" s="4" t="s">
        <v>918</v>
      </c>
    </row>
    <row r="303" spans="1:76" ht="25.5" x14ac:dyDescent="0.25">
      <c r="A303" s="2" t="s">
        <v>919</v>
      </c>
      <c r="B303" s="3" t="s">
        <v>904</v>
      </c>
      <c r="C303" s="3" t="s">
        <v>920</v>
      </c>
      <c r="D303" s="70" t="s">
        <v>921</v>
      </c>
      <c r="E303" s="71"/>
      <c r="F303" s="3" t="s">
        <v>155</v>
      </c>
      <c r="G303" s="35">
        <v>1</v>
      </c>
      <c r="H303" s="68">
        <v>0</v>
      </c>
      <c r="I303" s="36">
        <v>21</v>
      </c>
      <c r="J303" s="35">
        <f t="shared" si="350"/>
        <v>0</v>
      </c>
      <c r="K303" s="35">
        <f t="shared" si="351"/>
        <v>0</v>
      </c>
      <c r="L303" s="35">
        <f t="shared" si="352"/>
        <v>0</v>
      </c>
      <c r="M303" s="35">
        <f t="shared" si="353"/>
        <v>0</v>
      </c>
      <c r="N303" s="35">
        <v>0</v>
      </c>
      <c r="O303" s="35">
        <f t="shared" si="354"/>
        <v>0</v>
      </c>
      <c r="P303" s="37" t="s">
        <v>64</v>
      </c>
      <c r="Z303" s="35">
        <f t="shared" si="355"/>
        <v>0</v>
      </c>
      <c r="AB303" s="35">
        <f t="shared" si="356"/>
        <v>0</v>
      </c>
      <c r="AC303" s="35">
        <f t="shared" si="357"/>
        <v>0</v>
      </c>
      <c r="AD303" s="35">
        <f t="shared" si="358"/>
        <v>0</v>
      </c>
      <c r="AE303" s="35">
        <f t="shared" si="359"/>
        <v>0</v>
      </c>
      <c r="AF303" s="35">
        <f t="shared" si="360"/>
        <v>0</v>
      </c>
      <c r="AG303" s="35">
        <f t="shared" si="361"/>
        <v>0</v>
      </c>
      <c r="AH303" s="35">
        <f t="shared" si="362"/>
        <v>0</v>
      </c>
      <c r="AI303" s="12" t="s">
        <v>904</v>
      </c>
      <c r="AJ303" s="35">
        <f t="shared" si="363"/>
        <v>0</v>
      </c>
      <c r="AK303" s="35">
        <f t="shared" si="364"/>
        <v>0</v>
      </c>
      <c r="AL303" s="35">
        <f t="shared" si="365"/>
        <v>0</v>
      </c>
      <c r="AN303" s="35">
        <v>21</v>
      </c>
      <c r="AO303" s="35">
        <f t="shared" si="376"/>
        <v>0</v>
      </c>
      <c r="AP303" s="35">
        <f t="shared" si="377"/>
        <v>0</v>
      </c>
      <c r="AQ303" s="38" t="s">
        <v>65</v>
      </c>
      <c r="AV303" s="35">
        <f t="shared" si="366"/>
        <v>0</v>
      </c>
      <c r="AW303" s="35">
        <f t="shared" si="367"/>
        <v>0</v>
      </c>
      <c r="AX303" s="35">
        <f t="shared" si="368"/>
        <v>0</v>
      </c>
      <c r="AY303" s="38" t="s">
        <v>910</v>
      </c>
      <c r="AZ303" s="38" t="s">
        <v>911</v>
      </c>
      <c r="BA303" s="12" t="s">
        <v>912</v>
      </c>
      <c r="BC303" s="35">
        <f t="shared" si="369"/>
        <v>0</v>
      </c>
      <c r="BD303" s="35">
        <f t="shared" si="370"/>
        <v>0</v>
      </c>
      <c r="BE303" s="35">
        <v>0</v>
      </c>
      <c r="BF303" s="35">
        <f t="shared" si="371"/>
        <v>0</v>
      </c>
      <c r="BH303" s="35">
        <f t="shared" si="372"/>
        <v>0</v>
      </c>
      <c r="BI303" s="35">
        <f t="shared" si="373"/>
        <v>0</v>
      </c>
      <c r="BJ303" s="35">
        <f t="shared" si="374"/>
        <v>0</v>
      </c>
      <c r="BK303" s="38" t="s">
        <v>69</v>
      </c>
      <c r="BL303" s="35"/>
      <c r="BW303" s="35">
        <f t="shared" si="375"/>
        <v>21</v>
      </c>
      <c r="BX303" s="4" t="s">
        <v>921</v>
      </c>
    </row>
    <row r="304" spans="1:76" ht="25.5" x14ac:dyDescent="0.25">
      <c r="A304" s="2" t="s">
        <v>922</v>
      </c>
      <c r="B304" s="3" t="s">
        <v>904</v>
      </c>
      <c r="C304" s="3" t="s">
        <v>914</v>
      </c>
      <c r="D304" s="70" t="s">
        <v>923</v>
      </c>
      <c r="E304" s="71"/>
      <c r="F304" s="3" t="s">
        <v>63</v>
      </c>
      <c r="G304" s="35">
        <v>7</v>
      </c>
      <c r="H304" s="68">
        <v>0</v>
      </c>
      <c r="I304" s="36">
        <v>21</v>
      </c>
      <c r="J304" s="35">
        <f t="shared" si="350"/>
        <v>0</v>
      </c>
      <c r="K304" s="35">
        <f t="shared" si="351"/>
        <v>0</v>
      </c>
      <c r="L304" s="35">
        <f t="shared" si="352"/>
        <v>0</v>
      </c>
      <c r="M304" s="35">
        <f t="shared" si="353"/>
        <v>0</v>
      </c>
      <c r="N304" s="35">
        <v>0</v>
      </c>
      <c r="O304" s="35">
        <f t="shared" si="354"/>
        <v>0</v>
      </c>
      <c r="P304" s="37" t="s">
        <v>64</v>
      </c>
      <c r="Z304" s="35">
        <f t="shared" si="355"/>
        <v>0</v>
      </c>
      <c r="AB304" s="35">
        <f t="shared" si="356"/>
        <v>0</v>
      </c>
      <c r="AC304" s="35">
        <f t="shared" si="357"/>
        <v>0</v>
      </c>
      <c r="AD304" s="35">
        <f t="shared" si="358"/>
        <v>0</v>
      </c>
      <c r="AE304" s="35">
        <f t="shared" si="359"/>
        <v>0</v>
      </c>
      <c r="AF304" s="35">
        <f t="shared" si="360"/>
        <v>0</v>
      </c>
      <c r="AG304" s="35">
        <f t="shared" si="361"/>
        <v>0</v>
      </c>
      <c r="AH304" s="35">
        <f t="shared" si="362"/>
        <v>0</v>
      </c>
      <c r="AI304" s="12" t="s">
        <v>904</v>
      </c>
      <c r="AJ304" s="35">
        <f t="shared" si="363"/>
        <v>0</v>
      </c>
      <c r="AK304" s="35">
        <f t="shared" si="364"/>
        <v>0</v>
      </c>
      <c r="AL304" s="35">
        <f t="shared" si="365"/>
        <v>0</v>
      </c>
      <c r="AN304" s="35">
        <v>21</v>
      </c>
      <c r="AO304" s="35">
        <f t="shared" si="376"/>
        <v>0</v>
      </c>
      <c r="AP304" s="35">
        <f t="shared" si="377"/>
        <v>0</v>
      </c>
      <c r="AQ304" s="38" t="s">
        <v>65</v>
      </c>
      <c r="AV304" s="35">
        <f t="shared" si="366"/>
        <v>0</v>
      </c>
      <c r="AW304" s="35">
        <f t="shared" si="367"/>
        <v>0</v>
      </c>
      <c r="AX304" s="35">
        <f t="shared" si="368"/>
        <v>0</v>
      </c>
      <c r="AY304" s="38" t="s">
        <v>910</v>
      </c>
      <c r="AZ304" s="38" t="s">
        <v>911</v>
      </c>
      <c r="BA304" s="12" t="s">
        <v>912</v>
      </c>
      <c r="BC304" s="35">
        <f t="shared" si="369"/>
        <v>0</v>
      </c>
      <c r="BD304" s="35">
        <f t="shared" si="370"/>
        <v>0</v>
      </c>
      <c r="BE304" s="35">
        <v>0</v>
      </c>
      <c r="BF304" s="35">
        <f t="shared" si="371"/>
        <v>0</v>
      </c>
      <c r="BH304" s="35">
        <f t="shared" si="372"/>
        <v>0</v>
      </c>
      <c r="BI304" s="35">
        <f t="shared" si="373"/>
        <v>0</v>
      </c>
      <c r="BJ304" s="35">
        <f t="shared" si="374"/>
        <v>0</v>
      </c>
      <c r="BK304" s="38" t="s">
        <v>69</v>
      </c>
      <c r="BL304" s="35"/>
      <c r="BW304" s="35">
        <f t="shared" si="375"/>
        <v>21</v>
      </c>
      <c r="BX304" s="4" t="s">
        <v>923</v>
      </c>
    </row>
    <row r="305" spans="1:76" x14ac:dyDescent="0.25">
      <c r="A305" s="2" t="s">
        <v>924</v>
      </c>
      <c r="B305" s="3" t="s">
        <v>904</v>
      </c>
      <c r="C305" s="3" t="s">
        <v>925</v>
      </c>
      <c r="D305" s="70" t="s">
        <v>926</v>
      </c>
      <c r="E305" s="71"/>
      <c r="F305" s="3" t="s">
        <v>85</v>
      </c>
      <c r="G305" s="35">
        <v>3</v>
      </c>
      <c r="H305" s="68">
        <v>0</v>
      </c>
      <c r="I305" s="36">
        <v>21</v>
      </c>
      <c r="J305" s="35">
        <f t="shared" si="350"/>
        <v>0</v>
      </c>
      <c r="K305" s="35">
        <f t="shared" si="351"/>
        <v>0</v>
      </c>
      <c r="L305" s="35">
        <f t="shared" si="352"/>
        <v>0</v>
      </c>
      <c r="M305" s="35">
        <f t="shared" si="353"/>
        <v>0</v>
      </c>
      <c r="N305" s="35">
        <v>0</v>
      </c>
      <c r="O305" s="35">
        <f t="shared" si="354"/>
        <v>0</v>
      </c>
      <c r="P305" s="37" t="s">
        <v>64</v>
      </c>
      <c r="Z305" s="35">
        <f t="shared" si="355"/>
        <v>0</v>
      </c>
      <c r="AB305" s="35">
        <f t="shared" si="356"/>
        <v>0</v>
      </c>
      <c r="AC305" s="35">
        <f t="shared" si="357"/>
        <v>0</v>
      </c>
      <c r="AD305" s="35">
        <f t="shared" si="358"/>
        <v>0</v>
      </c>
      <c r="AE305" s="35">
        <f t="shared" si="359"/>
        <v>0</v>
      </c>
      <c r="AF305" s="35">
        <f t="shared" si="360"/>
        <v>0</v>
      </c>
      <c r="AG305" s="35">
        <f t="shared" si="361"/>
        <v>0</v>
      </c>
      <c r="AH305" s="35">
        <f t="shared" si="362"/>
        <v>0</v>
      </c>
      <c r="AI305" s="12" t="s">
        <v>904</v>
      </c>
      <c r="AJ305" s="35">
        <f t="shared" si="363"/>
        <v>0</v>
      </c>
      <c r="AK305" s="35">
        <f t="shared" si="364"/>
        <v>0</v>
      </c>
      <c r="AL305" s="35">
        <f t="shared" si="365"/>
        <v>0</v>
      </c>
      <c r="AN305" s="35">
        <v>21</v>
      </c>
      <c r="AO305" s="35">
        <f t="shared" si="376"/>
        <v>0</v>
      </c>
      <c r="AP305" s="35">
        <f t="shared" si="377"/>
        <v>0</v>
      </c>
      <c r="AQ305" s="38" t="s">
        <v>65</v>
      </c>
      <c r="AV305" s="35">
        <f t="shared" si="366"/>
        <v>0</v>
      </c>
      <c r="AW305" s="35">
        <f t="shared" si="367"/>
        <v>0</v>
      </c>
      <c r="AX305" s="35">
        <f t="shared" si="368"/>
        <v>0</v>
      </c>
      <c r="AY305" s="38" t="s">
        <v>910</v>
      </c>
      <c r="AZ305" s="38" t="s">
        <v>911</v>
      </c>
      <c r="BA305" s="12" t="s">
        <v>912</v>
      </c>
      <c r="BC305" s="35">
        <f t="shared" si="369"/>
        <v>0</v>
      </c>
      <c r="BD305" s="35">
        <f t="shared" si="370"/>
        <v>0</v>
      </c>
      <c r="BE305" s="35">
        <v>0</v>
      </c>
      <c r="BF305" s="35">
        <f t="shared" si="371"/>
        <v>0</v>
      </c>
      <c r="BH305" s="35">
        <f t="shared" si="372"/>
        <v>0</v>
      </c>
      <c r="BI305" s="35">
        <f t="shared" si="373"/>
        <v>0</v>
      </c>
      <c r="BJ305" s="35">
        <f t="shared" si="374"/>
        <v>0</v>
      </c>
      <c r="BK305" s="38" t="s">
        <v>69</v>
      </c>
      <c r="BL305" s="35"/>
      <c r="BW305" s="35">
        <f t="shared" si="375"/>
        <v>21</v>
      </c>
      <c r="BX305" s="4" t="s">
        <v>926</v>
      </c>
    </row>
    <row r="306" spans="1:76" x14ac:dyDescent="0.25">
      <c r="A306" s="2" t="s">
        <v>927</v>
      </c>
      <c r="B306" s="3" t="s">
        <v>904</v>
      </c>
      <c r="C306" s="3" t="s">
        <v>928</v>
      </c>
      <c r="D306" s="70" t="s">
        <v>929</v>
      </c>
      <c r="E306" s="71"/>
      <c r="F306" s="3" t="s">
        <v>85</v>
      </c>
      <c r="G306" s="35">
        <v>1</v>
      </c>
      <c r="H306" s="68">
        <v>0</v>
      </c>
      <c r="I306" s="36">
        <v>21</v>
      </c>
      <c r="J306" s="35">
        <f t="shared" si="350"/>
        <v>0</v>
      </c>
      <c r="K306" s="35">
        <f t="shared" si="351"/>
        <v>0</v>
      </c>
      <c r="L306" s="35">
        <f t="shared" si="352"/>
        <v>0</v>
      </c>
      <c r="M306" s="35">
        <f t="shared" si="353"/>
        <v>0</v>
      </c>
      <c r="N306" s="35">
        <v>0</v>
      </c>
      <c r="O306" s="35">
        <f t="shared" si="354"/>
        <v>0</v>
      </c>
      <c r="P306" s="37" t="s">
        <v>64</v>
      </c>
      <c r="Z306" s="35">
        <f t="shared" si="355"/>
        <v>0</v>
      </c>
      <c r="AB306" s="35">
        <f t="shared" si="356"/>
        <v>0</v>
      </c>
      <c r="AC306" s="35">
        <f t="shared" si="357"/>
        <v>0</v>
      </c>
      <c r="AD306" s="35">
        <f t="shared" si="358"/>
        <v>0</v>
      </c>
      <c r="AE306" s="35">
        <f t="shared" si="359"/>
        <v>0</v>
      </c>
      <c r="AF306" s="35">
        <f t="shared" si="360"/>
        <v>0</v>
      </c>
      <c r="AG306" s="35">
        <f t="shared" si="361"/>
        <v>0</v>
      </c>
      <c r="AH306" s="35">
        <f t="shared" si="362"/>
        <v>0</v>
      </c>
      <c r="AI306" s="12" t="s">
        <v>904</v>
      </c>
      <c r="AJ306" s="35">
        <f t="shared" si="363"/>
        <v>0</v>
      </c>
      <c r="AK306" s="35">
        <f t="shared" si="364"/>
        <v>0</v>
      </c>
      <c r="AL306" s="35">
        <f t="shared" si="365"/>
        <v>0</v>
      </c>
      <c r="AN306" s="35">
        <v>21</v>
      </c>
      <c r="AO306" s="35">
        <f t="shared" si="376"/>
        <v>0</v>
      </c>
      <c r="AP306" s="35">
        <f t="shared" si="377"/>
        <v>0</v>
      </c>
      <c r="AQ306" s="38" t="s">
        <v>65</v>
      </c>
      <c r="AV306" s="35">
        <f t="shared" si="366"/>
        <v>0</v>
      </c>
      <c r="AW306" s="35">
        <f t="shared" si="367"/>
        <v>0</v>
      </c>
      <c r="AX306" s="35">
        <f t="shared" si="368"/>
        <v>0</v>
      </c>
      <c r="AY306" s="38" t="s">
        <v>910</v>
      </c>
      <c r="AZ306" s="38" t="s">
        <v>911</v>
      </c>
      <c r="BA306" s="12" t="s">
        <v>912</v>
      </c>
      <c r="BC306" s="35">
        <f t="shared" si="369"/>
        <v>0</v>
      </c>
      <c r="BD306" s="35">
        <f t="shared" si="370"/>
        <v>0</v>
      </c>
      <c r="BE306" s="35">
        <v>0</v>
      </c>
      <c r="BF306" s="35">
        <f t="shared" si="371"/>
        <v>0</v>
      </c>
      <c r="BH306" s="35">
        <f t="shared" si="372"/>
        <v>0</v>
      </c>
      <c r="BI306" s="35">
        <f t="shared" si="373"/>
        <v>0</v>
      </c>
      <c r="BJ306" s="35">
        <f t="shared" si="374"/>
        <v>0</v>
      </c>
      <c r="BK306" s="38" t="s">
        <v>69</v>
      </c>
      <c r="BL306" s="35"/>
      <c r="BW306" s="35">
        <f t="shared" si="375"/>
        <v>21</v>
      </c>
      <c r="BX306" s="4" t="s">
        <v>929</v>
      </c>
    </row>
    <row r="307" spans="1:76" x14ac:dyDescent="0.25">
      <c r="A307" s="2" t="s">
        <v>930</v>
      </c>
      <c r="B307" s="3" t="s">
        <v>904</v>
      </c>
      <c r="C307" s="3" t="s">
        <v>928</v>
      </c>
      <c r="D307" s="70" t="s">
        <v>931</v>
      </c>
      <c r="E307" s="71"/>
      <c r="F307" s="3" t="s">
        <v>85</v>
      </c>
      <c r="G307" s="35">
        <v>2</v>
      </c>
      <c r="H307" s="68">
        <v>0</v>
      </c>
      <c r="I307" s="36">
        <v>21</v>
      </c>
      <c r="J307" s="35">
        <f t="shared" si="350"/>
        <v>0</v>
      </c>
      <c r="K307" s="35">
        <f t="shared" si="351"/>
        <v>0</v>
      </c>
      <c r="L307" s="35">
        <f t="shared" si="352"/>
        <v>0</v>
      </c>
      <c r="M307" s="35">
        <f t="shared" si="353"/>
        <v>0</v>
      </c>
      <c r="N307" s="35">
        <v>0</v>
      </c>
      <c r="O307" s="35">
        <f t="shared" si="354"/>
        <v>0</v>
      </c>
      <c r="P307" s="37" t="s">
        <v>64</v>
      </c>
      <c r="Z307" s="35">
        <f t="shared" si="355"/>
        <v>0</v>
      </c>
      <c r="AB307" s="35">
        <f t="shared" si="356"/>
        <v>0</v>
      </c>
      <c r="AC307" s="35">
        <f t="shared" si="357"/>
        <v>0</v>
      </c>
      <c r="AD307" s="35">
        <f t="shared" si="358"/>
        <v>0</v>
      </c>
      <c r="AE307" s="35">
        <f t="shared" si="359"/>
        <v>0</v>
      </c>
      <c r="AF307" s="35">
        <f t="shared" si="360"/>
        <v>0</v>
      </c>
      <c r="AG307" s="35">
        <f t="shared" si="361"/>
        <v>0</v>
      </c>
      <c r="AH307" s="35">
        <f t="shared" si="362"/>
        <v>0</v>
      </c>
      <c r="AI307" s="12" t="s">
        <v>904</v>
      </c>
      <c r="AJ307" s="35">
        <f t="shared" si="363"/>
        <v>0</v>
      </c>
      <c r="AK307" s="35">
        <f t="shared" si="364"/>
        <v>0</v>
      </c>
      <c r="AL307" s="35">
        <f t="shared" si="365"/>
        <v>0</v>
      </c>
      <c r="AN307" s="35">
        <v>21</v>
      </c>
      <c r="AO307" s="35">
        <f t="shared" si="376"/>
        <v>0</v>
      </c>
      <c r="AP307" s="35">
        <f t="shared" si="377"/>
        <v>0</v>
      </c>
      <c r="AQ307" s="38" t="s">
        <v>65</v>
      </c>
      <c r="AV307" s="35">
        <f t="shared" si="366"/>
        <v>0</v>
      </c>
      <c r="AW307" s="35">
        <f t="shared" si="367"/>
        <v>0</v>
      </c>
      <c r="AX307" s="35">
        <f t="shared" si="368"/>
        <v>0</v>
      </c>
      <c r="AY307" s="38" t="s">
        <v>910</v>
      </c>
      <c r="AZ307" s="38" t="s">
        <v>911</v>
      </c>
      <c r="BA307" s="12" t="s">
        <v>912</v>
      </c>
      <c r="BC307" s="35">
        <f t="shared" si="369"/>
        <v>0</v>
      </c>
      <c r="BD307" s="35">
        <f t="shared" si="370"/>
        <v>0</v>
      </c>
      <c r="BE307" s="35">
        <v>0</v>
      </c>
      <c r="BF307" s="35">
        <f t="shared" si="371"/>
        <v>0</v>
      </c>
      <c r="BH307" s="35">
        <f t="shared" si="372"/>
        <v>0</v>
      </c>
      <c r="BI307" s="35">
        <f t="shared" si="373"/>
        <v>0</v>
      </c>
      <c r="BJ307" s="35">
        <f t="shared" si="374"/>
        <v>0</v>
      </c>
      <c r="BK307" s="38" t="s">
        <v>69</v>
      </c>
      <c r="BL307" s="35"/>
      <c r="BW307" s="35">
        <f t="shared" si="375"/>
        <v>21</v>
      </c>
      <c r="BX307" s="4" t="s">
        <v>931</v>
      </c>
    </row>
    <row r="308" spans="1:76" x14ac:dyDescent="0.25">
      <c r="A308" s="2" t="s">
        <v>932</v>
      </c>
      <c r="B308" s="3" t="s">
        <v>904</v>
      </c>
      <c r="C308" s="3" t="s">
        <v>920</v>
      </c>
      <c r="D308" s="70" t="s">
        <v>933</v>
      </c>
      <c r="E308" s="71"/>
      <c r="F308" s="3" t="s">
        <v>85</v>
      </c>
      <c r="G308" s="35">
        <v>1</v>
      </c>
      <c r="H308" s="68">
        <v>0</v>
      </c>
      <c r="I308" s="36">
        <v>21</v>
      </c>
      <c r="J308" s="35">
        <f t="shared" si="350"/>
        <v>0</v>
      </c>
      <c r="K308" s="35">
        <f t="shared" si="351"/>
        <v>0</v>
      </c>
      <c r="L308" s="35">
        <f t="shared" si="352"/>
        <v>0</v>
      </c>
      <c r="M308" s="35">
        <f t="shared" si="353"/>
        <v>0</v>
      </c>
      <c r="N308" s="35">
        <v>0</v>
      </c>
      <c r="O308" s="35">
        <f t="shared" si="354"/>
        <v>0</v>
      </c>
      <c r="P308" s="37" t="s">
        <v>64</v>
      </c>
      <c r="Z308" s="35">
        <f t="shared" si="355"/>
        <v>0</v>
      </c>
      <c r="AB308" s="35">
        <f t="shared" si="356"/>
        <v>0</v>
      </c>
      <c r="AC308" s="35">
        <f t="shared" si="357"/>
        <v>0</v>
      </c>
      <c r="AD308" s="35">
        <f t="shared" si="358"/>
        <v>0</v>
      </c>
      <c r="AE308" s="35">
        <f t="shared" si="359"/>
        <v>0</v>
      </c>
      <c r="AF308" s="35">
        <f t="shared" si="360"/>
        <v>0</v>
      </c>
      <c r="AG308" s="35">
        <f t="shared" si="361"/>
        <v>0</v>
      </c>
      <c r="AH308" s="35">
        <f t="shared" si="362"/>
        <v>0</v>
      </c>
      <c r="AI308" s="12" t="s">
        <v>904</v>
      </c>
      <c r="AJ308" s="35">
        <f t="shared" si="363"/>
        <v>0</v>
      </c>
      <c r="AK308" s="35">
        <f t="shared" si="364"/>
        <v>0</v>
      </c>
      <c r="AL308" s="35">
        <f t="shared" si="365"/>
        <v>0</v>
      </c>
      <c r="AN308" s="35">
        <v>21</v>
      </c>
      <c r="AO308" s="35">
        <f t="shared" si="376"/>
        <v>0</v>
      </c>
      <c r="AP308" s="35">
        <f t="shared" si="377"/>
        <v>0</v>
      </c>
      <c r="AQ308" s="38" t="s">
        <v>65</v>
      </c>
      <c r="AV308" s="35">
        <f t="shared" si="366"/>
        <v>0</v>
      </c>
      <c r="AW308" s="35">
        <f t="shared" si="367"/>
        <v>0</v>
      </c>
      <c r="AX308" s="35">
        <f t="shared" si="368"/>
        <v>0</v>
      </c>
      <c r="AY308" s="38" t="s">
        <v>910</v>
      </c>
      <c r="AZ308" s="38" t="s">
        <v>911</v>
      </c>
      <c r="BA308" s="12" t="s">
        <v>912</v>
      </c>
      <c r="BC308" s="35">
        <f t="shared" si="369"/>
        <v>0</v>
      </c>
      <c r="BD308" s="35">
        <f t="shared" si="370"/>
        <v>0</v>
      </c>
      <c r="BE308" s="35">
        <v>0</v>
      </c>
      <c r="BF308" s="35">
        <f t="shared" si="371"/>
        <v>0</v>
      </c>
      <c r="BH308" s="35">
        <f t="shared" si="372"/>
        <v>0</v>
      </c>
      <c r="BI308" s="35">
        <f t="shared" si="373"/>
        <v>0</v>
      </c>
      <c r="BJ308" s="35">
        <f t="shared" si="374"/>
        <v>0</v>
      </c>
      <c r="BK308" s="38" t="s">
        <v>69</v>
      </c>
      <c r="BL308" s="35"/>
      <c r="BW308" s="35">
        <f t="shared" si="375"/>
        <v>21</v>
      </c>
      <c r="BX308" s="4" t="s">
        <v>933</v>
      </c>
    </row>
    <row r="309" spans="1:76" x14ac:dyDescent="0.25">
      <c r="A309" s="2" t="s">
        <v>934</v>
      </c>
      <c r="B309" s="3" t="s">
        <v>904</v>
      </c>
      <c r="C309" s="3" t="s">
        <v>935</v>
      </c>
      <c r="D309" s="70" t="s">
        <v>936</v>
      </c>
      <c r="E309" s="71"/>
      <c r="F309" s="3" t="s">
        <v>85</v>
      </c>
      <c r="G309" s="35">
        <v>6</v>
      </c>
      <c r="H309" s="68">
        <v>0</v>
      </c>
      <c r="I309" s="36">
        <v>21</v>
      </c>
      <c r="J309" s="35">
        <f t="shared" si="350"/>
        <v>0</v>
      </c>
      <c r="K309" s="35">
        <f t="shared" si="351"/>
        <v>0</v>
      </c>
      <c r="L309" s="35">
        <f t="shared" si="352"/>
        <v>0</v>
      </c>
      <c r="M309" s="35">
        <f t="shared" si="353"/>
        <v>0</v>
      </c>
      <c r="N309" s="35">
        <v>0</v>
      </c>
      <c r="O309" s="35">
        <f t="shared" si="354"/>
        <v>0</v>
      </c>
      <c r="P309" s="37" t="s">
        <v>64</v>
      </c>
      <c r="Z309" s="35">
        <f t="shared" si="355"/>
        <v>0</v>
      </c>
      <c r="AB309" s="35">
        <f t="shared" si="356"/>
        <v>0</v>
      </c>
      <c r="AC309" s="35">
        <f t="shared" si="357"/>
        <v>0</v>
      </c>
      <c r="AD309" s="35">
        <f t="shared" si="358"/>
        <v>0</v>
      </c>
      <c r="AE309" s="35">
        <f t="shared" si="359"/>
        <v>0</v>
      </c>
      <c r="AF309" s="35">
        <f t="shared" si="360"/>
        <v>0</v>
      </c>
      <c r="AG309" s="35">
        <f t="shared" si="361"/>
        <v>0</v>
      </c>
      <c r="AH309" s="35">
        <f t="shared" si="362"/>
        <v>0</v>
      </c>
      <c r="AI309" s="12" t="s">
        <v>904</v>
      </c>
      <c r="AJ309" s="35">
        <f t="shared" si="363"/>
        <v>0</v>
      </c>
      <c r="AK309" s="35">
        <f t="shared" si="364"/>
        <v>0</v>
      </c>
      <c r="AL309" s="35">
        <f t="shared" si="365"/>
        <v>0</v>
      </c>
      <c r="AN309" s="35">
        <v>21</v>
      </c>
      <c r="AO309" s="35">
        <f t="shared" si="376"/>
        <v>0</v>
      </c>
      <c r="AP309" s="35">
        <f t="shared" si="377"/>
        <v>0</v>
      </c>
      <c r="AQ309" s="38" t="s">
        <v>65</v>
      </c>
      <c r="AV309" s="35">
        <f t="shared" si="366"/>
        <v>0</v>
      </c>
      <c r="AW309" s="35">
        <f t="shared" si="367"/>
        <v>0</v>
      </c>
      <c r="AX309" s="35">
        <f t="shared" si="368"/>
        <v>0</v>
      </c>
      <c r="AY309" s="38" t="s">
        <v>910</v>
      </c>
      <c r="AZ309" s="38" t="s">
        <v>911</v>
      </c>
      <c r="BA309" s="12" t="s">
        <v>912</v>
      </c>
      <c r="BC309" s="35">
        <f t="shared" si="369"/>
        <v>0</v>
      </c>
      <c r="BD309" s="35">
        <f t="shared" si="370"/>
        <v>0</v>
      </c>
      <c r="BE309" s="35">
        <v>0</v>
      </c>
      <c r="BF309" s="35">
        <f t="shared" si="371"/>
        <v>0</v>
      </c>
      <c r="BH309" s="35">
        <f t="shared" si="372"/>
        <v>0</v>
      </c>
      <c r="BI309" s="35">
        <f t="shared" si="373"/>
        <v>0</v>
      </c>
      <c r="BJ309" s="35">
        <f t="shared" si="374"/>
        <v>0</v>
      </c>
      <c r="BK309" s="38" t="s">
        <v>69</v>
      </c>
      <c r="BL309" s="35"/>
      <c r="BW309" s="35">
        <f t="shared" si="375"/>
        <v>21</v>
      </c>
      <c r="BX309" s="4" t="s">
        <v>936</v>
      </c>
    </row>
    <row r="310" spans="1:76" x14ac:dyDescent="0.25">
      <c r="A310" s="2" t="s">
        <v>937</v>
      </c>
      <c r="B310" s="3" t="s">
        <v>904</v>
      </c>
      <c r="C310" s="3" t="s">
        <v>938</v>
      </c>
      <c r="D310" s="70" t="s">
        <v>939</v>
      </c>
      <c r="E310" s="71"/>
      <c r="F310" s="3" t="s">
        <v>85</v>
      </c>
      <c r="G310" s="35">
        <v>1</v>
      </c>
      <c r="H310" s="68">
        <v>0</v>
      </c>
      <c r="I310" s="36">
        <v>21</v>
      </c>
      <c r="J310" s="35">
        <f t="shared" si="350"/>
        <v>0</v>
      </c>
      <c r="K310" s="35">
        <f t="shared" si="351"/>
        <v>0</v>
      </c>
      <c r="L310" s="35">
        <f t="shared" si="352"/>
        <v>0</v>
      </c>
      <c r="M310" s="35">
        <f t="shared" si="353"/>
        <v>0</v>
      </c>
      <c r="N310" s="35">
        <v>0</v>
      </c>
      <c r="O310" s="35">
        <f t="shared" si="354"/>
        <v>0</v>
      </c>
      <c r="P310" s="37" t="s">
        <v>64</v>
      </c>
      <c r="Z310" s="35">
        <f t="shared" si="355"/>
        <v>0</v>
      </c>
      <c r="AB310" s="35">
        <f t="shared" si="356"/>
        <v>0</v>
      </c>
      <c r="AC310" s="35">
        <f t="shared" si="357"/>
        <v>0</v>
      </c>
      <c r="AD310" s="35">
        <f t="shared" si="358"/>
        <v>0</v>
      </c>
      <c r="AE310" s="35">
        <f t="shared" si="359"/>
        <v>0</v>
      </c>
      <c r="AF310" s="35">
        <f t="shared" si="360"/>
        <v>0</v>
      </c>
      <c r="AG310" s="35">
        <f t="shared" si="361"/>
        <v>0</v>
      </c>
      <c r="AH310" s="35">
        <f t="shared" si="362"/>
        <v>0</v>
      </c>
      <c r="AI310" s="12" t="s">
        <v>904</v>
      </c>
      <c r="AJ310" s="35">
        <f t="shared" si="363"/>
        <v>0</v>
      </c>
      <c r="AK310" s="35">
        <f t="shared" si="364"/>
        <v>0</v>
      </c>
      <c r="AL310" s="35">
        <f t="shared" si="365"/>
        <v>0</v>
      </c>
      <c r="AN310" s="35">
        <v>21</v>
      </c>
      <c r="AO310" s="35">
        <f t="shared" si="376"/>
        <v>0</v>
      </c>
      <c r="AP310" s="35">
        <f t="shared" si="377"/>
        <v>0</v>
      </c>
      <c r="AQ310" s="38" t="s">
        <v>65</v>
      </c>
      <c r="AV310" s="35">
        <f t="shared" si="366"/>
        <v>0</v>
      </c>
      <c r="AW310" s="35">
        <f t="shared" si="367"/>
        <v>0</v>
      </c>
      <c r="AX310" s="35">
        <f t="shared" si="368"/>
        <v>0</v>
      </c>
      <c r="AY310" s="38" t="s">
        <v>910</v>
      </c>
      <c r="AZ310" s="38" t="s">
        <v>911</v>
      </c>
      <c r="BA310" s="12" t="s">
        <v>912</v>
      </c>
      <c r="BC310" s="35">
        <f t="shared" si="369"/>
        <v>0</v>
      </c>
      <c r="BD310" s="35">
        <f t="shared" si="370"/>
        <v>0</v>
      </c>
      <c r="BE310" s="35">
        <v>0</v>
      </c>
      <c r="BF310" s="35">
        <f t="shared" si="371"/>
        <v>0</v>
      </c>
      <c r="BH310" s="35">
        <f t="shared" si="372"/>
        <v>0</v>
      </c>
      <c r="BI310" s="35">
        <f t="shared" si="373"/>
        <v>0</v>
      </c>
      <c r="BJ310" s="35">
        <f t="shared" si="374"/>
        <v>0</v>
      </c>
      <c r="BK310" s="38" t="s">
        <v>69</v>
      </c>
      <c r="BL310" s="35"/>
      <c r="BW310" s="35">
        <f t="shared" si="375"/>
        <v>21</v>
      </c>
      <c r="BX310" s="4" t="s">
        <v>939</v>
      </c>
    </row>
    <row r="311" spans="1:76" ht="25.5" x14ac:dyDescent="0.25">
      <c r="A311" s="2" t="s">
        <v>940</v>
      </c>
      <c r="B311" s="3" t="s">
        <v>904</v>
      </c>
      <c r="C311" s="3" t="s">
        <v>938</v>
      </c>
      <c r="D311" s="70" t="s">
        <v>941</v>
      </c>
      <c r="E311" s="71"/>
      <c r="F311" s="3" t="s">
        <v>85</v>
      </c>
      <c r="G311" s="35">
        <v>1</v>
      </c>
      <c r="H311" s="68">
        <v>0</v>
      </c>
      <c r="I311" s="36">
        <v>21</v>
      </c>
      <c r="J311" s="35">
        <f t="shared" si="350"/>
        <v>0</v>
      </c>
      <c r="K311" s="35">
        <f t="shared" si="351"/>
        <v>0</v>
      </c>
      <c r="L311" s="35">
        <f t="shared" si="352"/>
        <v>0</v>
      </c>
      <c r="M311" s="35">
        <f t="shared" si="353"/>
        <v>0</v>
      </c>
      <c r="N311" s="35">
        <v>0</v>
      </c>
      <c r="O311" s="35">
        <f t="shared" si="354"/>
        <v>0</v>
      </c>
      <c r="P311" s="37" t="s">
        <v>64</v>
      </c>
      <c r="Z311" s="35">
        <f t="shared" si="355"/>
        <v>0</v>
      </c>
      <c r="AB311" s="35">
        <f t="shared" si="356"/>
        <v>0</v>
      </c>
      <c r="AC311" s="35">
        <f t="shared" si="357"/>
        <v>0</v>
      </c>
      <c r="AD311" s="35">
        <f t="shared" si="358"/>
        <v>0</v>
      </c>
      <c r="AE311" s="35">
        <f t="shared" si="359"/>
        <v>0</v>
      </c>
      <c r="AF311" s="35">
        <f t="shared" si="360"/>
        <v>0</v>
      </c>
      <c r="AG311" s="35">
        <f t="shared" si="361"/>
        <v>0</v>
      </c>
      <c r="AH311" s="35">
        <f t="shared" si="362"/>
        <v>0</v>
      </c>
      <c r="AI311" s="12" t="s">
        <v>904</v>
      </c>
      <c r="AJ311" s="35">
        <f t="shared" si="363"/>
        <v>0</v>
      </c>
      <c r="AK311" s="35">
        <f t="shared" si="364"/>
        <v>0</v>
      </c>
      <c r="AL311" s="35">
        <f t="shared" si="365"/>
        <v>0</v>
      </c>
      <c r="AN311" s="35">
        <v>21</v>
      </c>
      <c r="AO311" s="35">
        <f t="shared" si="376"/>
        <v>0</v>
      </c>
      <c r="AP311" s="35">
        <f t="shared" si="377"/>
        <v>0</v>
      </c>
      <c r="AQ311" s="38" t="s">
        <v>65</v>
      </c>
      <c r="AV311" s="35">
        <f t="shared" si="366"/>
        <v>0</v>
      </c>
      <c r="AW311" s="35">
        <f t="shared" si="367"/>
        <v>0</v>
      </c>
      <c r="AX311" s="35">
        <f t="shared" si="368"/>
        <v>0</v>
      </c>
      <c r="AY311" s="38" t="s">
        <v>910</v>
      </c>
      <c r="AZ311" s="38" t="s">
        <v>911</v>
      </c>
      <c r="BA311" s="12" t="s">
        <v>912</v>
      </c>
      <c r="BC311" s="35">
        <f t="shared" si="369"/>
        <v>0</v>
      </c>
      <c r="BD311" s="35">
        <f t="shared" si="370"/>
        <v>0</v>
      </c>
      <c r="BE311" s="35">
        <v>0</v>
      </c>
      <c r="BF311" s="35">
        <f t="shared" si="371"/>
        <v>0</v>
      </c>
      <c r="BH311" s="35">
        <f t="shared" si="372"/>
        <v>0</v>
      </c>
      <c r="BI311" s="35">
        <f t="shared" si="373"/>
        <v>0</v>
      </c>
      <c r="BJ311" s="35">
        <f t="shared" si="374"/>
        <v>0</v>
      </c>
      <c r="BK311" s="38" t="s">
        <v>69</v>
      </c>
      <c r="BL311" s="35"/>
      <c r="BW311" s="35">
        <f t="shared" si="375"/>
        <v>21</v>
      </c>
      <c r="BX311" s="4" t="s">
        <v>941</v>
      </c>
    </row>
    <row r="312" spans="1:76" x14ac:dyDescent="0.25">
      <c r="A312" s="2" t="s">
        <v>942</v>
      </c>
      <c r="B312" s="3" t="s">
        <v>904</v>
      </c>
      <c r="C312" s="3" t="s">
        <v>943</v>
      </c>
      <c r="D312" s="70" t="s">
        <v>944</v>
      </c>
      <c r="E312" s="71"/>
      <c r="F312" s="3" t="s">
        <v>85</v>
      </c>
      <c r="G312" s="35">
        <v>1</v>
      </c>
      <c r="H312" s="68">
        <v>0</v>
      </c>
      <c r="I312" s="36">
        <v>21</v>
      </c>
      <c r="J312" s="35">
        <f t="shared" si="350"/>
        <v>0</v>
      </c>
      <c r="K312" s="35">
        <f t="shared" si="351"/>
        <v>0</v>
      </c>
      <c r="L312" s="35">
        <f t="shared" si="352"/>
        <v>0</v>
      </c>
      <c r="M312" s="35">
        <f t="shared" si="353"/>
        <v>0</v>
      </c>
      <c r="N312" s="35">
        <v>0</v>
      </c>
      <c r="O312" s="35">
        <f t="shared" si="354"/>
        <v>0</v>
      </c>
      <c r="P312" s="37" t="s">
        <v>64</v>
      </c>
      <c r="Z312" s="35">
        <f t="shared" si="355"/>
        <v>0</v>
      </c>
      <c r="AB312" s="35">
        <f t="shared" si="356"/>
        <v>0</v>
      </c>
      <c r="AC312" s="35">
        <f t="shared" si="357"/>
        <v>0</v>
      </c>
      <c r="AD312" s="35">
        <f t="shared" si="358"/>
        <v>0</v>
      </c>
      <c r="AE312" s="35">
        <f t="shared" si="359"/>
        <v>0</v>
      </c>
      <c r="AF312" s="35">
        <f t="shared" si="360"/>
        <v>0</v>
      </c>
      <c r="AG312" s="35">
        <f t="shared" si="361"/>
        <v>0</v>
      </c>
      <c r="AH312" s="35">
        <f t="shared" si="362"/>
        <v>0</v>
      </c>
      <c r="AI312" s="12" t="s">
        <v>904</v>
      </c>
      <c r="AJ312" s="35">
        <f t="shared" si="363"/>
        <v>0</v>
      </c>
      <c r="AK312" s="35">
        <f t="shared" si="364"/>
        <v>0</v>
      </c>
      <c r="AL312" s="35">
        <f t="shared" si="365"/>
        <v>0</v>
      </c>
      <c r="AN312" s="35">
        <v>21</v>
      </c>
      <c r="AO312" s="35">
        <f t="shared" si="376"/>
        <v>0</v>
      </c>
      <c r="AP312" s="35">
        <f t="shared" si="377"/>
        <v>0</v>
      </c>
      <c r="AQ312" s="38" t="s">
        <v>65</v>
      </c>
      <c r="AV312" s="35">
        <f t="shared" si="366"/>
        <v>0</v>
      </c>
      <c r="AW312" s="35">
        <f t="shared" si="367"/>
        <v>0</v>
      </c>
      <c r="AX312" s="35">
        <f t="shared" si="368"/>
        <v>0</v>
      </c>
      <c r="AY312" s="38" t="s">
        <v>910</v>
      </c>
      <c r="AZ312" s="38" t="s">
        <v>911</v>
      </c>
      <c r="BA312" s="12" t="s">
        <v>912</v>
      </c>
      <c r="BC312" s="35">
        <f t="shared" si="369"/>
        <v>0</v>
      </c>
      <c r="BD312" s="35">
        <f t="shared" si="370"/>
        <v>0</v>
      </c>
      <c r="BE312" s="35">
        <v>0</v>
      </c>
      <c r="BF312" s="35">
        <f t="shared" si="371"/>
        <v>0</v>
      </c>
      <c r="BH312" s="35">
        <f t="shared" si="372"/>
        <v>0</v>
      </c>
      <c r="BI312" s="35">
        <f t="shared" si="373"/>
        <v>0</v>
      </c>
      <c r="BJ312" s="35">
        <f t="shared" si="374"/>
        <v>0</v>
      </c>
      <c r="BK312" s="38" t="s">
        <v>69</v>
      </c>
      <c r="BL312" s="35"/>
      <c r="BW312" s="35">
        <f t="shared" si="375"/>
        <v>21</v>
      </c>
      <c r="BX312" s="4" t="s">
        <v>944</v>
      </c>
    </row>
    <row r="313" spans="1:76" x14ac:dyDescent="0.25">
      <c r="A313" s="2" t="s">
        <v>945</v>
      </c>
      <c r="B313" s="3" t="s">
        <v>904</v>
      </c>
      <c r="C313" s="3" t="s">
        <v>943</v>
      </c>
      <c r="D313" s="70" t="s">
        <v>946</v>
      </c>
      <c r="E313" s="71"/>
      <c r="F313" s="3" t="s">
        <v>85</v>
      </c>
      <c r="G313" s="35">
        <v>1</v>
      </c>
      <c r="H313" s="68">
        <v>0</v>
      </c>
      <c r="I313" s="36">
        <v>21</v>
      </c>
      <c r="J313" s="35">
        <f t="shared" si="350"/>
        <v>0</v>
      </c>
      <c r="K313" s="35">
        <f t="shared" si="351"/>
        <v>0</v>
      </c>
      <c r="L313" s="35">
        <f t="shared" si="352"/>
        <v>0</v>
      </c>
      <c r="M313" s="35">
        <f t="shared" si="353"/>
        <v>0</v>
      </c>
      <c r="N313" s="35">
        <v>0</v>
      </c>
      <c r="O313" s="35">
        <f t="shared" si="354"/>
        <v>0</v>
      </c>
      <c r="P313" s="37" t="s">
        <v>64</v>
      </c>
      <c r="Z313" s="35">
        <f t="shared" si="355"/>
        <v>0</v>
      </c>
      <c r="AB313" s="35">
        <f t="shared" si="356"/>
        <v>0</v>
      </c>
      <c r="AC313" s="35">
        <f t="shared" si="357"/>
        <v>0</v>
      </c>
      <c r="AD313" s="35">
        <f t="shared" si="358"/>
        <v>0</v>
      </c>
      <c r="AE313" s="35">
        <f t="shared" si="359"/>
        <v>0</v>
      </c>
      <c r="AF313" s="35">
        <f t="shared" si="360"/>
        <v>0</v>
      </c>
      <c r="AG313" s="35">
        <f t="shared" si="361"/>
        <v>0</v>
      </c>
      <c r="AH313" s="35">
        <f t="shared" si="362"/>
        <v>0</v>
      </c>
      <c r="AI313" s="12" t="s">
        <v>904</v>
      </c>
      <c r="AJ313" s="35">
        <f t="shared" si="363"/>
        <v>0</v>
      </c>
      <c r="AK313" s="35">
        <f t="shared" si="364"/>
        <v>0</v>
      </c>
      <c r="AL313" s="35">
        <f t="shared" si="365"/>
        <v>0</v>
      </c>
      <c r="AN313" s="35">
        <v>21</v>
      </c>
      <c r="AO313" s="35">
        <f t="shared" si="376"/>
        <v>0</v>
      </c>
      <c r="AP313" s="35">
        <f t="shared" si="377"/>
        <v>0</v>
      </c>
      <c r="AQ313" s="38" t="s">
        <v>65</v>
      </c>
      <c r="AV313" s="35">
        <f t="shared" si="366"/>
        <v>0</v>
      </c>
      <c r="AW313" s="35">
        <f t="shared" si="367"/>
        <v>0</v>
      </c>
      <c r="AX313" s="35">
        <f t="shared" si="368"/>
        <v>0</v>
      </c>
      <c r="AY313" s="38" t="s">
        <v>910</v>
      </c>
      <c r="AZ313" s="38" t="s">
        <v>911</v>
      </c>
      <c r="BA313" s="12" t="s">
        <v>912</v>
      </c>
      <c r="BC313" s="35">
        <f t="shared" si="369"/>
        <v>0</v>
      </c>
      <c r="BD313" s="35">
        <f t="shared" si="370"/>
        <v>0</v>
      </c>
      <c r="BE313" s="35">
        <v>0</v>
      </c>
      <c r="BF313" s="35">
        <f t="shared" si="371"/>
        <v>0</v>
      </c>
      <c r="BH313" s="35">
        <f t="shared" si="372"/>
        <v>0</v>
      </c>
      <c r="BI313" s="35">
        <f t="shared" si="373"/>
        <v>0</v>
      </c>
      <c r="BJ313" s="35">
        <f t="shared" si="374"/>
        <v>0</v>
      </c>
      <c r="BK313" s="38" t="s">
        <v>69</v>
      </c>
      <c r="BL313" s="35"/>
      <c r="BW313" s="35">
        <f t="shared" si="375"/>
        <v>21</v>
      </c>
      <c r="BX313" s="4" t="s">
        <v>946</v>
      </c>
    </row>
    <row r="314" spans="1:76" x14ac:dyDescent="0.25">
      <c r="A314" s="2" t="s">
        <v>947</v>
      </c>
      <c r="B314" s="3" t="s">
        <v>904</v>
      </c>
      <c r="C314" s="3" t="s">
        <v>948</v>
      </c>
      <c r="D314" s="70" t="s">
        <v>949</v>
      </c>
      <c r="E314" s="71"/>
      <c r="F314" s="3" t="s">
        <v>85</v>
      </c>
      <c r="G314" s="35">
        <v>5</v>
      </c>
      <c r="H314" s="68">
        <v>0</v>
      </c>
      <c r="I314" s="36">
        <v>21</v>
      </c>
      <c r="J314" s="35">
        <f t="shared" si="350"/>
        <v>0</v>
      </c>
      <c r="K314" s="35">
        <f t="shared" si="351"/>
        <v>0</v>
      </c>
      <c r="L314" s="35">
        <f t="shared" si="352"/>
        <v>0</v>
      </c>
      <c r="M314" s="35">
        <f t="shared" si="353"/>
        <v>0</v>
      </c>
      <c r="N314" s="35">
        <v>0</v>
      </c>
      <c r="O314" s="35">
        <f t="shared" si="354"/>
        <v>0</v>
      </c>
      <c r="P314" s="37" t="s">
        <v>64</v>
      </c>
      <c r="Z314" s="35">
        <f t="shared" si="355"/>
        <v>0</v>
      </c>
      <c r="AB314" s="35">
        <f t="shared" si="356"/>
        <v>0</v>
      </c>
      <c r="AC314" s="35">
        <f t="shared" si="357"/>
        <v>0</v>
      </c>
      <c r="AD314" s="35">
        <f t="shared" si="358"/>
        <v>0</v>
      </c>
      <c r="AE314" s="35">
        <f t="shared" si="359"/>
        <v>0</v>
      </c>
      <c r="AF314" s="35">
        <f t="shared" si="360"/>
        <v>0</v>
      </c>
      <c r="AG314" s="35">
        <f t="shared" si="361"/>
        <v>0</v>
      </c>
      <c r="AH314" s="35">
        <f t="shared" si="362"/>
        <v>0</v>
      </c>
      <c r="AI314" s="12" t="s">
        <v>904</v>
      </c>
      <c r="AJ314" s="35">
        <f t="shared" si="363"/>
        <v>0</v>
      </c>
      <c r="AK314" s="35">
        <f t="shared" si="364"/>
        <v>0</v>
      </c>
      <c r="AL314" s="35">
        <f t="shared" si="365"/>
        <v>0</v>
      </c>
      <c r="AN314" s="35">
        <v>21</v>
      </c>
      <c r="AO314" s="35">
        <f t="shared" si="376"/>
        <v>0</v>
      </c>
      <c r="AP314" s="35">
        <f t="shared" si="377"/>
        <v>0</v>
      </c>
      <c r="AQ314" s="38" t="s">
        <v>65</v>
      </c>
      <c r="AV314" s="35">
        <f t="shared" si="366"/>
        <v>0</v>
      </c>
      <c r="AW314" s="35">
        <f t="shared" si="367"/>
        <v>0</v>
      </c>
      <c r="AX314" s="35">
        <f t="shared" si="368"/>
        <v>0</v>
      </c>
      <c r="AY314" s="38" t="s">
        <v>910</v>
      </c>
      <c r="AZ314" s="38" t="s">
        <v>911</v>
      </c>
      <c r="BA314" s="12" t="s">
        <v>912</v>
      </c>
      <c r="BC314" s="35">
        <f t="shared" si="369"/>
        <v>0</v>
      </c>
      <c r="BD314" s="35">
        <f t="shared" si="370"/>
        <v>0</v>
      </c>
      <c r="BE314" s="35">
        <v>0</v>
      </c>
      <c r="BF314" s="35">
        <f t="shared" si="371"/>
        <v>0</v>
      </c>
      <c r="BH314" s="35">
        <f t="shared" si="372"/>
        <v>0</v>
      </c>
      <c r="BI314" s="35">
        <f t="shared" si="373"/>
        <v>0</v>
      </c>
      <c r="BJ314" s="35">
        <f t="shared" si="374"/>
        <v>0</v>
      </c>
      <c r="BK314" s="38" t="s">
        <v>69</v>
      </c>
      <c r="BL314" s="35"/>
      <c r="BW314" s="35">
        <f t="shared" si="375"/>
        <v>21</v>
      </c>
      <c r="BX314" s="4" t="s">
        <v>949</v>
      </c>
    </row>
    <row r="315" spans="1:76" x14ac:dyDescent="0.25">
      <c r="A315" s="2" t="s">
        <v>950</v>
      </c>
      <c r="B315" s="3" t="s">
        <v>904</v>
      </c>
      <c r="C315" s="3" t="s">
        <v>951</v>
      </c>
      <c r="D315" s="70" t="s">
        <v>952</v>
      </c>
      <c r="E315" s="71"/>
      <c r="F315" s="3" t="s">
        <v>85</v>
      </c>
      <c r="G315" s="35">
        <v>6</v>
      </c>
      <c r="H315" s="68">
        <v>0</v>
      </c>
      <c r="I315" s="36">
        <v>21</v>
      </c>
      <c r="J315" s="35">
        <f t="shared" si="350"/>
        <v>0</v>
      </c>
      <c r="K315" s="35">
        <f t="shared" si="351"/>
        <v>0</v>
      </c>
      <c r="L315" s="35">
        <f t="shared" si="352"/>
        <v>0</v>
      </c>
      <c r="M315" s="35">
        <f t="shared" si="353"/>
        <v>0</v>
      </c>
      <c r="N315" s="35">
        <v>0</v>
      </c>
      <c r="O315" s="35">
        <f t="shared" si="354"/>
        <v>0</v>
      </c>
      <c r="P315" s="37" t="s">
        <v>64</v>
      </c>
      <c r="Z315" s="35">
        <f t="shared" si="355"/>
        <v>0</v>
      </c>
      <c r="AB315" s="35">
        <f t="shared" si="356"/>
        <v>0</v>
      </c>
      <c r="AC315" s="35">
        <f t="shared" si="357"/>
        <v>0</v>
      </c>
      <c r="AD315" s="35">
        <f t="shared" si="358"/>
        <v>0</v>
      </c>
      <c r="AE315" s="35">
        <f t="shared" si="359"/>
        <v>0</v>
      </c>
      <c r="AF315" s="35">
        <f t="shared" si="360"/>
        <v>0</v>
      </c>
      <c r="AG315" s="35">
        <f t="shared" si="361"/>
        <v>0</v>
      </c>
      <c r="AH315" s="35">
        <f t="shared" si="362"/>
        <v>0</v>
      </c>
      <c r="AI315" s="12" t="s">
        <v>904</v>
      </c>
      <c r="AJ315" s="35">
        <f t="shared" si="363"/>
        <v>0</v>
      </c>
      <c r="AK315" s="35">
        <f t="shared" si="364"/>
        <v>0</v>
      </c>
      <c r="AL315" s="35">
        <f t="shared" si="365"/>
        <v>0</v>
      </c>
      <c r="AN315" s="35">
        <v>21</v>
      </c>
      <c r="AO315" s="35">
        <f t="shared" si="376"/>
        <v>0</v>
      </c>
      <c r="AP315" s="35">
        <f t="shared" si="377"/>
        <v>0</v>
      </c>
      <c r="AQ315" s="38" t="s">
        <v>65</v>
      </c>
      <c r="AV315" s="35">
        <f t="shared" si="366"/>
        <v>0</v>
      </c>
      <c r="AW315" s="35">
        <f t="shared" si="367"/>
        <v>0</v>
      </c>
      <c r="AX315" s="35">
        <f t="shared" si="368"/>
        <v>0</v>
      </c>
      <c r="AY315" s="38" t="s">
        <v>910</v>
      </c>
      <c r="AZ315" s="38" t="s">
        <v>911</v>
      </c>
      <c r="BA315" s="12" t="s">
        <v>912</v>
      </c>
      <c r="BC315" s="35">
        <f t="shared" si="369"/>
        <v>0</v>
      </c>
      <c r="BD315" s="35">
        <f t="shared" si="370"/>
        <v>0</v>
      </c>
      <c r="BE315" s="35">
        <v>0</v>
      </c>
      <c r="BF315" s="35">
        <f t="shared" si="371"/>
        <v>0</v>
      </c>
      <c r="BH315" s="35">
        <f t="shared" si="372"/>
        <v>0</v>
      </c>
      <c r="BI315" s="35">
        <f t="shared" si="373"/>
        <v>0</v>
      </c>
      <c r="BJ315" s="35">
        <f t="shared" si="374"/>
        <v>0</v>
      </c>
      <c r="BK315" s="38" t="s">
        <v>69</v>
      </c>
      <c r="BL315" s="35"/>
      <c r="BW315" s="35">
        <f t="shared" si="375"/>
        <v>21</v>
      </c>
      <c r="BX315" s="4" t="s">
        <v>952</v>
      </c>
    </row>
    <row r="316" spans="1:76" x14ac:dyDescent="0.25">
      <c r="A316" s="2" t="s">
        <v>953</v>
      </c>
      <c r="B316" s="3" t="s">
        <v>904</v>
      </c>
      <c r="C316" s="3" t="s">
        <v>954</v>
      </c>
      <c r="D316" s="70" t="s">
        <v>955</v>
      </c>
      <c r="E316" s="71"/>
      <c r="F316" s="3" t="s">
        <v>63</v>
      </c>
      <c r="G316" s="35">
        <v>2</v>
      </c>
      <c r="H316" s="68">
        <v>0</v>
      </c>
      <c r="I316" s="36">
        <v>21</v>
      </c>
      <c r="J316" s="35">
        <f t="shared" si="350"/>
        <v>0</v>
      </c>
      <c r="K316" s="35">
        <f t="shared" si="351"/>
        <v>0</v>
      </c>
      <c r="L316" s="35">
        <f t="shared" si="352"/>
        <v>0</v>
      </c>
      <c r="M316" s="35">
        <f t="shared" si="353"/>
        <v>0</v>
      </c>
      <c r="N316" s="35">
        <v>0</v>
      </c>
      <c r="O316" s="35">
        <f t="shared" si="354"/>
        <v>0</v>
      </c>
      <c r="P316" s="37" t="s">
        <v>64</v>
      </c>
      <c r="Z316" s="35">
        <f t="shared" si="355"/>
        <v>0</v>
      </c>
      <c r="AB316" s="35">
        <f t="shared" si="356"/>
        <v>0</v>
      </c>
      <c r="AC316" s="35">
        <f t="shared" si="357"/>
        <v>0</v>
      </c>
      <c r="AD316" s="35">
        <f t="shared" si="358"/>
        <v>0</v>
      </c>
      <c r="AE316" s="35">
        <f t="shared" si="359"/>
        <v>0</v>
      </c>
      <c r="AF316" s="35">
        <f t="shared" si="360"/>
        <v>0</v>
      </c>
      <c r="AG316" s="35">
        <f t="shared" si="361"/>
        <v>0</v>
      </c>
      <c r="AH316" s="35">
        <f t="shared" si="362"/>
        <v>0</v>
      </c>
      <c r="AI316" s="12" t="s">
        <v>904</v>
      </c>
      <c r="AJ316" s="35">
        <f t="shared" si="363"/>
        <v>0</v>
      </c>
      <c r="AK316" s="35">
        <f t="shared" si="364"/>
        <v>0</v>
      </c>
      <c r="AL316" s="35">
        <f t="shared" si="365"/>
        <v>0</v>
      </c>
      <c r="AN316" s="35">
        <v>21</v>
      </c>
      <c r="AO316" s="35">
        <f t="shared" si="376"/>
        <v>0</v>
      </c>
      <c r="AP316" s="35">
        <f t="shared" si="377"/>
        <v>0</v>
      </c>
      <c r="AQ316" s="38" t="s">
        <v>65</v>
      </c>
      <c r="AV316" s="35">
        <f t="shared" si="366"/>
        <v>0</v>
      </c>
      <c r="AW316" s="35">
        <f t="shared" si="367"/>
        <v>0</v>
      </c>
      <c r="AX316" s="35">
        <f t="shared" si="368"/>
        <v>0</v>
      </c>
      <c r="AY316" s="38" t="s">
        <v>910</v>
      </c>
      <c r="AZ316" s="38" t="s">
        <v>911</v>
      </c>
      <c r="BA316" s="12" t="s">
        <v>912</v>
      </c>
      <c r="BC316" s="35">
        <f t="shared" si="369"/>
        <v>0</v>
      </c>
      <c r="BD316" s="35">
        <f t="shared" si="370"/>
        <v>0</v>
      </c>
      <c r="BE316" s="35">
        <v>0</v>
      </c>
      <c r="BF316" s="35">
        <f t="shared" si="371"/>
        <v>0</v>
      </c>
      <c r="BH316" s="35">
        <f t="shared" si="372"/>
        <v>0</v>
      </c>
      <c r="BI316" s="35">
        <f t="shared" si="373"/>
        <v>0</v>
      </c>
      <c r="BJ316" s="35">
        <f t="shared" si="374"/>
        <v>0</v>
      </c>
      <c r="BK316" s="38" t="s">
        <v>69</v>
      </c>
      <c r="BL316" s="35"/>
      <c r="BW316" s="35">
        <f t="shared" si="375"/>
        <v>21</v>
      </c>
      <c r="BX316" s="4" t="s">
        <v>955</v>
      </c>
    </row>
    <row r="317" spans="1:76" x14ac:dyDescent="0.25">
      <c r="A317" s="2" t="s">
        <v>956</v>
      </c>
      <c r="B317" s="3" t="s">
        <v>904</v>
      </c>
      <c r="C317" s="3" t="s">
        <v>957</v>
      </c>
      <c r="D317" s="70" t="s">
        <v>958</v>
      </c>
      <c r="E317" s="71"/>
      <c r="F317" s="3" t="s">
        <v>85</v>
      </c>
      <c r="G317" s="35">
        <v>2</v>
      </c>
      <c r="H317" s="68">
        <v>0</v>
      </c>
      <c r="I317" s="36">
        <v>21</v>
      </c>
      <c r="J317" s="35">
        <f t="shared" si="350"/>
        <v>0</v>
      </c>
      <c r="K317" s="35">
        <f t="shared" si="351"/>
        <v>0</v>
      </c>
      <c r="L317" s="35">
        <f t="shared" si="352"/>
        <v>0</v>
      </c>
      <c r="M317" s="35">
        <f t="shared" si="353"/>
        <v>0</v>
      </c>
      <c r="N317" s="35">
        <v>0</v>
      </c>
      <c r="O317" s="35">
        <f t="shared" si="354"/>
        <v>0</v>
      </c>
      <c r="P317" s="37" t="s">
        <v>64</v>
      </c>
      <c r="Z317" s="35">
        <f t="shared" si="355"/>
        <v>0</v>
      </c>
      <c r="AB317" s="35">
        <f t="shared" si="356"/>
        <v>0</v>
      </c>
      <c r="AC317" s="35">
        <f t="shared" si="357"/>
        <v>0</v>
      </c>
      <c r="AD317" s="35">
        <f t="shared" si="358"/>
        <v>0</v>
      </c>
      <c r="AE317" s="35">
        <f t="shared" si="359"/>
        <v>0</v>
      </c>
      <c r="AF317" s="35">
        <f t="shared" si="360"/>
        <v>0</v>
      </c>
      <c r="AG317" s="35">
        <f t="shared" si="361"/>
        <v>0</v>
      </c>
      <c r="AH317" s="35">
        <f t="shared" si="362"/>
        <v>0</v>
      </c>
      <c r="AI317" s="12" t="s">
        <v>904</v>
      </c>
      <c r="AJ317" s="35">
        <f t="shared" si="363"/>
        <v>0</v>
      </c>
      <c r="AK317" s="35">
        <f t="shared" si="364"/>
        <v>0</v>
      </c>
      <c r="AL317" s="35">
        <f t="shared" si="365"/>
        <v>0</v>
      </c>
      <c r="AN317" s="35">
        <v>21</v>
      </c>
      <c r="AO317" s="35">
        <f t="shared" si="376"/>
        <v>0</v>
      </c>
      <c r="AP317" s="35">
        <f t="shared" si="377"/>
        <v>0</v>
      </c>
      <c r="AQ317" s="38" t="s">
        <v>65</v>
      </c>
      <c r="AV317" s="35">
        <f t="shared" si="366"/>
        <v>0</v>
      </c>
      <c r="AW317" s="35">
        <f t="shared" si="367"/>
        <v>0</v>
      </c>
      <c r="AX317" s="35">
        <f t="shared" si="368"/>
        <v>0</v>
      </c>
      <c r="AY317" s="38" t="s">
        <v>910</v>
      </c>
      <c r="AZ317" s="38" t="s">
        <v>911</v>
      </c>
      <c r="BA317" s="12" t="s">
        <v>912</v>
      </c>
      <c r="BC317" s="35">
        <f t="shared" si="369"/>
        <v>0</v>
      </c>
      <c r="BD317" s="35">
        <f t="shared" si="370"/>
        <v>0</v>
      </c>
      <c r="BE317" s="35">
        <v>0</v>
      </c>
      <c r="BF317" s="35">
        <f t="shared" si="371"/>
        <v>0</v>
      </c>
      <c r="BH317" s="35">
        <f t="shared" si="372"/>
        <v>0</v>
      </c>
      <c r="BI317" s="35">
        <f t="shared" si="373"/>
        <v>0</v>
      </c>
      <c r="BJ317" s="35">
        <f t="shared" si="374"/>
        <v>0</v>
      </c>
      <c r="BK317" s="38" t="s">
        <v>69</v>
      </c>
      <c r="BL317" s="35"/>
      <c r="BW317" s="35">
        <f t="shared" si="375"/>
        <v>21</v>
      </c>
      <c r="BX317" s="4" t="s">
        <v>958</v>
      </c>
    </row>
    <row r="318" spans="1:76" x14ac:dyDescent="0.25">
      <c r="A318" s="2" t="s">
        <v>959</v>
      </c>
      <c r="B318" s="3" t="s">
        <v>904</v>
      </c>
      <c r="C318" s="3" t="s">
        <v>935</v>
      </c>
      <c r="D318" s="70" t="s">
        <v>960</v>
      </c>
      <c r="E318" s="71"/>
      <c r="F318" s="3" t="s">
        <v>85</v>
      </c>
      <c r="G318" s="35">
        <v>2</v>
      </c>
      <c r="H318" s="68">
        <v>0</v>
      </c>
      <c r="I318" s="36">
        <v>21</v>
      </c>
      <c r="J318" s="35">
        <f t="shared" si="350"/>
        <v>0</v>
      </c>
      <c r="K318" s="35">
        <f t="shared" si="351"/>
        <v>0</v>
      </c>
      <c r="L318" s="35">
        <f t="shared" si="352"/>
        <v>0</v>
      </c>
      <c r="M318" s="35">
        <f t="shared" si="353"/>
        <v>0</v>
      </c>
      <c r="N318" s="35">
        <v>0</v>
      </c>
      <c r="O318" s="35">
        <f t="shared" si="354"/>
        <v>0</v>
      </c>
      <c r="P318" s="37" t="s">
        <v>64</v>
      </c>
      <c r="Z318" s="35">
        <f t="shared" si="355"/>
        <v>0</v>
      </c>
      <c r="AB318" s="35">
        <f t="shared" si="356"/>
        <v>0</v>
      </c>
      <c r="AC318" s="35">
        <f t="shared" si="357"/>
        <v>0</v>
      </c>
      <c r="AD318" s="35">
        <f t="shared" si="358"/>
        <v>0</v>
      </c>
      <c r="AE318" s="35">
        <f t="shared" si="359"/>
        <v>0</v>
      </c>
      <c r="AF318" s="35">
        <f t="shared" si="360"/>
        <v>0</v>
      </c>
      <c r="AG318" s="35">
        <f t="shared" si="361"/>
        <v>0</v>
      </c>
      <c r="AH318" s="35">
        <f t="shared" si="362"/>
        <v>0</v>
      </c>
      <c r="AI318" s="12" t="s">
        <v>904</v>
      </c>
      <c r="AJ318" s="35">
        <f t="shared" si="363"/>
        <v>0</v>
      </c>
      <c r="AK318" s="35">
        <f t="shared" si="364"/>
        <v>0</v>
      </c>
      <c r="AL318" s="35">
        <f t="shared" si="365"/>
        <v>0</v>
      </c>
      <c r="AN318" s="35">
        <v>21</v>
      </c>
      <c r="AO318" s="35">
        <f t="shared" si="376"/>
        <v>0</v>
      </c>
      <c r="AP318" s="35">
        <f t="shared" si="377"/>
        <v>0</v>
      </c>
      <c r="AQ318" s="38" t="s">
        <v>65</v>
      </c>
      <c r="AV318" s="35">
        <f t="shared" si="366"/>
        <v>0</v>
      </c>
      <c r="AW318" s="35">
        <f t="shared" si="367"/>
        <v>0</v>
      </c>
      <c r="AX318" s="35">
        <f t="shared" si="368"/>
        <v>0</v>
      </c>
      <c r="AY318" s="38" t="s">
        <v>910</v>
      </c>
      <c r="AZ318" s="38" t="s">
        <v>911</v>
      </c>
      <c r="BA318" s="12" t="s">
        <v>912</v>
      </c>
      <c r="BC318" s="35">
        <f t="shared" si="369"/>
        <v>0</v>
      </c>
      <c r="BD318" s="35">
        <f t="shared" si="370"/>
        <v>0</v>
      </c>
      <c r="BE318" s="35">
        <v>0</v>
      </c>
      <c r="BF318" s="35">
        <f t="shared" si="371"/>
        <v>0</v>
      </c>
      <c r="BH318" s="35">
        <f t="shared" si="372"/>
        <v>0</v>
      </c>
      <c r="BI318" s="35">
        <f t="shared" si="373"/>
        <v>0</v>
      </c>
      <c r="BJ318" s="35">
        <f t="shared" si="374"/>
        <v>0</v>
      </c>
      <c r="BK318" s="38" t="s">
        <v>69</v>
      </c>
      <c r="BL318" s="35"/>
      <c r="BW318" s="35">
        <f t="shared" si="375"/>
        <v>21</v>
      </c>
      <c r="BX318" s="4" t="s">
        <v>960</v>
      </c>
    </row>
    <row r="319" spans="1:76" x14ac:dyDescent="0.25">
      <c r="A319" s="2" t="s">
        <v>961</v>
      </c>
      <c r="B319" s="3" t="s">
        <v>904</v>
      </c>
      <c r="C319" s="3" t="s">
        <v>962</v>
      </c>
      <c r="D319" s="70" t="s">
        <v>963</v>
      </c>
      <c r="E319" s="71"/>
      <c r="F319" s="3" t="s">
        <v>85</v>
      </c>
      <c r="G319" s="35">
        <v>15</v>
      </c>
      <c r="H319" s="68">
        <v>0</v>
      </c>
      <c r="I319" s="36">
        <v>21</v>
      </c>
      <c r="J319" s="35">
        <f t="shared" si="350"/>
        <v>0</v>
      </c>
      <c r="K319" s="35">
        <f t="shared" si="351"/>
        <v>0</v>
      </c>
      <c r="L319" s="35">
        <f t="shared" si="352"/>
        <v>0</v>
      </c>
      <c r="M319" s="35">
        <f t="shared" si="353"/>
        <v>0</v>
      </c>
      <c r="N319" s="35">
        <v>0</v>
      </c>
      <c r="O319" s="35">
        <f t="shared" si="354"/>
        <v>0</v>
      </c>
      <c r="P319" s="37" t="s">
        <v>64</v>
      </c>
      <c r="Z319" s="35">
        <f t="shared" si="355"/>
        <v>0</v>
      </c>
      <c r="AB319" s="35">
        <f t="shared" si="356"/>
        <v>0</v>
      </c>
      <c r="AC319" s="35">
        <f t="shared" si="357"/>
        <v>0</v>
      </c>
      <c r="AD319" s="35">
        <f t="shared" si="358"/>
        <v>0</v>
      </c>
      <c r="AE319" s="35">
        <f t="shared" si="359"/>
        <v>0</v>
      </c>
      <c r="AF319" s="35">
        <f t="shared" si="360"/>
        <v>0</v>
      </c>
      <c r="AG319" s="35">
        <f t="shared" si="361"/>
        <v>0</v>
      </c>
      <c r="AH319" s="35">
        <f t="shared" si="362"/>
        <v>0</v>
      </c>
      <c r="AI319" s="12" t="s">
        <v>904</v>
      </c>
      <c r="AJ319" s="35">
        <f t="shared" si="363"/>
        <v>0</v>
      </c>
      <c r="AK319" s="35">
        <f t="shared" si="364"/>
        <v>0</v>
      </c>
      <c r="AL319" s="35">
        <f t="shared" si="365"/>
        <v>0</v>
      </c>
      <c r="AN319" s="35">
        <v>21</v>
      </c>
      <c r="AO319" s="35">
        <f t="shared" si="376"/>
        <v>0</v>
      </c>
      <c r="AP319" s="35">
        <f t="shared" si="377"/>
        <v>0</v>
      </c>
      <c r="AQ319" s="38" t="s">
        <v>65</v>
      </c>
      <c r="AV319" s="35">
        <f t="shared" si="366"/>
        <v>0</v>
      </c>
      <c r="AW319" s="35">
        <f t="shared" si="367"/>
        <v>0</v>
      </c>
      <c r="AX319" s="35">
        <f t="shared" si="368"/>
        <v>0</v>
      </c>
      <c r="AY319" s="38" t="s">
        <v>910</v>
      </c>
      <c r="AZ319" s="38" t="s">
        <v>911</v>
      </c>
      <c r="BA319" s="12" t="s">
        <v>912</v>
      </c>
      <c r="BC319" s="35">
        <f t="shared" si="369"/>
        <v>0</v>
      </c>
      <c r="BD319" s="35">
        <f t="shared" si="370"/>
        <v>0</v>
      </c>
      <c r="BE319" s="35">
        <v>0</v>
      </c>
      <c r="BF319" s="35">
        <f t="shared" si="371"/>
        <v>0</v>
      </c>
      <c r="BH319" s="35">
        <f t="shared" si="372"/>
        <v>0</v>
      </c>
      <c r="BI319" s="35">
        <f t="shared" si="373"/>
        <v>0</v>
      </c>
      <c r="BJ319" s="35">
        <f t="shared" si="374"/>
        <v>0</v>
      </c>
      <c r="BK319" s="38" t="s">
        <v>69</v>
      </c>
      <c r="BL319" s="35"/>
      <c r="BW319" s="35">
        <f t="shared" si="375"/>
        <v>21</v>
      </c>
      <c r="BX319" s="4" t="s">
        <v>963</v>
      </c>
    </row>
    <row r="320" spans="1:76" x14ac:dyDescent="0.25">
      <c r="A320" s="2" t="s">
        <v>964</v>
      </c>
      <c r="B320" s="3" t="s">
        <v>904</v>
      </c>
      <c r="C320" s="3" t="s">
        <v>965</v>
      </c>
      <c r="D320" s="70" t="s">
        <v>966</v>
      </c>
      <c r="E320" s="71"/>
      <c r="F320" s="3" t="s">
        <v>85</v>
      </c>
      <c r="G320" s="35">
        <v>44</v>
      </c>
      <c r="H320" s="68">
        <v>0</v>
      </c>
      <c r="I320" s="36">
        <v>21</v>
      </c>
      <c r="J320" s="35">
        <f t="shared" si="350"/>
        <v>0</v>
      </c>
      <c r="K320" s="35">
        <f t="shared" si="351"/>
        <v>0</v>
      </c>
      <c r="L320" s="35">
        <f t="shared" si="352"/>
        <v>0</v>
      </c>
      <c r="M320" s="35">
        <f t="shared" si="353"/>
        <v>0</v>
      </c>
      <c r="N320" s="35">
        <v>0</v>
      </c>
      <c r="O320" s="35">
        <f t="shared" si="354"/>
        <v>0</v>
      </c>
      <c r="P320" s="37" t="s">
        <v>64</v>
      </c>
      <c r="Z320" s="35">
        <f t="shared" si="355"/>
        <v>0</v>
      </c>
      <c r="AB320" s="35">
        <f t="shared" si="356"/>
        <v>0</v>
      </c>
      <c r="AC320" s="35">
        <f t="shared" si="357"/>
        <v>0</v>
      </c>
      <c r="AD320" s="35">
        <f t="shared" si="358"/>
        <v>0</v>
      </c>
      <c r="AE320" s="35">
        <f t="shared" si="359"/>
        <v>0</v>
      </c>
      <c r="AF320" s="35">
        <f t="shared" si="360"/>
        <v>0</v>
      </c>
      <c r="AG320" s="35">
        <f t="shared" si="361"/>
        <v>0</v>
      </c>
      <c r="AH320" s="35">
        <f t="shared" si="362"/>
        <v>0</v>
      </c>
      <c r="AI320" s="12" t="s">
        <v>904</v>
      </c>
      <c r="AJ320" s="35">
        <f t="shared" si="363"/>
        <v>0</v>
      </c>
      <c r="AK320" s="35">
        <f t="shared" si="364"/>
        <v>0</v>
      </c>
      <c r="AL320" s="35">
        <f t="shared" si="365"/>
        <v>0</v>
      </c>
      <c r="AN320" s="35">
        <v>21</v>
      </c>
      <c r="AO320" s="35">
        <f t="shared" si="376"/>
        <v>0</v>
      </c>
      <c r="AP320" s="35">
        <f t="shared" si="377"/>
        <v>0</v>
      </c>
      <c r="AQ320" s="38" t="s">
        <v>65</v>
      </c>
      <c r="AV320" s="35">
        <f t="shared" si="366"/>
        <v>0</v>
      </c>
      <c r="AW320" s="35">
        <f t="shared" si="367"/>
        <v>0</v>
      </c>
      <c r="AX320" s="35">
        <f t="shared" si="368"/>
        <v>0</v>
      </c>
      <c r="AY320" s="38" t="s">
        <v>910</v>
      </c>
      <c r="AZ320" s="38" t="s">
        <v>911</v>
      </c>
      <c r="BA320" s="12" t="s">
        <v>912</v>
      </c>
      <c r="BC320" s="35">
        <f t="shared" si="369"/>
        <v>0</v>
      </c>
      <c r="BD320" s="35">
        <f t="shared" si="370"/>
        <v>0</v>
      </c>
      <c r="BE320" s="35">
        <v>0</v>
      </c>
      <c r="BF320" s="35">
        <f t="shared" si="371"/>
        <v>0</v>
      </c>
      <c r="BH320" s="35">
        <f t="shared" si="372"/>
        <v>0</v>
      </c>
      <c r="BI320" s="35">
        <f t="shared" si="373"/>
        <v>0</v>
      </c>
      <c r="BJ320" s="35">
        <f t="shared" si="374"/>
        <v>0</v>
      </c>
      <c r="BK320" s="38" t="s">
        <v>69</v>
      </c>
      <c r="BL320" s="35"/>
      <c r="BW320" s="35">
        <f t="shared" si="375"/>
        <v>21</v>
      </c>
      <c r="BX320" s="4" t="s">
        <v>966</v>
      </c>
    </row>
    <row r="321" spans="1:76" ht="25.5" x14ac:dyDescent="0.25">
      <c r="A321" s="2" t="s">
        <v>967</v>
      </c>
      <c r="B321" s="3" t="s">
        <v>904</v>
      </c>
      <c r="C321" s="3" t="s">
        <v>965</v>
      </c>
      <c r="D321" s="70" t="s">
        <v>968</v>
      </c>
      <c r="E321" s="71"/>
      <c r="F321" s="3" t="s">
        <v>85</v>
      </c>
      <c r="G321" s="35">
        <v>2</v>
      </c>
      <c r="H321" s="68">
        <v>0</v>
      </c>
      <c r="I321" s="36">
        <v>21</v>
      </c>
      <c r="J321" s="35">
        <f t="shared" si="350"/>
        <v>0</v>
      </c>
      <c r="K321" s="35">
        <f t="shared" si="351"/>
        <v>0</v>
      </c>
      <c r="L321" s="35">
        <f t="shared" si="352"/>
        <v>0</v>
      </c>
      <c r="M321" s="35">
        <f t="shared" si="353"/>
        <v>0</v>
      </c>
      <c r="N321" s="35">
        <v>0</v>
      </c>
      <c r="O321" s="35">
        <f t="shared" si="354"/>
        <v>0</v>
      </c>
      <c r="P321" s="37" t="s">
        <v>64</v>
      </c>
      <c r="Z321" s="35">
        <f t="shared" si="355"/>
        <v>0</v>
      </c>
      <c r="AB321" s="35">
        <f t="shared" si="356"/>
        <v>0</v>
      </c>
      <c r="AC321" s="35">
        <f t="shared" si="357"/>
        <v>0</v>
      </c>
      <c r="AD321" s="35">
        <f t="shared" si="358"/>
        <v>0</v>
      </c>
      <c r="AE321" s="35">
        <f t="shared" si="359"/>
        <v>0</v>
      </c>
      <c r="AF321" s="35">
        <f t="shared" si="360"/>
        <v>0</v>
      </c>
      <c r="AG321" s="35">
        <f t="shared" si="361"/>
        <v>0</v>
      </c>
      <c r="AH321" s="35">
        <f t="shared" si="362"/>
        <v>0</v>
      </c>
      <c r="AI321" s="12" t="s">
        <v>904</v>
      </c>
      <c r="AJ321" s="35">
        <f t="shared" si="363"/>
        <v>0</v>
      </c>
      <c r="AK321" s="35">
        <f t="shared" si="364"/>
        <v>0</v>
      </c>
      <c r="AL321" s="35">
        <f t="shared" si="365"/>
        <v>0</v>
      </c>
      <c r="AN321" s="35">
        <v>21</v>
      </c>
      <c r="AO321" s="35">
        <f t="shared" si="376"/>
        <v>0</v>
      </c>
      <c r="AP321" s="35">
        <f t="shared" si="377"/>
        <v>0</v>
      </c>
      <c r="AQ321" s="38" t="s">
        <v>65</v>
      </c>
      <c r="AV321" s="35">
        <f t="shared" si="366"/>
        <v>0</v>
      </c>
      <c r="AW321" s="35">
        <f t="shared" si="367"/>
        <v>0</v>
      </c>
      <c r="AX321" s="35">
        <f t="shared" si="368"/>
        <v>0</v>
      </c>
      <c r="AY321" s="38" t="s">
        <v>910</v>
      </c>
      <c r="AZ321" s="38" t="s">
        <v>911</v>
      </c>
      <c r="BA321" s="12" t="s">
        <v>912</v>
      </c>
      <c r="BC321" s="35">
        <f t="shared" si="369"/>
        <v>0</v>
      </c>
      <c r="BD321" s="35">
        <f t="shared" si="370"/>
        <v>0</v>
      </c>
      <c r="BE321" s="35">
        <v>0</v>
      </c>
      <c r="BF321" s="35">
        <f t="shared" si="371"/>
        <v>0</v>
      </c>
      <c r="BH321" s="35">
        <f t="shared" si="372"/>
        <v>0</v>
      </c>
      <c r="BI321" s="35">
        <f t="shared" si="373"/>
        <v>0</v>
      </c>
      <c r="BJ321" s="35">
        <f t="shared" si="374"/>
        <v>0</v>
      </c>
      <c r="BK321" s="38" t="s">
        <v>69</v>
      </c>
      <c r="BL321" s="35"/>
      <c r="BW321" s="35">
        <f t="shared" si="375"/>
        <v>21</v>
      </c>
      <c r="BX321" s="4" t="s">
        <v>968</v>
      </c>
    </row>
    <row r="322" spans="1:76" x14ac:dyDescent="0.25">
      <c r="A322" s="2" t="s">
        <v>969</v>
      </c>
      <c r="B322" s="3" t="s">
        <v>904</v>
      </c>
      <c r="C322" s="3" t="s">
        <v>970</v>
      </c>
      <c r="D322" s="70" t="s">
        <v>971</v>
      </c>
      <c r="E322" s="71"/>
      <c r="F322" s="3" t="s">
        <v>85</v>
      </c>
      <c r="G322" s="35">
        <v>2</v>
      </c>
      <c r="H322" s="68">
        <v>0</v>
      </c>
      <c r="I322" s="36">
        <v>21</v>
      </c>
      <c r="J322" s="35">
        <f t="shared" si="350"/>
        <v>0</v>
      </c>
      <c r="K322" s="35">
        <f t="shared" si="351"/>
        <v>0</v>
      </c>
      <c r="L322" s="35">
        <f t="shared" si="352"/>
        <v>0</v>
      </c>
      <c r="M322" s="35">
        <f t="shared" si="353"/>
        <v>0</v>
      </c>
      <c r="N322" s="35">
        <v>0</v>
      </c>
      <c r="O322" s="35">
        <f t="shared" si="354"/>
        <v>0</v>
      </c>
      <c r="P322" s="37" t="s">
        <v>64</v>
      </c>
      <c r="Z322" s="35">
        <f t="shared" si="355"/>
        <v>0</v>
      </c>
      <c r="AB322" s="35">
        <f t="shared" si="356"/>
        <v>0</v>
      </c>
      <c r="AC322" s="35">
        <f t="shared" si="357"/>
        <v>0</v>
      </c>
      <c r="AD322" s="35">
        <f t="shared" si="358"/>
        <v>0</v>
      </c>
      <c r="AE322" s="35">
        <f t="shared" si="359"/>
        <v>0</v>
      </c>
      <c r="AF322" s="35">
        <f t="shared" si="360"/>
        <v>0</v>
      </c>
      <c r="AG322" s="35">
        <f t="shared" si="361"/>
        <v>0</v>
      </c>
      <c r="AH322" s="35">
        <f t="shared" si="362"/>
        <v>0</v>
      </c>
      <c r="AI322" s="12" t="s">
        <v>904</v>
      </c>
      <c r="AJ322" s="35">
        <f t="shared" si="363"/>
        <v>0</v>
      </c>
      <c r="AK322" s="35">
        <f t="shared" si="364"/>
        <v>0</v>
      </c>
      <c r="AL322" s="35">
        <f t="shared" si="365"/>
        <v>0</v>
      </c>
      <c r="AN322" s="35">
        <v>21</v>
      </c>
      <c r="AO322" s="35">
        <f t="shared" si="376"/>
        <v>0</v>
      </c>
      <c r="AP322" s="35">
        <f t="shared" si="377"/>
        <v>0</v>
      </c>
      <c r="AQ322" s="38" t="s">
        <v>65</v>
      </c>
      <c r="AV322" s="35">
        <f t="shared" si="366"/>
        <v>0</v>
      </c>
      <c r="AW322" s="35">
        <f t="shared" si="367"/>
        <v>0</v>
      </c>
      <c r="AX322" s="35">
        <f t="shared" si="368"/>
        <v>0</v>
      </c>
      <c r="AY322" s="38" t="s">
        <v>910</v>
      </c>
      <c r="AZ322" s="38" t="s">
        <v>911</v>
      </c>
      <c r="BA322" s="12" t="s">
        <v>912</v>
      </c>
      <c r="BC322" s="35">
        <f t="shared" si="369"/>
        <v>0</v>
      </c>
      <c r="BD322" s="35">
        <f t="shared" si="370"/>
        <v>0</v>
      </c>
      <c r="BE322" s="35">
        <v>0</v>
      </c>
      <c r="BF322" s="35">
        <f t="shared" si="371"/>
        <v>0</v>
      </c>
      <c r="BH322" s="35">
        <f t="shared" si="372"/>
        <v>0</v>
      </c>
      <c r="BI322" s="35">
        <f t="shared" si="373"/>
        <v>0</v>
      </c>
      <c r="BJ322" s="35">
        <f t="shared" si="374"/>
        <v>0</v>
      </c>
      <c r="BK322" s="38" t="s">
        <v>69</v>
      </c>
      <c r="BL322" s="35"/>
      <c r="BW322" s="35">
        <f t="shared" si="375"/>
        <v>21</v>
      </c>
      <c r="BX322" s="4" t="s">
        <v>971</v>
      </c>
    </row>
    <row r="323" spans="1:76" ht="25.5" x14ac:dyDescent="0.25">
      <c r="A323" s="2" t="s">
        <v>972</v>
      </c>
      <c r="B323" s="3" t="s">
        <v>904</v>
      </c>
      <c r="C323" s="3" t="s">
        <v>973</v>
      </c>
      <c r="D323" s="70" t="s">
        <v>974</v>
      </c>
      <c r="E323" s="71"/>
      <c r="F323" s="3" t="s">
        <v>155</v>
      </c>
      <c r="G323" s="35">
        <v>2</v>
      </c>
      <c r="H323" s="68">
        <v>0</v>
      </c>
      <c r="I323" s="36">
        <v>21</v>
      </c>
      <c r="J323" s="35">
        <f t="shared" si="350"/>
        <v>0</v>
      </c>
      <c r="K323" s="35">
        <f t="shared" si="351"/>
        <v>0</v>
      </c>
      <c r="L323" s="35">
        <f t="shared" si="352"/>
        <v>0</v>
      </c>
      <c r="M323" s="35">
        <f t="shared" si="353"/>
        <v>0</v>
      </c>
      <c r="N323" s="35">
        <v>0</v>
      </c>
      <c r="O323" s="35">
        <f t="shared" si="354"/>
        <v>0</v>
      </c>
      <c r="P323" s="37" t="s">
        <v>64</v>
      </c>
      <c r="Z323" s="35">
        <f t="shared" si="355"/>
        <v>0</v>
      </c>
      <c r="AB323" s="35">
        <f t="shared" si="356"/>
        <v>0</v>
      </c>
      <c r="AC323" s="35">
        <f t="shared" si="357"/>
        <v>0</v>
      </c>
      <c r="AD323" s="35">
        <f t="shared" si="358"/>
        <v>0</v>
      </c>
      <c r="AE323" s="35">
        <f t="shared" si="359"/>
        <v>0</v>
      </c>
      <c r="AF323" s="35">
        <f t="shared" si="360"/>
        <v>0</v>
      </c>
      <c r="AG323" s="35">
        <f t="shared" si="361"/>
        <v>0</v>
      </c>
      <c r="AH323" s="35">
        <f t="shared" si="362"/>
        <v>0</v>
      </c>
      <c r="AI323" s="12" t="s">
        <v>904</v>
      </c>
      <c r="AJ323" s="35">
        <f t="shared" si="363"/>
        <v>0</v>
      </c>
      <c r="AK323" s="35">
        <f t="shared" si="364"/>
        <v>0</v>
      </c>
      <c r="AL323" s="35">
        <f t="shared" si="365"/>
        <v>0</v>
      </c>
      <c r="AN323" s="35">
        <v>21</v>
      </c>
      <c r="AO323" s="35">
        <f t="shared" si="376"/>
        <v>0</v>
      </c>
      <c r="AP323" s="35">
        <f t="shared" si="377"/>
        <v>0</v>
      </c>
      <c r="AQ323" s="38" t="s">
        <v>65</v>
      </c>
      <c r="AV323" s="35">
        <f t="shared" si="366"/>
        <v>0</v>
      </c>
      <c r="AW323" s="35">
        <f t="shared" si="367"/>
        <v>0</v>
      </c>
      <c r="AX323" s="35">
        <f t="shared" si="368"/>
        <v>0</v>
      </c>
      <c r="AY323" s="38" t="s">
        <v>910</v>
      </c>
      <c r="AZ323" s="38" t="s">
        <v>911</v>
      </c>
      <c r="BA323" s="12" t="s">
        <v>912</v>
      </c>
      <c r="BC323" s="35">
        <f t="shared" si="369"/>
        <v>0</v>
      </c>
      <c r="BD323" s="35">
        <f t="shared" si="370"/>
        <v>0</v>
      </c>
      <c r="BE323" s="35">
        <v>0</v>
      </c>
      <c r="BF323" s="35">
        <f t="shared" si="371"/>
        <v>0</v>
      </c>
      <c r="BH323" s="35">
        <f t="shared" si="372"/>
        <v>0</v>
      </c>
      <c r="BI323" s="35">
        <f t="shared" si="373"/>
        <v>0</v>
      </c>
      <c r="BJ323" s="35">
        <f t="shared" si="374"/>
        <v>0</v>
      </c>
      <c r="BK323" s="38" t="s">
        <v>69</v>
      </c>
      <c r="BL323" s="35"/>
      <c r="BW323" s="35">
        <f t="shared" si="375"/>
        <v>21</v>
      </c>
      <c r="BX323" s="4" t="s">
        <v>974</v>
      </c>
    </row>
    <row r="324" spans="1:76" ht="25.5" x14ac:dyDescent="0.25">
      <c r="A324" s="2" t="s">
        <v>975</v>
      </c>
      <c r="B324" s="3" t="s">
        <v>904</v>
      </c>
      <c r="C324" s="3" t="s">
        <v>965</v>
      </c>
      <c r="D324" s="70" t="s">
        <v>976</v>
      </c>
      <c r="E324" s="71"/>
      <c r="F324" s="3" t="s">
        <v>155</v>
      </c>
      <c r="G324" s="35">
        <v>1</v>
      </c>
      <c r="H324" s="68">
        <v>0</v>
      </c>
      <c r="I324" s="36">
        <v>21</v>
      </c>
      <c r="J324" s="35">
        <f t="shared" si="350"/>
        <v>0</v>
      </c>
      <c r="K324" s="35">
        <f t="shared" si="351"/>
        <v>0</v>
      </c>
      <c r="L324" s="35">
        <f t="shared" si="352"/>
        <v>0</v>
      </c>
      <c r="M324" s="35">
        <f t="shared" si="353"/>
        <v>0</v>
      </c>
      <c r="N324" s="35">
        <v>0</v>
      </c>
      <c r="O324" s="35">
        <f t="shared" si="354"/>
        <v>0</v>
      </c>
      <c r="P324" s="37" t="s">
        <v>64</v>
      </c>
      <c r="Z324" s="35">
        <f t="shared" si="355"/>
        <v>0</v>
      </c>
      <c r="AB324" s="35">
        <f t="shared" si="356"/>
        <v>0</v>
      </c>
      <c r="AC324" s="35">
        <f t="shared" si="357"/>
        <v>0</v>
      </c>
      <c r="AD324" s="35">
        <f t="shared" si="358"/>
        <v>0</v>
      </c>
      <c r="AE324" s="35">
        <f t="shared" si="359"/>
        <v>0</v>
      </c>
      <c r="AF324" s="35">
        <f t="shared" si="360"/>
        <v>0</v>
      </c>
      <c r="AG324" s="35">
        <f t="shared" si="361"/>
        <v>0</v>
      </c>
      <c r="AH324" s="35">
        <f t="shared" si="362"/>
        <v>0</v>
      </c>
      <c r="AI324" s="12" t="s">
        <v>904</v>
      </c>
      <c r="AJ324" s="35">
        <f t="shared" si="363"/>
        <v>0</v>
      </c>
      <c r="AK324" s="35">
        <f t="shared" si="364"/>
        <v>0</v>
      </c>
      <c r="AL324" s="35">
        <f t="shared" si="365"/>
        <v>0</v>
      </c>
      <c r="AN324" s="35">
        <v>21</v>
      </c>
      <c r="AO324" s="35">
        <f>H324*0.161290323</f>
        <v>0</v>
      </c>
      <c r="AP324" s="35">
        <f>H324*(1-0.161290323)</f>
        <v>0</v>
      </c>
      <c r="AQ324" s="38" t="s">
        <v>65</v>
      </c>
      <c r="AV324" s="35">
        <f t="shared" si="366"/>
        <v>0</v>
      </c>
      <c r="AW324" s="35">
        <f t="shared" si="367"/>
        <v>0</v>
      </c>
      <c r="AX324" s="35">
        <f t="shared" si="368"/>
        <v>0</v>
      </c>
      <c r="AY324" s="38" t="s">
        <v>910</v>
      </c>
      <c r="AZ324" s="38" t="s">
        <v>911</v>
      </c>
      <c r="BA324" s="12" t="s">
        <v>912</v>
      </c>
      <c r="BC324" s="35">
        <f t="shared" si="369"/>
        <v>0</v>
      </c>
      <c r="BD324" s="35">
        <f t="shared" si="370"/>
        <v>0</v>
      </c>
      <c r="BE324" s="35">
        <v>0</v>
      </c>
      <c r="BF324" s="35">
        <f t="shared" si="371"/>
        <v>0</v>
      </c>
      <c r="BH324" s="35">
        <f t="shared" si="372"/>
        <v>0</v>
      </c>
      <c r="BI324" s="35">
        <f t="shared" si="373"/>
        <v>0</v>
      </c>
      <c r="BJ324" s="35">
        <f t="shared" si="374"/>
        <v>0</v>
      </c>
      <c r="BK324" s="38" t="s">
        <v>69</v>
      </c>
      <c r="BL324" s="35"/>
      <c r="BW324" s="35">
        <f t="shared" si="375"/>
        <v>21</v>
      </c>
      <c r="BX324" s="4" t="s">
        <v>976</v>
      </c>
    </row>
    <row r="325" spans="1:76" x14ac:dyDescent="0.25">
      <c r="A325" s="2" t="s">
        <v>977</v>
      </c>
      <c r="B325" s="3" t="s">
        <v>904</v>
      </c>
      <c r="C325" s="3" t="s">
        <v>978</v>
      </c>
      <c r="D325" s="70" t="s">
        <v>979</v>
      </c>
      <c r="E325" s="71"/>
      <c r="F325" s="3" t="s">
        <v>980</v>
      </c>
      <c r="G325" s="35">
        <v>96</v>
      </c>
      <c r="H325" s="68">
        <v>0</v>
      </c>
      <c r="I325" s="36">
        <v>21</v>
      </c>
      <c r="J325" s="35">
        <f t="shared" si="350"/>
        <v>0</v>
      </c>
      <c r="K325" s="35">
        <f t="shared" si="351"/>
        <v>0</v>
      </c>
      <c r="L325" s="35">
        <f t="shared" si="352"/>
        <v>0</v>
      </c>
      <c r="M325" s="35">
        <f t="shared" si="353"/>
        <v>0</v>
      </c>
      <c r="N325" s="35">
        <v>0</v>
      </c>
      <c r="O325" s="35">
        <f t="shared" si="354"/>
        <v>0</v>
      </c>
      <c r="P325" s="37" t="s">
        <v>64</v>
      </c>
      <c r="Z325" s="35">
        <f t="shared" si="355"/>
        <v>0</v>
      </c>
      <c r="AB325" s="35">
        <f t="shared" si="356"/>
        <v>0</v>
      </c>
      <c r="AC325" s="35">
        <f t="shared" si="357"/>
        <v>0</v>
      </c>
      <c r="AD325" s="35">
        <f t="shared" si="358"/>
        <v>0</v>
      </c>
      <c r="AE325" s="35">
        <f t="shared" si="359"/>
        <v>0</v>
      </c>
      <c r="AF325" s="35">
        <f t="shared" si="360"/>
        <v>0</v>
      </c>
      <c r="AG325" s="35">
        <f t="shared" si="361"/>
        <v>0</v>
      </c>
      <c r="AH325" s="35">
        <f t="shared" si="362"/>
        <v>0</v>
      </c>
      <c r="AI325" s="12" t="s">
        <v>904</v>
      </c>
      <c r="AJ325" s="35">
        <f t="shared" si="363"/>
        <v>0</v>
      </c>
      <c r="AK325" s="35">
        <f t="shared" si="364"/>
        <v>0</v>
      </c>
      <c r="AL325" s="35">
        <f t="shared" si="365"/>
        <v>0</v>
      </c>
      <c r="AN325" s="35">
        <v>21</v>
      </c>
      <c r="AO325" s="35">
        <f>H325*0</f>
        <v>0</v>
      </c>
      <c r="AP325" s="35">
        <f>H325*(1-0)</f>
        <v>0</v>
      </c>
      <c r="AQ325" s="38" t="s">
        <v>65</v>
      </c>
      <c r="AV325" s="35">
        <f t="shared" si="366"/>
        <v>0</v>
      </c>
      <c r="AW325" s="35">
        <f t="shared" si="367"/>
        <v>0</v>
      </c>
      <c r="AX325" s="35">
        <f t="shared" si="368"/>
        <v>0</v>
      </c>
      <c r="AY325" s="38" t="s">
        <v>910</v>
      </c>
      <c r="AZ325" s="38" t="s">
        <v>911</v>
      </c>
      <c r="BA325" s="12" t="s">
        <v>912</v>
      </c>
      <c r="BC325" s="35">
        <f t="shared" si="369"/>
        <v>0</v>
      </c>
      <c r="BD325" s="35">
        <f t="shared" si="370"/>
        <v>0</v>
      </c>
      <c r="BE325" s="35">
        <v>0</v>
      </c>
      <c r="BF325" s="35">
        <f t="shared" si="371"/>
        <v>0</v>
      </c>
      <c r="BH325" s="35">
        <f t="shared" si="372"/>
        <v>0</v>
      </c>
      <c r="BI325" s="35">
        <f t="shared" si="373"/>
        <v>0</v>
      </c>
      <c r="BJ325" s="35">
        <f t="shared" si="374"/>
        <v>0</v>
      </c>
      <c r="BK325" s="38" t="s">
        <v>69</v>
      </c>
      <c r="BL325" s="35"/>
      <c r="BW325" s="35">
        <f t="shared" si="375"/>
        <v>21</v>
      </c>
      <c r="BX325" s="4" t="s">
        <v>979</v>
      </c>
    </row>
    <row r="326" spans="1:76" x14ac:dyDescent="0.25">
      <c r="A326" s="2" t="s">
        <v>981</v>
      </c>
      <c r="B326" s="3" t="s">
        <v>904</v>
      </c>
      <c r="C326" s="3" t="s">
        <v>982</v>
      </c>
      <c r="D326" s="70" t="s">
        <v>983</v>
      </c>
      <c r="E326" s="71"/>
      <c r="F326" s="3" t="s">
        <v>155</v>
      </c>
      <c r="G326" s="35">
        <v>1</v>
      </c>
      <c r="H326" s="68">
        <v>0</v>
      </c>
      <c r="I326" s="36">
        <v>21</v>
      </c>
      <c r="J326" s="35">
        <f t="shared" si="350"/>
        <v>0</v>
      </c>
      <c r="K326" s="35">
        <f t="shared" si="351"/>
        <v>0</v>
      </c>
      <c r="L326" s="35">
        <f t="shared" si="352"/>
        <v>0</v>
      </c>
      <c r="M326" s="35">
        <f t="shared" si="353"/>
        <v>0</v>
      </c>
      <c r="N326" s="35">
        <v>0</v>
      </c>
      <c r="O326" s="35">
        <f t="shared" si="354"/>
        <v>0</v>
      </c>
      <c r="P326" s="37" t="s">
        <v>64</v>
      </c>
      <c r="Z326" s="35">
        <f t="shared" si="355"/>
        <v>0</v>
      </c>
      <c r="AB326" s="35">
        <f t="shared" si="356"/>
        <v>0</v>
      </c>
      <c r="AC326" s="35">
        <f t="shared" si="357"/>
        <v>0</v>
      </c>
      <c r="AD326" s="35">
        <f t="shared" si="358"/>
        <v>0</v>
      </c>
      <c r="AE326" s="35">
        <f t="shared" si="359"/>
        <v>0</v>
      </c>
      <c r="AF326" s="35">
        <f t="shared" si="360"/>
        <v>0</v>
      </c>
      <c r="AG326" s="35">
        <f t="shared" si="361"/>
        <v>0</v>
      </c>
      <c r="AH326" s="35">
        <f t="shared" si="362"/>
        <v>0</v>
      </c>
      <c r="AI326" s="12" t="s">
        <v>904</v>
      </c>
      <c r="AJ326" s="35">
        <f t="shared" si="363"/>
        <v>0</v>
      </c>
      <c r="AK326" s="35">
        <f t="shared" si="364"/>
        <v>0</v>
      </c>
      <c r="AL326" s="35">
        <f t="shared" si="365"/>
        <v>0</v>
      </c>
      <c r="AN326" s="35">
        <v>21</v>
      </c>
      <c r="AO326" s="35">
        <f>H326*0</f>
        <v>0</v>
      </c>
      <c r="AP326" s="35">
        <f>H326*(1-0)</f>
        <v>0</v>
      </c>
      <c r="AQ326" s="38" t="s">
        <v>65</v>
      </c>
      <c r="AV326" s="35">
        <f t="shared" si="366"/>
        <v>0</v>
      </c>
      <c r="AW326" s="35">
        <f t="shared" si="367"/>
        <v>0</v>
      </c>
      <c r="AX326" s="35">
        <f t="shared" si="368"/>
        <v>0</v>
      </c>
      <c r="AY326" s="38" t="s">
        <v>910</v>
      </c>
      <c r="AZ326" s="38" t="s">
        <v>911</v>
      </c>
      <c r="BA326" s="12" t="s">
        <v>912</v>
      </c>
      <c r="BC326" s="35">
        <f t="shared" si="369"/>
        <v>0</v>
      </c>
      <c r="BD326" s="35">
        <f t="shared" si="370"/>
        <v>0</v>
      </c>
      <c r="BE326" s="35">
        <v>0</v>
      </c>
      <c r="BF326" s="35">
        <f t="shared" si="371"/>
        <v>0</v>
      </c>
      <c r="BH326" s="35">
        <f t="shared" si="372"/>
        <v>0</v>
      </c>
      <c r="BI326" s="35">
        <f t="shared" si="373"/>
        <v>0</v>
      </c>
      <c r="BJ326" s="35">
        <f t="shared" si="374"/>
        <v>0</v>
      </c>
      <c r="BK326" s="38" t="s">
        <v>69</v>
      </c>
      <c r="BL326" s="35"/>
      <c r="BW326" s="35">
        <f t="shared" si="375"/>
        <v>21</v>
      </c>
      <c r="BX326" s="4" t="s">
        <v>983</v>
      </c>
    </row>
    <row r="327" spans="1:76" ht="25.5" x14ac:dyDescent="0.25">
      <c r="A327" s="2" t="s">
        <v>984</v>
      </c>
      <c r="B327" s="3" t="s">
        <v>904</v>
      </c>
      <c r="C327" s="3" t="s">
        <v>985</v>
      </c>
      <c r="D327" s="70" t="s">
        <v>986</v>
      </c>
      <c r="E327" s="71"/>
      <c r="F327" s="3" t="s">
        <v>987</v>
      </c>
      <c r="G327" s="35">
        <v>1</v>
      </c>
      <c r="H327" s="68">
        <v>0</v>
      </c>
      <c r="I327" s="36">
        <v>21</v>
      </c>
      <c r="J327" s="35">
        <f t="shared" si="350"/>
        <v>0</v>
      </c>
      <c r="K327" s="35">
        <f t="shared" si="351"/>
        <v>0</v>
      </c>
      <c r="L327" s="35">
        <f t="shared" si="352"/>
        <v>0</v>
      </c>
      <c r="M327" s="35">
        <f t="shared" si="353"/>
        <v>0</v>
      </c>
      <c r="N327" s="35">
        <v>0</v>
      </c>
      <c r="O327" s="35">
        <f t="shared" si="354"/>
        <v>0</v>
      </c>
      <c r="P327" s="37" t="s">
        <v>64</v>
      </c>
      <c r="Z327" s="35">
        <f t="shared" si="355"/>
        <v>0</v>
      </c>
      <c r="AB327" s="35">
        <f t="shared" si="356"/>
        <v>0</v>
      </c>
      <c r="AC327" s="35">
        <f t="shared" si="357"/>
        <v>0</v>
      </c>
      <c r="AD327" s="35">
        <f t="shared" si="358"/>
        <v>0</v>
      </c>
      <c r="AE327" s="35">
        <f t="shared" si="359"/>
        <v>0</v>
      </c>
      <c r="AF327" s="35">
        <f t="shared" si="360"/>
        <v>0</v>
      </c>
      <c r="AG327" s="35">
        <f t="shared" si="361"/>
        <v>0</v>
      </c>
      <c r="AH327" s="35">
        <f t="shared" si="362"/>
        <v>0</v>
      </c>
      <c r="AI327" s="12" t="s">
        <v>904</v>
      </c>
      <c r="AJ327" s="35">
        <f t="shared" si="363"/>
        <v>0</v>
      </c>
      <c r="AK327" s="35">
        <f t="shared" si="364"/>
        <v>0</v>
      </c>
      <c r="AL327" s="35">
        <f t="shared" si="365"/>
        <v>0</v>
      </c>
      <c r="AN327" s="35">
        <v>21</v>
      </c>
      <c r="AO327" s="35">
        <f>H327*0.062365591</f>
        <v>0</v>
      </c>
      <c r="AP327" s="35">
        <f>H327*(1-0.062365591)</f>
        <v>0</v>
      </c>
      <c r="AQ327" s="38" t="s">
        <v>65</v>
      </c>
      <c r="AV327" s="35">
        <f t="shared" si="366"/>
        <v>0</v>
      </c>
      <c r="AW327" s="35">
        <f t="shared" si="367"/>
        <v>0</v>
      </c>
      <c r="AX327" s="35">
        <f t="shared" si="368"/>
        <v>0</v>
      </c>
      <c r="AY327" s="38" t="s">
        <v>910</v>
      </c>
      <c r="AZ327" s="38" t="s">
        <v>911</v>
      </c>
      <c r="BA327" s="12" t="s">
        <v>912</v>
      </c>
      <c r="BC327" s="35">
        <f t="shared" si="369"/>
        <v>0</v>
      </c>
      <c r="BD327" s="35">
        <f t="shared" si="370"/>
        <v>0</v>
      </c>
      <c r="BE327" s="35">
        <v>0</v>
      </c>
      <c r="BF327" s="35">
        <f t="shared" si="371"/>
        <v>0</v>
      </c>
      <c r="BH327" s="35">
        <f t="shared" si="372"/>
        <v>0</v>
      </c>
      <c r="BI327" s="35">
        <f t="shared" si="373"/>
        <v>0</v>
      </c>
      <c r="BJ327" s="35">
        <f t="shared" si="374"/>
        <v>0</v>
      </c>
      <c r="BK327" s="38" t="s">
        <v>69</v>
      </c>
      <c r="BL327" s="35"/>
      <c r="BW327" s="35">
        <f t="shared" si="375"/>
        <v>21</v>
      </c>
      <c r="BX327" s="4" t="s">
        <v>986</v>
      </c>
    </row>
    <row r="328" spans="1:76" x14ac:dyDescent="0.25">
      <c r="A328" s="31" t="s">
        <v>55</v>
      </c>
      <c r="B328" s="32" t="s">
        <v>988</v>
      </c>
      <c r="C328" s="32" t="s">
        <v>55</v>
      </c>
      <c r="D328" s="128" t="s">
        <v>989</v>
      </c>
      <c r="E328" s="129"/>
      <c r="F328" s="33" t="s">
        <v>4</v>
      </c>
      <c r="G328" s="33" t="s">
        <v>4</v>
      </c>
      <c r="H328" s="33" t="s">
        <v>4</v>
      </c>
      <c r="I328" s="33" t="s">
        <v>4</v>
      </c>
      <c r="J328" s="1">
        <f>J329+J332+J337+J339+J342</f>
        <v>0</v>
      </c>
      <c r="K328" s="1">
        <f>K329+K332+K337+K339+K342</f>
        <v>0</v>
      </c>
      <c r="L328" s="1">
        <f>L329+L332+L337+L339+L342</f>
        <v>0</v>
      </c>
      <c r="M328" s="1">
        <f>M329+M332+M337+M339+M342</f>
        <v>0</v>
      </c>
      <c r="N328" s="12" t="s">
        <v>55</v>
      </c>
      <c r="O328" s="1">
        <f>O329+O332+O337+O339+O342</f>
        <v>0.12869999999999998</v>
      </c>
      <c r="P328" s="34" t="s">
        <v>55</v>
      </c>
    </row>
    <row r="329" spans="1:76" x14ac:dyDescent="0.25">
      <c r="A329" s="31" t="s">
        <v>55</v>
      </c>
      <c r="B329" s="32" t="s">
        <v>988</v>
      </c>
      <c r="C329" s="32" t="s">
        <v>472</v>
      </c>
      <c r="D329" s="128" t="s">
        <v>473</v>
      </c>
      <c r="E329" s="129"/>
      <c r="F329" s="33" t="s">
        <v>4</v>
      </c>
      <c r="G329" s="33" t="s">
        <v>4</v>
      </c>
      <c r="H329" s="33" t="s">
        <v>4</v>
      </c>
      <c r="I329" s="33" t="s">
        <v>4</v>
      </c>
      <c r="J329" s="1">
        <f>SUM(J330:J331)</f>
        <v>0</v>
      </c>
      <c r="K329" s="1">
        <f>SUM(K330:K331)</f>
        <v>0</v>
      </c>
      <c r="L329" s="1">
        <f>SUM(L330:L331)</f>
        <v>0</v>
      </c>
      <c r="M329" s="1">
        <f>SUM(M330:M331)</f>
        <v>0</v>
      </c>
      <c r="N329" s="12" t="s">
        <v>55</v>
      </c>
      <c r="O329" s="1">
        <f>SUM(O330:O331)</f>
        <v>0</v>
      </c>
      <c r="P329" s="34" t="s">
        <v>55</v>
      </c>
      <c r="AI329" s="12" t="s">
        <v>988</v>
      </c>
      <c r="AS329" s="1">
        <f>SUM(AJ330:AJ331)</f>
        <v>0</v>
      </c>
      <c r="AT329" s="1">
        <f>SUM(AK330:AK331)</f>
        <v>0</v>
      </c>
      <c r="AU329" s="1">
        <f>SUM(AL330:AL331)</f>
        <v>0</v>
      </c>
    </row>
    <row r="330" spans="1:76" x14ac:dyDescent="0.25">
      <c r="A330" s="2" t="s">
        <v>990</v>
      </c>
      <c r="B330" s="3" t="s">
        <v>988</v>
      </c>
      <c r="C330" s="3" t="s">
        <v>856</v>
      </c>
      <c r="D330" s="70" t="s">
        <v>857</v>
      </c>
      <c r="E330" s="71"/>
      <c r="F330" s="3" t="s">
        <v>155</v>
      </c>
      <c r="G330" s="35">
        <v>1</v>
      </c>
      <c r="H330" s="68">
        <v>0</v>
      </c>
      <c r="I330" s="36">
        <v>21</v>
      </c>
      <c r="J330" s="35">
        <f>ROUND(G330*AO330,2)</f>
        <v>0</v>
      </c>
      <c r="K330" s="35">
        <f>ROUND(G330*AP330,2)</f>
        <v>0</v>
      </c>
      <c r="L330" s="35">
        <f>ROUND(G330*H330,2)</f>
        <v>0</v>
      </c>
      <c r="M330" s="35">
        <f>L330*(1+BW330/100)</f>
        <v>0</v>
      </c>
      <c r="N330" s="35">
        <v>0</v>
      </c>
      <c r="O330" s="35">
        <f>G330*N330</f>
        <v>0</v>
      </c>
      <c r="P330" s="37" t="s">
        <v>64</v>
      </c>
      <c r="Z330" s="35">
        <f>ROUND(IF(AQ330="5",BJ330,0),2)</f>
        <v>0</v>
      </c>
      <c r="AB330" s="35">
        <f>ROUND(IF(AQ330="1",BH330,0),2)</f>
        <v>0</v>
      </c>
      <c r="AC330" s="35">
        <f>ROUND(IF(AQ330="1",BI330,0),2)</f>
        <v>0</v>
      </c>
      <c r="AD330" s="35">
        <f>ROUND(IF(AQ330="7",BH330,0),2)</f>
        <v>0</v>
      </c>
      <c r="AE330" s="35">
        <f>ROUND(IF(AQ330="7",BI330,0),2)</f>
        <v>0</v>
      </c>
      <c r="AF330" s="35">
        <f>ROUND(IF(AQ330="2",BH330,0),2)</f>
        <v>0</v>
      </c>
      <c r="AG330" s="35">
        <f>ROUND(IF(AQ330="2",BI330,0),2)</f>
        <v>0</v>
      </c>
      <c r="AH330" s="35">
        <f>ROUND(IF(AQ330="0",BJ330,0),2)</f>
        <v>0</v>
      </c>
      <c r="AI330" s="12" t="s">
        <v>988</v>
      </c>
      <c r="AJ330" s="35">
        <f>IF(AN330=0,L330,0)</f>
        <v>0</v>
      </c>
      <c r="AK330" s="35">
        <f>IF(AN330=15,L330,0)</f>
        <v>0</v>
      </c>
      <c r="AL330" s="35">
        <f>IF(AN330=21,L330,0)</f>
        <v>0</v>
      </c>
      <c r="AN330" s="35">
        <v>21</v>
      </c>
      <c r="AO330" s="35">
        <f>H330*1</f>
        <v>0</v>
      </c>
      <c r="AP330" s="35">
        <f>H330*(1-1)</f>
        <v>0</v>
      </c>
      <c r="AQ330" s="38" t="s">
        <v>65</v>
      </c>
      <c r="AV330" s="35">
        <f>ROUND(AW330+AX330,2)</f>
        <v>0</v>
      </c>
      <c r="AW330" s="35">
        <f>ROUND(G330*AO330,2)</f>
        <v>0</v>
      </c>
      <c r="AX330" s="35">
        <f>ROUND(G330*AP330,2)</f>
        <v>0</v>
      </c>
      <c r="AY330" s="38" t="s">
        <v>477</v>
      </c>
      <c r="AZ330" s="38" t="s">
        <v>991</v>
      </c>
      <c r="BA330" s="12" t="s">
        <v>992</v>
      </c>
      <c r="BC330" s="35">
        <f>AW330+AX330</f>
        <v>0</v>
      </c>
      <c r="BD330" s="35">
        <f>H330/(100-BE330)*100</f>
        <v>0</v>
      </c>
      <c r="BE330" s="35">
        <v>0</v>
      </c>
      <c r="BF330" s="35">
        <f>O330</f>
        <v>0</v>
      </c>
      <c r="BH330" s="35">
        <f>G330*AO330</f>
        <v>0</v>
      </c>
      <c r="BI330" s="35">
        <f>G330*AP330</f>
        <v>0</v>
      </c>
      <c r="BJ330" s="35">
        <f>G330*H330</f>
        <v>0</v>
      </c>
      <c r="BK330" s="38" t="s">
        <v>156</v>
      </c>
      <c r="BL330" s="35">
        <v>733</v>
      </c>
      <c r="BW330" s="35">
        <f>I330</f>
        <v>21</v>
      </c>
      <c r="BX330" s="4" t="s">
        <v>857</v>
      </c>
    </row>
    <row r="331" spans="1:76" ht="25.5" x14ac:dyDescent="0.25">
      <c r="A331" s="2" t="s">
        <v>993</v>
      </c>
      <c r="B331" s="3" t="s">
        <v>988</v>
      </c>
      <c r="C331" s="3" t="s">
        <v>859</v>
      </c>
      <c r="D331" s="70" t="s">
        <v>994</v>
      </c>
      <c r="E331" s="71"/>
      <c r="F331" s="3" t="s">
        <v>155</v>
      </c>
      <c r="G331" s="35">
        <v>1</v>
      </c>
      <c r="H331" s="68">
        <v>0</v>
      </c>
      <c r="I331" s="36">
        <v>21</v>
      </c>
      <c r="J331" s="35">
        <f>ROUND(G331*AO331,2)</f>
        <v>0</v>
      </c>
      <c r="K331" s="35">
        <f>ROUND(G331*AP331,2)</f>
        <v>0</v>
      </c>
      <c r="L331" s="35">
        <f>ROUND(G331*H331,2)</f>
        <v>0</v>
      </c>
      <c r="M331" s="35">
        <f>L331*(1+BW331/100)</f>
        <v>0</v>
      </c>
      <c r="N331" s="35">
        <v>0</v>
      </c>
      <c r="O331" s="35">
        <f>G331*N331</f>
        <v>0</v>
      </c>
      <c r="P331" s="37" t="s">
        <v>64</v>
      </c>
      <c r="Z331" s="35">
        <f>ROUND(IF(AQ331="5",BJ331,0),2)</f>
        <v>0</v>
      </c>
      <c r="AB331" s="35">
        <f>ROUND(IF(AQ331="1",BH331,0),2)</f>
        <v>0</v>
      </c>
      <c r="AC331" s="35">
        <f>ROUND(IF(AQ331="1",BI331,0),2)</f>
        <v>0</v>
      </c>
      <c r="AD331" s="35">
        <f>ROUND(IF(AQ331="7",BH331,0),2)</f>
        <v>0</v>
      </c>
      <c r="AE331" s="35">
        <f>ROUND(IF(AQ331="7",BI331,0),2)</f>
        <v>0</v>
      </c>
      <c r="AF331" s="35">
        <f>ROUND(IF(AQ331="2",BH331,0),2)</f>
        <v>0</v>
      </c>
      <c r="AG331" s="35">
        <f>ROUND(IF(AQ331="2",BI331,0),2)</f>
        <v>0</v>
      </c>
      <c r="AH331" s="35">
        <f>ROUND(IF(AQ331="0",BJ331,0),2)</f>
        <v>0</v>
      </c>
      <c r="AI331" s="12" t="s">
        <v>988</v>
      </c>
      <c r="AJ331" s="35">
        <f>IF(AN331=0,L331,0)</f>
        <v>0</v>
      </c>
      <c r="AK331" s="35">
        <f>IF(AN331=15,L331,0)</f>
        <v>0</v>
      </c>
      <c r="AL331" s="35">
        <f>IF(AN331=21,L331,0)</f>
        <v>0</v>
      </c>
      <c r="AN331" s="35">
        <v>21</v>
      </c>
      <c r="AO331" s="35">
        <f>H331*0.328358209</f>
        <v>0</v>
      </c>
      <c r="AP331" s="35">
        <f>H331*(1-0.328358209)</f>
        <v>0</v>
      </c>
      <c r="AQ331" s="38" t="s">
        <v>65</v>
      </c>
      <c r="AV331" s="35">
        <f>ROUND(AW331+AX331,2)</f>
        <v>0</v>
      </c>
      <c r="AW331" s="35">
        <f>ROUND(G331*AO331,2)</f>
        <v>0</v>
      </c>
      <c r="AX331" s="35">
        <f>ROUND(G331*AP331,2)</f>
        <v>0</v>
      </c>
      <c r="AY331" s="38" t="s">
        <v>477</v>
      </c>
      <c r="AZ331" s="38" t="s">
        <v>991</v>
      </c>
      <c r="BA331" s="12" t="s">
        <v>992</v>
      </c>
      <c r="BC331" s="35">
        <f>AW331+AX331</f>
        <v>0</v>
      </c>
      <c r="BD331" s="35">
        <f>H331/(100-BE331)*100</f>
        <v>0</v>
      </c>
      <c r="BE331" s="35">
        <v>0</v>
      </c>
      <c r="BF331" s="35">
        <f>O331</f>
        <v>0</v>
      </c>
      <c r="BH331" s="35">
        <f>G331*AO331</f>
        <v>0</v>
      </c>
      <c r="BI331" s="35">
        <f>G331*AP331</f>
        <v>0</v>
      </c>
      <c r="BJ331" s="35">
        <f>G331*H331</f>
        <v>0</v>
      </c>
      <c r="BK331" s="38" t="s">
        <v>69</v>
      </c>
      <c r="BL331" s="35">
        <v>733</v>
      </c>
      <c r="BW331" s="35">
        <f>I331</f>
        <v>21</v>
      </c>
      <c r="BX331" s="4" t="s">
        <v>994</v>
      </c>
    </row>
    <row r="332" spans="1:76" x14ac:dyDescent="0.25">
      <c r="A332" s="31" t="s">
        <v>55</v>
      </c>
      <c r="B332" s="32" t="s">
        <v>988</v>
      </c>
      <c r="C332" s="32" t="s">
        <v>157</v>
      </c>
      <c r="D332" s="128" t="s">
        <v>158</v>
      </c>
      <c r="E332" s="129"/>
      <c r="F332" s="33" t="s">
        <v>4</v>
      </c>
      <c r="G332" s="33" t="s">
        <v>4</v>
      </c>
      <c r="H332" s="33" t="s">
        <v>4</v>
      </c>
      <c r="I332" s="33" t="s">
        <v>4</v>
      </c>
      <c r="J332" s="1">
        <f>SUM(J333:J336)</f>
        <v>0</v>
      </c>
      <c r="K332" s="1">
        <f>SUM(K333:K336)</f>
        <v>0</v>
      </c>
      <c r="L332" s="1">
        <f>SUM(L333:L336)</f>
        <v>0</v>
      </c>
      <c r="M332" s="1">
        <f>SUM(M333:M336)</f>
        <v>0</v>
      </c>
      <c r="N332" s="12" t="s">
        <v>55</v>
      </c>
      <c r="O332" s="1">
        <f>SUM(O333:O336)</f>
        <v>0.12869999999999998</v>
      </c>
      <c r="P332" s="34" t="s">
        <v>55</v>
      </c>
      <c r="AI332" s="12" t="s">
        <v>988</v>
      </c>
      <c r="AS332" s="1">
        <f>SUM(AJ333:AJ336)</f>
        <v>0</v>
      </c>
      <c r="AT332" s="1">
        <f>SUM(AK333:AK336)</f>
        <v>0</v>
      </c>
      <c r="AU332" s="1">
        <f>SUM(AL333:AL336)</f>
        <v>0</v>
      </c>
    </row>
    <row r="333" spans="1:76" ht="25.5" x14ac:dyDescent="0.25">
      <c r="A333" s="2" t="s">
        <v>995</v>
      </c>
      <c r="B333" s="3" t="s">
        <v>988</v>
      </c>
      <c r="C333" s="3" t="s">
        <v>996</v>
      </c>
      <c r="D333" s="70" t="s">
        <v>997</v>
      </c>
      <c r="E333" s="71"/>
      <c r="F333" s="3" t="s">
        <v>85</v>
      </c>
      <c r="G333" s="35">
        <v>330</v>
      </c>
      <c r="H333" s="68">
        <v>0</v>
      </c>
      <c r="I333" s="36">
        <v>21</v>
      </c>
      <c r="J333" s="35">
        <f>ROUND(G333*AO333,2)</f>
        <v>0</v>
      </c>
      <c r="K333" s="35">
        <f>ROUND(G333*AP333,2)</f>
        <v>0</v>
      </c>
      <c r="L333" s="35">
        <f>ROUND(G333*H333,2)</f>
        <v>0</v>
      </c>
      <c r="M333" s="35">
        <f>L333*(1+BW333/100)</f>
        <v>0</v>
      </c>
      <c r="N333" s="35">
        <v>1.3999999999999999E-4</v>
      </c>
      <c r="O333" s="35">
        <f>G333*N333</f>
        <v>4.6199999999999998E-2</v>
      </c>
      <c r="P333" s="37" t="s">
        <v>64</v>
      </c>
      <c r="Z333" s="35">
        <f>ROUND(IF(AQ333="5",BJ333,0),2)</f>
        <v>0</v>
      </c>
      <c r="AB333" s="35">
        <f>ROUND(IF(AQ333="1",BH333,0),2)</f>
        <v>0</v>
      </c>
      <c r="AC333" s="35">
        <f>ROUND(IF(AQ333="1",BI333,0),2)</f>
        <v>0</v>
      </c>
      <c r="AD333" s="35">
        <f>ROUND(IF(AQ333="7",BH333,0),2)</f>
        <v>0</v>
      </c>
      <c r="AE333" s="35">
        <f>ROUND(IF(AQ333="7",BI333,0),2)</f>
        <v>0</v>
      </c>
      <c r="AF333" s="35">
        <f>ROUND(IF(AQ333="2",BH333,0),2)</f>
        <v>0</v>
      </c>
      <c r="AG333" s="35">
        <f>ROUND(IF(AQ333="2",BI333,0),2)</f>
        <v>0</v>
      </c>
      <c r="AH333" s="35">
        <f>ROUND(IF(AQ333="0",BJ333,0),2)</f>
        <v>0</v>
      </c>
      <c r="AI333" s="12" t="s">
        <v>988</v>
      </c>
      <c r="AJ333" s="35">
        <f>IF(AN333=0,L333,0)</f>
        <v>0</v>
      </c>
      <c r="AK333" s="35">
        <f>IF(AN333=15,L333,0)</f>
        <v>0</v>
      </c>
      <c r="AL333" s="35">
        <f>IF(AN333=21,L333,0)</f>
        <v>0</v>
      </c>
      <c r="AN333" s="35">
        <v>21</v>
      </c>
      <c r="AO333" s="35">
        <f>H333*0.931383989</f>
        <v>0</v>
      </c>
      <c r="AP333" s="35">
        <f>H333*(1-0.931383989)</f>
        <v>0</v>
      </c>
      <c r="AQ333" s="38" t="s">
        <v>65</v>
      </c>
      <c r="AV333" s="35">
        <f>ROUND(AW333+AX333,2)</f>
        <v>0</v>
      </c>
      <c r="AW333" s="35">
        <f>ROUND(G333*AO333,2)</f>
        <v>0</v>
      </c>
      <c r="AX333" s="35">
        <f>ROUND(G333*AP333,2)</f>
        <v>0</v>
      </c>
      <c r="AY333" s="38" t="s">
        <v>162</v>
      </c>
      <c r="AZ333" s="38" t="s">
        <v>991</v>
      </c>
      <c r="BA333" s="12" t="s">
        <v>992</v>
      </c>
      <c r="BC333" s="35">
        <f>AW333+AX333</f>
        <v>0</v>
      </c>
      <c r="BD333" s="35">
        <f>H333/(100-BE333)*100</f>
        <v>0</v>
      </c>
      <c r="BE333" s="35">
        <v>0</v>
      </c>
      <c r="BF333" s="35">
        <f>O333</f>
        <v>4.6199999999999998E-2</v>
      </c>
      <c r="BH333" s="35">
        <f>G333*AO333</f>
        <v>0</v>
      </c>
      <c r="BI333" s="35">
        <f>G333*AP333</f>
        <v>0</v>
      </c>
      <c r="BJ333" s="35">
        <f>G333*H333</f>
        <v>0</v>
      </c>
      <c r="BK333" s="38" t="s">
        <v>69</v>
      </c>
      <c r="BL333" s="35">
        <v>734</v>
      </c>
      <c r="BW333" s="35">
        <f>I333</f>
        <v>21</v>
      </c>
      <c r="BX333" s="4" t="s">
        <v>997</v>
      </c>
    </row>
    <row r="334" spans="1:76" ht="25.5" x14ac:dyDescent="0.25">
      <c r="A334" s="2" t="s">
        <v>998</v>
      </c>
      <c r="B334" s="3" t="s">
        <v>988</v>
      </c>
      <c r="C334" s="3" t="s">
        <v>999</v>
      </c>
      <c r="D334" s="70" t="s">
        <v>1000</v>
      </c>
      <c r="E334" s="71"/>
      <c r="F334" s="3" t="s">
        <v>85</v>
      </c>
      <c r="G334" s="35">
        <v>105</v>
      </c>
      <c r="H334" s="68">
        <v>0</v>
      </c>
      <c r="I334" s="36">
        <v>21</v>
      </c>
      <c r="J334" s="35">
        <f>ROUND(G334*AO334,2)</f>
        <v>0</v>
      </c>
      <c r="K334" s="35">
        <f>ROUND(G334*AP334,2)</f>
        <v>0</v>
      </c>
      <c r="L334" s="35">
        <f>ROUND(G334*H334,2)</f>
        <v>0</v>
      </c>
      <c r="M334" s="35">
        <f>L334*(1+BW334/100)</f>
        <v>0</v>
      </c>
      <c r="N334" s="35">
        <v>2.5000000000000001E-4</v>
      </c>
      <c r="O334" s="35">
        <f>G334*N334</f>
        <v>2.6249999999999999E-2</v>
      </c>
      <c r="P334" s="37" t="s">
        <v>64</v>
      </c>
      <c r="Z334" s="35">
        <f>ROUND(IF(AQ334="5",BJ334,0),2)</f>
        <v>0</v>
      </c>
      <c r="AB334" s="35">
        <f>ROUND(IF(AQ334="1",BH334,0),2)</f>
        <v>0</v>
      </c>
      <c r="AC334" s="35">
        <f>ROUND(IF(AQ334="1",BI334,0),2)</f>
        <v>0</v>
      </c>
      <c r="AD334" s="35">
        <f>ROUND(IF(AQ334="7",BH334,0),2)</f>
        <v>0</v>
      </c>
      <c r="AE334" s="35">
        <f>ROUND(IF(AQ334="7",BI334,0),2)</f>
        <v>0</v>
      </c>
      <c r="AF334" s="35">
        <f>ROUND(IF(AQ334="2",BH334,0),2)</f>
        <v>0</v>
      </c>
      <c r="AG334" s="35">
        <f>ROUND(IF(AQ334="2",BI334,0),2)</f>
        <v>0</v>
      </c>
      <c r="AH334" s="35">
        <f>ROUND(IF(AQ334="0",BJ334,0),2)</f>
        <v>0</v>
      </c>
      <c r="AI334" s="12" t="s">
        <v>988</v>
      </c>
      <c r="AJ334" s="35">
        <f>IF(AN334=0,L334,0)</f>
        <v>0</v>
      </c>
      <c r="AK334" s="35">
        <f>IF(AN334=15,L334,0)</f>
        <v>0</v>
      </c>
      <c r="AL334" s="35">
        <f>IF(AN334=21,L334,0)</f>
        <v>0</v>
      </c>
      <c r="AN334" s="35">
        <v>21</v>
      </c>
      <c r="AO334" s="35">
        <f>H334*0.864280125</f>
        <v>0</v>
      </c>
      <c r="AP334" s="35">
        <f>H334*(1-0.864280125)</f>
        <v>0</v>
      </c>
      <c r="AQ334" s="38" t="s">
        <v>65</v>
      </c>
      <c r="AV334" s="35">
        <f>ROUND(AW334+AX334,2)</f>
        <v>0</v>
      </c>
      <c r="AW334" s="35">
        <f>ROUND(G334*AO334,2)</f>
        <v>0</v>
      </c>
      <c r="AX334" s="35">
        <f>ROUND(G334*AP334,2)</f>
        <v>0</v>
      </c>
      <c r="AY334" s="38" t="s">
        <v>162</v>
      </c>
      <c r="AZ334" s="38" t="s">
        <v>991</v>
      </c>
      <c r="BA334" s="12" t="s">
        <v>992</v>
      </c>
      <c r="BC334" s="35">
        <f>AW334+AX334</f>
        <v>0</v>
      </c>
      <c r="BD334" s="35">
        <f>H334/(100-BE334)*100</f>
        <v>0</v>
      </c>
      <c r="BE334" s="35">
        <v>0</v>
      </c>
      <c r="BF334" s="35">
        <f>O334</f>
        <v>2.6249999999999999E-2</v>
      </c>
      <c r="BH334" s="35">
        <f>G334*AO334</f>
        <v>0</v>
      </c>
      <c r="BI334" s="35">
        <f>G334*AP334</f>
        <v>0</v>
      </c>
      <c r="BJ334" s="35">
        <f>G334*H334</f>
        <v>0</v>
      </c>
      <c r="BK334" s="38" t="s">
        <v>69</v>
      </c>
      <c r="BL334" s="35">
        <v>734</v>
      </c>
      <c r="BW334" s="35">
        <f>I334</f>
        <v>21</v>
      </c>
      <c r="BX334" s="4" t="s">
        <v>1000</v>
      </c>
    </row>
    <row r="335" spans="1:76" ht="25.5" x14ac:dyDescent="0.25">
      <c r="A335" s="2" t="s">
        <v>1001</v>
      </c>
      <c r="B335" s="3" t="s">
        <v>988</v>
      </c>
      <c r="C335" s="3" t="s">
        <v>1002</v>
      </c>
      <c r="D335" s="70" t="s">
        <v>1003</v>
      </c>
      <c r="E335" s="71"/>
      <c r="F335" s="3" t="s">
        <v>85</v>
      </c>
      <c r="G335" s="35">
        <v>150</v>
      </c>
      <c r="H335" s="68">
        <v>0</v>
      </c>
      <c r="I335" s="36">
        <v>21</v>
      </c>
      <c r="J335" s="35">
        <f>ROUND(G335*AO335,2)</f>
        <v>0</v>
      </c>
      <c r="K335" s="35">
        <f>ROUND(G335*AP335,2)</f>
        <v>0</v>
      </c>
      <c r="L335" s="35">
        <f>ROUND(G335*H335,2)</f>
        <v>0</v>
      </c>
      <c r="M335" s="35">
        <f>L335*(1+BW335/100)</f>
        <v>0</v>
      </c>
      <c r="N335" s="35">
        <v>2.5000000000000001E-4</v>
      </c>
      <c r="O335" s="35">
        <f>G335*N335</f>
        <v>3.7499999999999999E-2</v>
      </c>
      <c r="P335" s="37" t="s">
        <v>64</v>
      </c>
      <c r="Z335" s="35">
        <f>ROUND(IF(AQ335="5",BJ335,0),2)</f>
        <v>0</v>
      </c>
      <c r="AB335" s="35">
        <f>ROUND(IF(AQ335="1",BH335,0),2)</f>
        <v>0</v>
      </c>
      <c r="AC335" s="35">
        <f>ROUND(IF(AQ335="1",BI335,0),2)</f>
        <v>0</v>
      </c>
      <c r="AD335" s="35">
        <f>ROUND(IF(AQ335="7",BH335,0),2)</f>
        <v>0</v>
      </c>
      <c r="AE335" s="35">
        <f>ROUND(IF(AQ335="7",BI335,0),2)</f>
        <v>0</v>
      </c>
      <c r="AF335" s="35">
        <f>ROUND(IF(AQ335="2",BH335,0),2)</f>
        <v>0</v>
      </c>
      <c r="AG335" s="35">
        <f>ROUND(IF(AQ335="2",BI335,0),2)</f>
        <v>0</v>
      </c>
      <c r="AH335" s="35">
        <f>ROUND(IF(AQ335="0",BJ335,0),2)</f>
        <v>0</v>
      </c>
      <c r="AI335" s="12" t="s">
        <v>988</v>
      </c>
      <c r="AJ335" s="35">
        <f>IF(AN335=0,L335,0)</f>
        <v>0</v>
      </c>
      <c r="AK335" s="35">
        <f>IF(AN335=15,L335,0)</f>
        <v>0</v>
      </c>
      <c r="AL335" s="35">
        <f>IF(AN335=21,L335,0)</f>
        <v>0</v>
      </c>
      <c r="AN335" s="35">
        <v>21</v>
      </c>
      <c r="AO335" s="35">
        <f>H335*0.866474211</f>
        <v>0</v>
      </c>
      <c r="AP335" s="35">
        <f>H335*(1-0.866474211)</f>
        <v>0</v>
      </c>
      <c r="AQ335" s="38" t="s">
        <v>65</v>
      </c>
      <c r="AV335" s="35">
        <f>ROUND(AW335+AX335,2)</f>
        <v>0</v>
      </c>
      <c r="AW335" s="35">
        <f>ROUND(G335*AO335,2)</f>
        <v>0</v>
      </c>
      <c r="AX335" s="35">
        <f>ROUND(G335*AP335,2)</f>
        <v>0</v>
      </c>
      <c r="AY335" s="38" t="s">
        <v>162</v>
      </c>
      <c r="AZ335" s="38" t="s">
        <v>991</v>
      </c>
      <c r="BA335" s="12" t="s">
        <v>992</v>
      </c>
      <c r="BC335" s="35">
        <f>AW335+AX335</f>
        <v>0</v>
      </c>
      <c r="BD335" s="35">
        <f>H335/(100-BE335)*100</f>
        <v>0</v>
      </c>
      <c r="BE335" s="35">
        <v>0</v>
      </c>
      <c r="BF335" s="35">
        <f>O335</f>
        <v>3.7499999999999999E-2</v>
      </c>
      <c r="BH335" s="35">
        <f>G335*AO335</f>
        <v>0</v>
      </c>
      <c r="BI335" s="35">
        <f>G335*AP335</f>
        <v>0</v>
      </c>
      <c r="BJ335" s="35">
        <f>G335*H335</f>
        <v>0</v>
      </c>
      <c r="BK335" s="38" t="s">
        <v>69</v>
      </c>
      <c r="BL335" s="35">
        <v>734</v>
      </c>
      <c r="BW335" s="35">
        <f>I335</f>
        <v>21</v>
      </c>
      <c r="BX335" s="4" t="s">
        <v>1003</v>
      </c>
    </row>
    <row r="336" spans="1:76" ht="25.5" x14ac:dyDescent="0.25">
      <c r="A336" s="2" t="s">
        <v>1004</v>
      </c>
      <c r="B336" s="3" t="s">
        <v>988</v>
      </c>
      <c r="C336" s="3" t="s">
        <v>1005</v>
      </c>
      <c r="D336" s="70" t="s">
        <v>1006</v>
      </c>
      <c r="E336" s="71"/>
      <c r="F336" s="3" t="s">
        <v>85</v>
      </c>
      <c r="G336" s="35">
        <v>75</v>
      </c>
      <c r="H336" s="68">
        <v>0</v>
      </c>
      <c r="I336" s="36">
        <v>21</v>
      </c>
      <c r="J336" s="35">
        <f>ROUND(G336*AO336,2)</f>
        <v>0</v>
      </c>
      <c r="K336" s="35">
        <f>ROUND(G336*AP336,2)</f>
        <v>0</v>
      </c>
      <c r="L336" s="35">
        <f>ROUND(G336*H336,2)</f>
        <v>0</v>
      </c>
      <c r="M336" s="35">
        <f>L336*(1+BW336/100)</f>
        <v>0</v>
      </c>
      <c r="N336" s="35">
        <v>2.5000000000000001E-4</v>
      </c>
      <c r="O336" s="35">
        <f>G336*N336</f>
        <v>1.8749999999999999E-2</v>
      </c>
      <c r="P336" s="37" t="s">
        <v>64</v>
      </c>
      <c r="Z336" s="35">
        <f>ROUND(IF(AQ336="5",BJ336,0),2)</f>
        <v>0</v>
      </c>
      <c r="AB336" s="35">
        <f>ROUND(IF(AQ336="1",BH336,0),2)</f>
        <v>0</v>
      </c>
      <c r="AC336" s="35">
        <f>ROUND(IF(AQ336="1",BI336,0),2)</f>
        <v>0</v>
      </c>
      <c r="AD336" s="35">
        <f>ROUND(IF(AQ336="7",BH336,0),2)</f>
        <v>0</v>
      </c>
      <c r="AE336" s="35">
        <f>ROUND(IF(AQ336="7",BI336,0),2)</f>
        <v>0</v>
      </c>
      <c r="AF336" s="35">
        <f>ROUND(IF(AQ336="2",BH336,0),2)</f>
        <v>0</v>
      </c>
      <c r="AG336" s="35">
        <f>ROUND(IF(AQ336="2",BI336,0),2)</f>
        <v>0</v>
      </c>
      <c r="AH336" s="35">
        <f>ROUND(IF(AQ336="0",BJ336,0),2)</f>
        <v>0</v>
      </c>
      <c r="AI336" s="12" t="s">
        <v>988</v>
      </c>
      <c r="AJ336" s="35">
        <f>IF(AN336=0,L336,0)</f>
        <v>0</v>
      </c>
      <c r="AK336" s="35">
        <f>IF(AN336=15,L336,0)</f>
        <v>0</v>
      </c>
      <c r="AL336" s="35">
        <f>IF(AN336=21,L336,0)</f>
        <v>0</v>
      </c>
      <c r="AN336" s="35">
        <v>21</v>
      </c>
      <c r="AO336" s="35">
        <f>H336*0.884505997</f>
        <v>0</v>
      </c>
      <c r="AP336" s="35">
        <f>H336*(1-0.884505997)</f>
        <v>0</v>
      </c>
      <c r="AQ336" s="38" t="s">
        <v>65</v>
      </c>
      <c r="AV336" s="35">
        <f>ROUND(AW336+AX336,2)</f>
        <v>0</v>
      </c>
      <c r="AW336" s="35">
        <f>ROUND(G336*AO336,2)</f>
        <v>0</v>
      </c>
      <c r="AX336" s="35">
        <f>ROUND(G336*AP336,2)</f>
        <v>0</v>
      </c>
      <c r="AY336" s="38" t="s">
        <v>162</v>
      </c>
      <c r="AZ336" s="38" t="s">
        <v>991</v>
      </c>
      <c r="BA336" s="12" t="s">
        <v>992</v>
      </c>
      <c r="BC336" s="35">
        <f>AW336+AX336</f>
        <v>0</v>
      </c>
      <c r="BD336" s="35">
        <f>H336/(100-BE336)*100</f>
        <v>0</v>
      </c>
      <c r="BE336" s="35">
        <v>0</v>
      </c>
      <c r="BF336" s="35">
        <f>O336</f>
        <v>1.8749999999999999E-2</v>
      </c>
      <c r="BH336" s="35">
        <f>G336*AO336</f>
        <v>0</v>
      </c>
      <c r="BI336" s="35">
        <f>G336*AP336</f>
        <v>0</v>
      </c>
      <c r="BJ336" s="35">
        <f>G336*H336</f>
        <v>0</v>
      </c>
      <c r="BK336" s="38" t="s">
        <v>69</v>
      </c>
      <c r="BL336" s="35">
        <v>734</v>
      </c>
      <c r="BW336" s="35">
        <f>I336</f>
        <v>21</v>
      </c>
      <c r="BX336" s="4" t="s">
        <v>1006</v>
      </c>
    </row>
    <row r="337" spans="1:76" x14ac:dyDescent="0.25">
      <c r="A337" s="31" t="s">
        <v>55</v>
      </c>
      <c r="B337" s="32" t="s">
        <v>988</v>
      </c>
      <c r="C337" s="32" t="s">
        <v>1007</v>
      </c>
      <c r="D337" s="128" t="s">
        <v>165</v>
      </c>
      <c r="E337" s="129"/>
      <c r="F337" s="33" t="s">
        <v>4</v>
      </c>
      <c r="G337" s="33" t="s">
        <v>4</v>
      </c>
      <c r="H337" s="33"/>
      <c r="I337" s="33" t="s">
        <v>4</v>
      </c>
      <c r="J337" s="1">
        <f>SUM(J338:J338)</f>
        <v>0</v>
      </c>
      <c r="K337" s="1">
        <f>SUM(K338:K338)</f>
        <v>0</v>
      </c>
      <c r="L337" s="1">
        <f>SUM(L338:L338)</f>
        <v>0</v>
      </c>
      <c r="M337" s="1">
        <f>SUM(M338:M338)</f>
        <v>0</v>
      </c>
      <c r="N337" s="12" t="s">
        <v>55</v>
      </c>
      <c r="O337" s="1">
        <f>SUM(O338:O338)</f>
        <v>0</v>
      </c>
      <c r="P337" s="34" t="s">
        <v>55</v>
      </c>
      <c r="AI337" s="12" t="s">
        <v>988</v>
      </c>
      <c r="AS337" s="1">
        <f>SUM(AJ338:AJ338)</f>
        <v>0</v>
      </c>
      <c r="AT337" s="1">
        <f>SUM(AK338:AK338)</f>
        <v>0</v>
      </c>
      <c r="AU337" s="1">
        <f>SUM(AL338:AL338)</f>
        <v>0</v>
      </c>
    </row>
    <row r="338" spans="1:76" x14ac:dyDescent="0.25">
      <c r="A338" s="2" t="s">
        <v>1008</v>
      </c>
      <c r="B338" s="3" t="s">
        <v>988</v>
      </c>
      <c r="C338" s="3" t="s">
        <v>1009</v>
      </c>
      <c r="D338" s="70" t="s">
        <v>1010</v>
      </c>
      <c r="E338" s="71"/>
      <c r="F338" s="3" t="s">
        <v>155</v>
      </c>
      <c r="G338" s="35">
        <v>1</v>
      </c>
      <c r="H338" s="68">
        <v>0</v>
      </c>
      <c r="I338" s="36">
        <v>21</v>
      </c>
      <c r="J338" s="35">
        <f>ROUND(G338*AO338,2)</f>
        <v>0</v>
      </c>
      <c r="K338" s="35">
        <f>ROUND(G338*AP338,2)</f>
        <v>0</v>
      </c>
      <c r="L338" s="35">
        <f>ROUND(G338*H338,2)</f>
        <v>0</v>
      </c>
      <c r="M338" s="35">
        <f>L338*(1+BW338/100)</f>
        <v>0</v>
      </c>
      <c r="N338" s="35">
        <v>0</v>
      </c>
      <c r="O338" s="35">
        <f>G338*N338</f>
        <v>0</v>
      </c>
      <c r="P338" s="37" t="s">
        <v>64</v>
      </c>
      <c r="Z338" s="35">
        <f>ROUND(IF(AQ338="5",BJ338,0),2)</f>
        <v>0</v>
      </c>
      <c r="AB338" s="35">
        <f>ROUND(IF(AQ338="1",BH338,0),2)</f>
        <v>0</v>
      </c>
      <c r="AC338" s="35">
        <f>ROUND(IF(AQ338="1",BI338,0),2)</f>
        <v>0</v>
      </c>
      <c r="AD338" s="35">
        <f>ROUND(IF(AQ338="7",BH338,0),2)</f>
        <v>0</v>
      </c>
      <c r="AE338" s="35">
        <f>ROUND(IF(AQ338="7",BI338,0),2)</f>
        <v>0</v>
      </c>
      <c r="AF338" s="35">
        <f>ROUND(IF(AQ338="2",BH338,0),2)</f>
        <v>0</v>
      </c>
      <c r="AG338" s="35">
        <f>ROUND(IF(AQ338="2",BI338,0),2)</f>
        <v>0</v>
      </c>
      <c r="AH338" s="35">
        <f>ROUND(IF(AQ338="0",BJ338,0),2)</f>
        <v>0</v>
      </c>
      <c r="AI338" s="12" t="s">
        <v>988</v>
      </c>
      <c r="AJ338" s="35">
        <f>IF(AN338=0,L338,0)</f>
        <v>0</v>
      </c>
      <c r="AK338" s="35">
        <f>IF(AN338=15,L338,0)</f>
        <v>0</v>
      </c>
      <c r="AL338" s="35">
        <f>IF(AN338=21,L338,0)</f>
        <v>0</v>
      </c>
      <c r="AN338" s="35">
        <v>21</v>
      </c>
      <c r="AO338" s="35">
        <f>H338*0.263157895</f>
        <v>0</v>
      </c>
      <c r="AP338" s="35">
        <f>H338*(1-0.263157895)</f>
        <v>0</v>
      </c>
      <c r="AQ338" s="38" t="s">
        <v>65</v>
      </c>
      <c r="AV338" s="35">
        <f>ROUND(AW338+AX338,2)</f>
        <v>0</v>
      </c>
      <c r="AW338" s="35">
        <f>ROUND(G338*AO338,2)</f>
        <v>0</v>
      </c>
      <c r="AX338" s="35">
        <f>ROUND(G338*AP338,2)</f>
        <v>0</v>
      </c>
      <c r="AY338" s="38" t="s">
        <v>1011</v>
      </c>
      <c r="AZ338" s="38" t="s">
        <v>1012</v>
      </c>
      <c r="BA338" s="12" t="s">
        <v>992</v>
      </c>
      <c r="BC338" s="35">
        <f>AW338+AX338</f>
        <v>0</v>
      </c>
      <c r="BD338" s="35">
        <f>H338/(100-BE338)*100</f>
        <v>0</v>
      </c>
      <c r="BE338" s="35">
        <v>0</v>
      </c>
      <c r="BF338" s="35">
        <f>O338</f>
        <v>0</v>
      </c>
      <c r="BH338" s="35">
        <f>G338*AO338</f>
        <v>0</v>
      </c>
      <c r="BI338" s="35">
        <f>G338*AP338</f>
        <v>0</v>
      </c>
      <c r="BJ338" s="35">
        <f>G338*H338</f>
        <v>0</v>
      </c>
      <c r="BK338" s="38" t="s">
        <v>69</v>
      </c>
      <c r="BL338" s="35"/>
      <c r="BW338" s="35">
        <f>I338</f>
        <v>21</v>
      </c>
      <c r="BX338" s="4" t="s">
        <v>1010</v>
      </c>
    </row>
    <row r="339" spans="1:76" x14ac:dyDescent="0.25">
      <c r="A339" s="31" t="s">
        <v>55</v>
      </c>
      <c r="B339" s="32" t="s">
        <v>988</v>
      </c>
      <c r="C339" s="32" t="s">
        <v>174</v>
      </c>
      <c r="D339" s="128" t="s">
        <v>175</v>
      </c>
      <c r="E339" s="129"/>
      <c r="F339" s="33" t="s">
        <v>4</v>
      </c>
      <c r="G339" s="33" t="s">
        <v>4</v>
      </c>
      <c r="H339" s="33"/>
      <c r="I339" s="33" t="s">
        <v>4</v>
      </c>
      <c r="J339" s="1">
        <f>SUM(J340:J341)</f>
        <v>0</v>
      </c>
      <c r="K339" s="1">
        <f>SUM(K340:K341)</f>
        <v>0</v>
      </c>
      <c r="L339" s="1">
        <f>SUM(L340:L341)</f>
        <v>0</v>
      </c>
      <c r="M339" s="1">
        <f>SUM(M340:M341)</f>
        <v>0</v>
      </c>
      <c r="N339" s="12" t="s">
        <v>55</v>
      </c>
      <c r="O339" s="1">
        <f>SUM(O340:O341)</f>
        <v>0</v>
      </c>
      <c r="P339" s="34" t="s">
        <v>55</v>
      </c>
      <c r="AI339" s="12" t="s">
        <v>988</v>
      </c>
      <c r="AS339" s="1">
        <f>SUM(AJ340:AJ341)</f>
        <v>0</v>
      </c>
      <c r="AT339" s="1">
        <f>SUM(AK340:AK341)</f>
        <v>0</v>
      </c>
      <c r="AU339" s="1">
        <f>SUM(AL340:AL341)</f>
        <v>0</v>
      </c>
    </row>
    <row r="340" spans="1:76" x14ac:dyDescent="0.25">
      <c r="A340" s="2" t="s">
        <v>1013</v>
      </c>
      <c r="B340" s="3" t="s">
        <v>988</v>
      </c>
      <c r="C340" s="3" t="s">
        <v>675</v>
      </c>
      <c r="D340" s="70" t="s">
        <v>1014</v>
      </c>
      <c r="E340" s="71"/>
      <c r="F340" s="3" t="s">
        <v>179</v>
      </c>
      <c r="G340" s="35">
        <v>165</v>
      </c>
      <c r="H340" s="68">
        <v>0</v>
      </c>
      <c r="I340" s="36">
        <v>21</v>
      </c>
      <c r="J340" s="35">
        <f>ROUND(G340*AO340,2)</f>
        <v>0</v>
      </c>
      <c r="K340" s="35">
        <f>ROUND(G340*AP340,2)</f>
        <v>0</v>
      </c>
      <c r="L340" s="35">
        <f>ROUND(G340*H340,2)</f>
        <v>0</v>
      </c>
      <c r="M340" s="35">
        <f>L340*(1+BW340/100)</f>
        <v>0</v>
      </c>
      <c r="N340" s="35">
        <v>0</v>
      </c>
      <c r="O340" s="35">
        <f>G340*N340</f>
        <v>0</v>
      </c>
      <c r="P340" s="37" t="s">
        <v>64</v>
      </c>
      <c r="Z340" s="35">
        <f>ROUND(IF(AQ340="5",BJ340,0),2)</f>
        <v>0</v>
      </c>
      <c r="AB340" s="35">
        <f>ROUND(IF(AQ340="1",BH340,0),2)</f>
        <v>0</v>
      </c>
      <c r="AC340" s="35">
        <f>ROUND(IF(AQ340="1",BI340,0),2)</f>
        <v>0</v>
      </c>
      <c r="AD340" s="35">
        <f>ROUND(IF(AQ340="7",BH340,0),2)</f>
        <v>0</v>
      </c>
      <c r="AE340" s="35">
        <f>ROUND(IF(AQ340="7",BI340,0),2)</f>
        <v>0</v>
      </c>
      <c r="AF340" s="35">
        <f>ROUND(IF(AQ340="2",BH340,0),2)</f>
        <v>0</v>
      </c>
      <c r="AG340" s="35">
        <f>ROUND(IF(AQ340="2",BI340,0),2)</f>
        <v>0</v>
      </c>
      <c r="AH340" s="35">
        <f>ROUND(IF(AQ340="0",BJ340,0),2)</f>
        <v>0</v>
      </c>
      <c r="AI340" s="12" t="s">
        <v>988</v>
      </c>
      <c r="AJ340" s="35">
        <f>IF(AN340=0,L340,0)</f>
        <v>0</v>
      </c>
      <c r="AK340" s="35">
        <f>IF(AN340=15,L340,0)</f>
        <v>0</v>
      </c>
      <c r="AL340" s="35">
        <f>IF(AN340=21,L340,0)</f>
        <v>0</v>
      </c>
      <c r="AN340" s="35">
        <v>21</v>
      </c>
      <c r="AO340" s="35">
        <f>H340*0</f>
        <v>0</v>
      </c>
      <c r="AP340" s="35">
        <f>H340*(1-0)</f>
        <v>0</v>
      </c>
      <c r="AQ340" s="38" t="s">
        <v>60</v>
      </c>
      <c r="AV340" s="35">
        <f>ROUND(AW340+AX340,2)</f>
        <v>0</v>
      </c>
      <c r="AW340" s="35">
        <f>ROUND(G340*AO340,2)</f>
        <v>0</v>
      </c>
      <c r="AX340" s="35">
        <f>ROUND(G340*AP340,2)</f>
        <v>0</v>
      </c>
      <c r="AY340" s="38" t="s">
        <v>180</v>
      </c>
      <c r="AZ340" s="38" t="s">
        <v>1015</v>
      </c>
      <c r="BA340" s="12" t="s">
        <v>992</v>
      </c>
      <c r="BC340" s="35">
        <f>AW340+AX340</f>
        <v>0</v>
      </c>
      <c r="BD340" s="35">
        <f>H340/(100-BE340)*100</f>
        <v>0</v>
      </c>
      <c r="BE340" s="35">
        <v>0</v>
      </c>
      <c r="BF340" s="35">
        <f>O340</f>
        <v>0</v>
      </c>
      <c r="BH340" s="35">
        <f>G340*AO340</f>
        <v>0</v>
      </c>
      <c r="BI340" s="35">
        <f>G340*AP340</f>
        <v>0</v>
      </c>
      <c r="BJ340" s="35">
        <f>G340*H340</f>
        <v>0</v>
      </c>
      <c r="BK340" s="38" t="s">
        <v>69</v>
      </c>
      <c r="BL340" s="35">
        <v>90</v>
      </c>
      <c r="BW340" s="35">
        <f>I340</f>
        <v>21</v>
      </c>
      <c r="BX340" s="4" t="s">
        <v>1014</v>
      </c>
    </row>
    <row r="341" spans="1:76" x14ac:dyDescent="0.25">
      <c r="A341" s="2" t="s">
        <v>1016</v>
      </c>
      <c r="B341" s="3" t="s">
        <v>988</v>
      </c>
      <c r="C341" s="3" t="s">
        <v>660</v>
      </c>
      <c r="D341" s="70" t="s">
        <v>670</v>
      </c>
      <c r="E341" s="71"/>
      <c r="F341" s="3" t="s">
        <v>179</v>
      </c>
      <c r="G341" s="35">
        <v>6</v>
      </c>
      <c r="H341" s="68">
        <v>0</v>
      </c>
      <c r="I341" s="36">
        <v>21</v>
      </c>
      <c r="J341" s="35">
        <f>ROUND(G341*AO341,2)</f>
        <v>0</v>
      </c>
      <c r="K341" s="35">
        <f>ROUND(G341*AP341,2)</f>
        <v>0</v>
      </c>
      <c r="L341" s="35">
        <f>ROUND(G341*H341,2)</f>
        <v>0</v>
      </c>
      <c r="M341" s="35">
        <f>L341*(1+BW341/100)</f>
        <v>0</v>
      </c>
      <c r="N341" s="35">
        <v>0</v>
      </c>
      <c r="O341" s="35">
        <f>G341*N341</f>
        <v>0</v>
      </c>
      <c r="P341" s="37" t="s">
        <v>64</v>
      </c>
      <c r="Z341" s="35">
        <f>ROUND(IF(AQ341="5",BJ341,0),2)</f>
        <v>0</v>
      </c>
      <c r="AB341" s="35">
        <f>ROUND(IF(AQ341="1",BH341,0),2)</f>
        <v>0</v>
      </c>
      <c r="AC341" s="35">
        <f>ROUND(IF(AQ341="1",BI341,0),2)</f>
        <v>0</v>
      </c>
      <c r="AD341" s="35">
        <f>ROUND(IF(AQ341="7",BH341,0),2)</f>
        <v>0</v>
      </c>
      <c r="AE341" s="35">
        <f>ROUND(IF(AQ341="7",BI341,0),2)</f>
        <v>0</v>
      </c>
      <c r="AF341" s="35">
        <f>ROUND(IF(AQ341="2",BH341,0),2)</f>
        <v>0</v>
      </c>
      <c r="AG341" s="35">
        <f>ROUND(IF(AQ341="2",BI341,0),2)</f>
        <v>0</v>
      </c>
      <c r="AH341" s="35">
        <f>ROUND(IF(AQ341="0",BJ341,0),2)</f>
        <v>0</v>
      </c>
      <c r="AI341" s="12" t="s">
        <v>988</v>
      </c>
      <c r="AJ341" s="35">
        <f>IF(AN341=0,L341,0)</f>
        <v>0</v>
      </c>
      <c r="AK341" s="35">
        <f>IF(AN341=15,L341,0)</f>
        <v>0</v>
      </c>
      <c r="AL341" s="35">
        <f>IF(AN341=21,L341,0)</f>
        <v>0</v>
      </c>
      <c r="AN341" s="35">
        <v>21</v>
      </c>
      <c r="AO341" s="35">
        <f>H341*0</f>
        <v>0</v>
      </c>
      <c r="AP341" s="35">
        <f>H341*(1-0)</f>
        <v>0</v>
      </c>
      <c r="AQ341" s="38" t="s">
        <v>60</v>
      </c>
      <c r="AV341" s="35">
        <f>ROUND(AW341+AX341,2)</f>
        <v>0</v>
      </c>
      <c r="AW341" s="35">
        <f>ROUND(G341*AO341,2)</f>
        <v>0</v>
      </c>
      <c r="AX341" s="35">
        <f>ROUND(G341*AP341,2)</f>
        <v>0</v>
      </c>
      <c r="AY341" s="38" t="s">
        <v>180</v>
      </c>
      <c r="AZ341" s="38" t="s">
        <v>1015</v>
      </c>
      <c r="BA341" s="12" t="s">
        <v>992</v>
      </c>
      <c r="BC341" s="35">
        <f>AW341+AX341</f>
        <v>0</v>
      </c>
      <c r="BD341" s="35">
        <f>H341/(100-BE341)*100</f>
        <v>0</v>
      </c>
      <c r="BE341" s="35">
        <v>0</v>
      </c>
      <c r="BF341" s="35">
        <f>O341</f>
        <v>0</v>
      </c>
      <c r="BH341" s="35">
        <f>G341*AO341</f>
        <v>0</v>
      </c>
      <c r="BI341" s="35">
        <f>G341*AP341</f>
        <v>0</v>
      </c>
      <c r="BJ341" s="35">
        <f>G341*H341</f>
        <v>0</v>
      </c>
      <c r="BK341" s="38" t="s">
        <v>69</v>
      </c>
      <c r="BL341" s="35">
        <v>90</v>
      </c>
      <c r="BW341" s="35">
        <f>I341</f>
        <v>21</v>
      </c>
      <c r="BX341" s="4" t="s">
        <v>670</v>
      </c>
    </row>
    <row r="342" spans="1:76" x14ac:dyDescent="0.25">
      <c r="A342" s="31" t="s">
        <v>55</v>
      </c>
      <c r="B342" s="32" t="s">
        <v>988</v>
      </c>
      <c r="C342" s="32" t="s">
        <v>1017</v>
      </c>
      <c r="D342" s="128" t="s">
        <v>158</v>
      </c>
      <c r="E342" s="129"/>
      <c r="F342" s="33" t="s">
        <v>4</v>
      </c>
      <c r="G342" s="33" t="s">
        <v>4</v>
      </c>
      <c r="H342" s="33" t="s">
        <v>4</v>
      </c>
      <c r="I342" s="33" t="s">
        <v>4</v>
      </c>
      <c r="J342" s="1">
        <f>SUM(J343:J343)</f>
        <v>0</v>
      </c>
      <c r="K342" s="1">
        <f>SUM(K343:K343)</f>
        <v>0</v>
      </c>
      <c r="L342" s="1">
        <f>SUM(L343:L343)</f>
        <v>0</v>
      </c>
      <c r="M342" s="1">
        <f>SUM(M343:M343)</f>
        <v>0</v>
      </c>
      <c r="N342" s="12" t="s">
        <v>55</v>
      </c>
      <c r="O342" s="1">
        <f>SUM(O343:O343)</f>
        <v>0</v>
      </c>
      <c r="P342" s="34" t="s">
        <v>55</v>
      </c>
      <c r="AI342" s="12" t="s">
        <v>988</v>
      </c>
      <c r="AS342" s="1">
        <f>SUM(AJ343:AJ343)</f>
        <v>0</v>
      </c>
      <c r="AT342" s="1">
        <f>SUM(AK343:AK343)</f>
        <v>0</v>
      </c>
      <c r="AU342" s="1">
        <f>SUM(AL343:AL343)</f>
        <v>0</v>
      </c>
    </row>
    <row r="343" spans="1:76" x14ac:dyDescent="0.25">
      <c r="A343" s="2" t="s">
        <v>1018</v>
      </c>
      <c r="B343" s="3" t="s">
        <v>988</v>
      </c>
      <c r="C343" s="3" t="s">
        <v>1019</v>
      </c>
      <c r="D343" s="70" t="s">
        <v>1020</v>
      </c>
      <c r="E343" s="71"/>
      <c r="F343" s="3" t="s">
        <v>190</v>
      </c>
      <c r="G343" s="68">
        <v>0</v>
      </c>
      <c r="H343" s="35">
        <v>0.54</v>
      </c>
      <c r="I343" s="36">
        <v>21</v>
      </c>
      <c r="J343" s="35">
        <f>ROUND(G343*AO343,2)</f>
        <v>0</v>
      </c>
      <c r="K343" s="35">
        <f>ROUND(G343*AP343,2)</f>
        <v>0</v>
      </c>
      <c r="L343" s="35">
        <f>ROUND(G343*H343,2)</f>
        <v>0</v>
      </c>
      <c r="M343" s="35">
        <f>L343*(1+BW343/100)</f>
        <v>0</v>
      </c>
      <c r="N343" s="35">
        <v>0</v>
      </c>
      <c r="O343" s="35">
        <f>G343*N343</f>
        <v>0</v>
      </c>
      <c r="P343" s="37" t="s">
        <v>64</v>
      </c>
      <c r="Z343" s="35">
        <f>ROUND(IF(AQ343="5",BJ343,0),2)</f>
        <v>0</v>
      </c>
      <c r="AB343" s="35">
        <f>ROUND(IF(AQ343="1",BH343,0),2)</f>
        <v>0</v>
      </c>
      <c r="AC343" s="35">
        <f>ROUND(IF(AQ343="1",BI343,0),2)</f>
        <v>0</v>
      </c>
      <c r="AD343" s="35">
        <f>ROUND(IF(AQ343="7",BH343,0),2)</f>
        <v>0</v>
      </c>
      <c r="AE343" s="35">
        <f>ROUND(IF(AQ343="7",BI343,0),2)</f>
        <v>0</v>
      </c>
      <c r="AF343" s="35">
        <f>ROUND(IF(AQ343="2",BH343,0),2)</f>
        <v>0</v>
      </c>
      <c r="AG343" s="35">
        <f>ROUND(IF(AQ343="2",BI343,0),2)</f>
        <v>0</v>
      </c>
      <c r="AH343" s="35">
        <f>ROUND(IF(AQ343="0",BJ343,0),2)</f>
        <v>0</v>
      </c>
      <c r="AI343" s="12" t="s">
        <v>988</v>
      </c>
      <c r="AJ343" s="35">
        <f>IF(AN343=0,L343,0)</f>
        <v>0</v>
      </c>
      <c r="AK343" s="35">
        <f>IF(AN343=15,L343,0)</f>
        <v>0</v>
      </c>
      <c r="AL343" s="35">
        <f>IF(AN343=21,L343,0)</f>
        <v>0</v>
      </c>
      <c r="AN343" s="35">
        <v>21</v>
      </c>
      <c r="AO343" s="35">
        <f>H343*0</f>
        <v>0</v>
      </c>
      <c r="AP343" s="35">
        <f>H343*(1-0)</f>
        <v>0.54</v>
      </c>
      <c r="AQ343" s="38" t="s">
        <v>79</v>
      </c>
      <c r="AV343" s="35">
        <f>ROUND(AW343+AX343,2)</f>
        <v>0</v>
      </c>
      <c r="AW343" s="35">
        <f>ROUND(G343*AO343,2)</f>
        <v>0</v>
      </c>
      <c r="AX343" s="35">
        <f>ROUND(G343*AP343,2)</f>
        <v>0</v>
      </c>
      <c r="AY343" s="38" t="s">
        <v>1021</v>
      </c>
      <c r="AZ343" s="38" t="s">
        <v>1015</v>
      </c>
      <c r="BA343" s="12" t="s">
        <v>992</v>
      </c>
      <c r="BC343" s="35">
        <f>AW343+AX343</f>
        <v>0</v>
      </c>
      <c r="BD343" s="35">
        <f>H343/(100-BE343)*100</f>
        <v>0.54</v>
      </c>
      <c r="BE343" s="35">
        <v>0</v>
      </c>
      <c r="BF343" s="35">
        <f>O343</f>
        <v>0</v>
      </c>
      <c r="BH343" s="35">
        <f>G343*AO343</f>
        <v>0</v>
      </c>
      <c r="BI343" s="35">
        <f>G343*AP343</f>
        <v>0</v>
      </c>
      <c r="BJ343" s="35">
        <f>G343*H343</f>
        <v>0</v>
      </c>
      <c r="BK343" s="38" t="s">
        <v>69</v>
      </c>
      <c r="BL343" s="35"/>
      <c r="BW343" s="35">
        <f>I343</f>
        <v>21</v>
      </c>
      <c r="BX343" s="4" t="s">
        <v>1020</v>
      </c>
    </row>
    <row r="344" spans="1:76" x14ac:dyDescent="0.25">
      <c r="A344" s="31" t="s">
        <v>55</v>
      </c>
      <c r="B344" s="32" t="s">
        <v>1022</v>
      </c>
      <c r="C344" s="32" t="s">
        <v>55</v>
      </c>
      <c r="D344" s="128" t="s">
        <v>1023</v>
      </c>
      <c r="E344" s="129"/>
      <c r="F344" s="33" t="s">
        <v>4</v>
      </c>
      <c r="G344" s="33" t="s">
        <v>4</v>
      </c>
      <c r="H344" s="33" t="s">
        <v>4</v>
      </c>
      <c r="I344" s="33" t="s">
        <v>4</v>
      </c>
      <c r="J344" s="1">
        <f>J345+J347+J349+J351+J354+J358+J360+J362+J369+J371+J373+J377+J379+J382+J384+J386+J389+J396+J399+J405</f>
        <v>0</v>
      </c>
      <c r="K344" s="1">
        <f>K345+K347+K349+K351+K354+K358+K360+K362+K369+K371+K373+K377+K379+K382+K384+K386+K389+K396+K399+K405</f>
        <v>0</v>
      </c>
      <c r="L344" s="1">
        <f>L345+L347+L349+L351+L354+L358+L360+L362+L369+L371+L373+L377+L379+L382+L384+L386+L389+L396+L399+L405</f>
        <v>0</v>
      </c>
      <c r="M344" s="1">
        <f>M345+M347+M349+M351+M354+M358+M360+M362+M369+M371+M373+M377+M379+M382+M384+M386+M389+M396+M399+M405</f>
        <v>0</v>
      </c>
      <c r="N344" s="12" t="s">
        <v>55</v>
      </c>
      <c r="O344" s="1">
        <f>O345+O347+O349+O351+O354+O358+O360+O362+O369+O371+O373+O377+O379+O382+O384+O386+O389+O396+O399+O405</f>
        <v>10.907924899999999</v>
      </c>
      <c r="P344" s="34" t="s">
        <v>55</v>
      </c>
    </row>
    <row r="345" spans="1:76" x14ac:dyDescent="0.25">
      <c r="A345" s="31" t="s">
        <v>55</v>
      </c>
      <c r="B345" s="32" t="s">
        <v>1022</v>
      </c>
      <c r="C345" s="32" t="s">
        <v>146</v>
      </c>
      <c r="D345" s="128" t="s">
        <v>1024</v>
      </c>
      <c r="E345" s="129"/>
      <c r="F345" s="33" t="s">
        <v>4</v>
      </c>
      <c r="G345" s="33" t="s">
        <v>4</v>
      </c>
      <c r="H345" s="33" t="s">
        <v>4</v>
      </c>
      <c r="I345" s="33" t="s">
        <v>4</v>
      </c>
      <c r="J345" s="1">
        <f>SUM(J346:J346)</f>
        <v>0</v>
      </c>
      <c r="K345" s="1">
        <f>SUM(K346:K346)</f>
        <v>0</v>
      </c>
      <c r="L345" s="1">
        <f>SUM(L346:L346)</f>
        <v>0</v>
      </c>
      <c r="M345" s="1">
        <f>SUM(M346:M346)</f>
        <v>0</v>
      </c>
      <c r="N345" s="12" t="s">
        <v>55</v>
      </c>
      <c r="O345" s="1">
        <f>SUM(O346:O346)</f>
        <v>1.4193899999999999</v>
      </c>
      <c r="P345" s="34" t="s">
        <v>55</v>
      </c>
      <c r="AI345" s="12" t="s">
        <v>1022</v>
      </c>
      <c r="AS345" s="1">
        <f>SUM(AJ346:AJ346)</f>
        <v>0</v>
      </c>
      <c r="AT345" s="1">
        <f>SUM(AK346:AK346)</f>
        <v>0</v>
      </c>
      <c r="AU345" s="1">
        <f>SUM(AL346:AL346)</f>
        <v>0</v>
      </c>
    </row>
    <row r="346" spans="1:76" x14ac:dyDescent="0.25">
      <c r="A346" s="2" t="s">
        <v>1025</v>
      </c>
      <c r="B346" s="3" t="s">
        <v>1022</v>
      </c>
      <c r="C346" s="3" t="s">
        <v>1026</v>
      </c>
      <c r="D346" s="70" t="s">
        <v>1027</v>
      </c>
      <c r="E346" s="71"/>
      <c r="F346" s="3" t="s">
        <v>1028</v>
      </c>
      <c r="G346" s="35">
        <v>0.5</v>
      </c>
      <c r="H346" s="68">
        <v>0</v>
      </c>
      <c r="I346" s="36">
        <v>21</v>
      </c>
      <c r="J346" s="35">
        <f>ROUND(G346*AO346,2)</f>
        <v>0</v>
      </c>
      <c r="K346" s="35">
        <f>ROUND(G346*AP346,2)</f>
        <v>0</v>
      </c>
      <c r="L346" s="35">
        <f>ROUND(G346*H346,2)</f>
        <v>0</v>
      </c>
      <c r="M346" s="35">
        <f>L346*(1+BW346/100)</f>
        <v>0</v>
      </c>
      <c r="N346" s="35">
        <v>2.8387799999999999</v>
      </c>
      <c r="O346" s="35">
        <f>G346*N346</f>
        <v>1.4193899999999999</v>
      </c>
      <c r="P346" s="37" t="s">
        <v>64</v>
      </c>
      <c r="Z346" s="35">
        <f>ROUND(IF(AQ346="5",BJ346,0),2)</f>
        <v>0</v>
      </c>
      <c r="AB346" s="35">
        <f>ROUND(IF(AQ346="1",BH346,0),2)</f>
        <v>0</v>
      </c>
      <c r="AC346" s="35">
        <f>ROUND(IF(AQ346="1",BI346,0),2)</f>
        <v>0</v>
      </c>
      <c r="AD346" s="35">
        <f>ROUND(IF(AQ346="7",BH346,0),2)</f>
        <v>0</v>
      </c>
      <c r="AE346" s="35">
        <f>ROUND(IF(AQ346="7",BI346,0),2)</f>
        <v>0</v>
      </c>
      <c r="AF346" s="35">
        <f>ROUND(IF(AQ346="2",BH346,0),2)</f>
        <v>0</v>
      </c>
      <c r="AG346" s="35">
        <f>ROUND(IF(AQ346="2",BI346,0),2)</f>
        <v>0</v>
      </c>
      <c r="AH346" s="35">
        <f>ROUND(IF(AQ346="0",BJ346,0),2)</f>
        <v>0</v>
      </c>
      <c r="AI346" s="12" t="s">
        <v>1022</v>
      </c>
      <c r="AJ346" s="35">
        <f>IF(AN346=0,L346,0)</f>
        <v>0</v>
      </c>
      <c r="AK346" s="35">
        <f>IF(AN346=15,L346,0)</f>
        <v>0</v>
      </c>
      <c r="AL346" s="35">
        <f>IF(AN346=21,L346,0)</f>
        <v>0</v>
      </c>
      <c r="AN346" s="35">
        <v>21</v>
      </c>
      <c r="AO346" s="35">
        <f>H346*0.35766223</f>
        <v>0</v>
      </c>
      <c r="AP346" s="35">
        <f>H346*(1-0.35766223)</f>
        <v>0</v>
      </c>
      <c r="AQ346" s="38" t="s">
        <v>60</v>
      </c>
      <c r="AV346" s="35">
        <f>ROUND(AW346+AX346,2)</f>
        <v>0</v>
      </c>
      <c r="AW346" s="35">
        <f>ROUND(G346*AO346,2)</f>
        <v>0</v>
      </c>
      <c r="AX346" s="35">
        <f>ROUND(G346*AP346,2)</f>
        <v>0</v>
      </c>
      <c r="AY346" s="38" t="s">
        <v>1029</v>
      </c>
      <c r="AZ346" s="38" t="s">
        <v>1030</v>
      </c>
      <c r="BA346" s="12" t="s">
        <v>1031</v>
      </c>
      <c r="BC346" s="35">
        <f>AW346+AX346</f>
        <v>0</v>
      </c>
      <c r="BD346" s="35">
        <f>H346/(100-BE346)*100</f>
        <v>0</v>
      </c>
      <c r="BE346" s="35">
        <v>0</v>
      </c>
      <c r="BF346" s="35">
        <f>O346</f>
        <v>1.4193899999999999</v>
      </c>
      <c r="BH346" s="35">
        <f>G346*AO346</f>
        <v>0</v>
      </c>
      <c r="BI346" s="35">
        <f>G346*AP346</f>
        <v>0</v>
      </c>
      <c r="BJ346" s="35">
        <f>G346*H346</f>
        <v>0</v>
      </c>
      <c r="BK346" s="38" t="s">
        <v>69</v>
      </c>
      <c r="BL346" s="35">
        <v>27</v>
      </c>
      <c r="BW346" s="35">
        <f>I346</f>
        <v>21</v>
      </c>
      <c r="BX346" s="4" t="s">
        <v>1027</v>
      </c>
    </row>
    <row r="347" spans="1:76" x14ac:dyDescent="0.25">
      <c r="A347" s="31" t="s">
        <v>55</v>
      </c>
      <c r="B347" s="32" t="s">
        <v>1022</v>
      </c>
      <c r="C347" s="32" t="s">
        <v>166</v>
      </c>
      <c r="D347" s="128" t="s">
        <v>1032</v>
      </c>
      <c r="E347" s="129"/>
      <c r="F347" s="33" t="s">
        <v>4</v>
      </c>
      <c r="G347" s="33" t="s">
        <v>4</v>
      </c>
      <c r="H347" s="33" t="s">
        <v>4</v>
      </c>
      <c r="I347" s="33" t="s">
        <v>4</v>
      </c>
      <c r="J347" s="1">
        <f>SUM(J348:J348)</f>
        <v>0</v>
      </c>
      <c r="K347" s="1">
        <f>SUM(K348:K348)</f>
        <v>0</v>
      </c>
      <c r="L347" s="1">
        <f>SUM(L348:L348)</f>
        <v>0</v>
      </c>
      <c r="M347" s="1">
        <f>SUM(M348:M348)</f>
        <v>0</v>
      </c>
      <c r="N347" s="12" t="s">
        <v>55</v>
      </c>
      <c r="O347" s="1">
        <f>SUM(O348:O348)</f>
        <v>4.854E-2</v>
      </c>
      <c r="P347" s="34" t="s">
        <v>55</v>
      </c>
      <c r="AI347" s="12" t="s">
        <v>1022</v>
      </c>
      <c r="AS347" s="1">
        <f>SUM(AJ348:AJ348)</f>
        <v>0</v>
      </c>
      <c r="AT347" s="1">
        <f>SUM(AK348:AK348)</f>
        <v>0</v>
      </c>
      <c r="AU347" s="1">
        <f>SUM(AL348:AL348)</f>
        <v>0</v>
      </c>
    </row>
    <row r="348" spans="1:76" x14ac:dyDescent="0.25">
      <c r="A348" s="2" t="s">
        <v>1033</v>
      </c>
      <c r="B348" s="3" t="s">
        <v>1022</v>
      </c>
      <c r="C348" s="3" t="s">
        <v>1034</v>
      </c>
      <c r="D348" s="70" t="s">
        <v>1035</v>
      </c>
      <c r="E348" s="71"/>
      <c r="F348" s="3" t="s">
        <v>85</v>
      </c>
      <c r="G348" s="35">
        <v>1</v>
      </c>
      <c r="H348" s="68">
        <v>0</v>
      </c>
      <c r="I348" s="36">
        <v>21</v>
      </c>
      <c r="J348" s="35">
        <f>ROUND(G348*AO348,2)</f>
        <v>0</v>
      </c>
      <c r="K348" s="35">
        <f>ROUND(G348*AP348,2)</f>
        <v>0</v>
      </c>
      <c r="L348" s="35">
        <f>ROUND(G348*H348,2)</f>
        <v>0</v>
      </c>
      <c r="M348" s="35">
        <f>L348*(1+BW348/100)</f>
        <v>0</v>
      </c>
      <c r="N348" s="35">
        <v>4.854E-2</v>
      </c>
      <c r="O348" s="35">
        <f>G348*N348</f>
        <v>4.854E-2</v>
      </c>
      <c r="P348" s="37" t="s">
        <v>64</v>
      </c>
      <c r="Z348" s="35">
        <f>ROUND(IF(AQ348="5",BJ348,0),2)</f>
        <v>0</v>
      </c>
      <c r="AB348" s="35">
        <f>ROUND(IF(AQ348="1",BH348,0),2)</f>
        <v>0</v>
      </c>
      <c r="AC348" s="35">
        <f>ROUND(IF(AQ348="1",BI348,0),2)</f>
        <v>0</v>
      </c>
      <c r="AD348" s="35">
        <f>ROUND(IF(AQ348="7",BH348,0),2)</f>
        <v>0</v>
      </c>
      <c r="AE348" s="35">
        <f>ROUND(IF(AQ348="7",BI348,0),2)</f>
        <v>0</v>
      </c>
      <c r="AF348" s="35">
        <f>ROUND(IF(AQ348="2",BH348,0),2)</f>
        <v>0</v>
      </c>
      <c r="AG348" s="35">
        <f>ROUND(IF(AQ348="2",BI348,0),2)</f>
        <v>0</v>
      </c>
      <c r="AH348" s="35">
        <f>ROUND(IF(AQ348="0",BJ348,0),2)</f>
        <v>0</v>
      </c>
      <c r="AI348" s="12" t="s">
        <v>1022</v>
      </c>
      <c r="AJ348" s="35">
        <f>IF(AN348=0,L348,0)</f>
        <v>0</v>
      </c>
      <c r="AK348" s="35">
        <f>IF(AN348=15,L348,0)</f>
        <v>0</v>
      </c>
      <c r="AL348" s="35">
        <f>IF(AN348=21,L348,0)</f>
        <v>0</v>
      </c>
      <c r="AN348" s="35">
        <v>21</v>
      </c>
      <c r="AO348" s="35">
        <f>H348*0.570037384</f>
        <v>0</v>
      </c>
      <c r="AP348" s="35">
        <f>H348*(1-0.570037384)</f>
        <v>0</v>
      </c>
      <c r="AQ348" s="38" t="s">
        <v>60</v>
      </c>
      <c r="AV348" s="35">
        <f>ROUND(AW348+AX348,2)</f>
        <v>0</v>
      </c>
      <c r="AW348" s="35">
        <f>ROUND(G348*AO348,2)</f>
        <v>0</v>
      </c>
      <c r="AX348" s="35">
        <f>ROUND(G348*AP348,2)</f>
        <v>0</v>
      </c>
      <c r="AY348" s="38" t="s">
        <v>1036</v>
      </c>
      <c r="AZ348" s="38" t="s">
        <v>1037</v>
      </c>
      <c r="BA348" s="12" t="s">
        <v>1031</v>
      </c>
      <c r="BC348" s="35">
        <f>AW348+AX348</f>
        <v>0</v>
      </c>
      <c r="BD348" s="35">
        <f>H348/(100-BE348)*100</f>
        <v>0</v>
      </c>
      <c r="BE348" s="35">
        <v>0</v>
      </c>
      <c r="BF348" s="35">
        <f>O348</f>
        <v>4.854E-2</v>
      </c>
      <c r="BH348" s="35">
        <f>G348*AO348</f>
        <v>0</v>
      </c>
      <c r="BI348" s="35">
        <f>G348*AP348</f>
        <v>0</v>
      </c>
      <c r="BJ348" s="35">
        <f>G348*H348</f>
        <v>0</v>
      </c>
      <c r="BK348" s="38" t="s">
        <v>69</v>
      </c>
      <c r="BL348" s="35">
        <v>31</v>
      </c>
      <c r="BW348" s="35">
        <f>I348</f>
        <v>21</v>
      </c>
      <c r="BX348" s="4" t="s">
        <v>1035</v>
      </c>
    </row>
    <row r="349" spans="1:76" x14ac:dyDescent="0.25">
      <c r="A349" s="31" t="s">
        <v>55</v>
      </c>
      <c r="B349" s="32" t="s">
        <v>1022</v>
      </c>
      <c r="C349" s="32" t="s">
        <v>182</v>
      </c>
      <c r="D349" s="128" t="s">
        <v>1038</v>
      </c>
      <c r="E349" s="129"/>
      <c r="F349" s="33" t="s">
        <v>4</v>
      </c>
      <c r="G349" s="33" t="s">
        <v>4</v>
      </c>
      <c r="H349" s="33" t="s">
        <v>4</v>
      </c>
      <c r="I349" s="33" t="s">
        <v>4</v>
      </c>
      <c r="J349" s="1">
        <f>SUM(J350:J350)</f>
        <v>0</v>
      </c>
      <c r="K349" s="1">
        <f>SUM(K350:K350)</f>
        <v>0</v>
      </c>
      <c r="L349" s="1">
        <f>SUM(L350:L350)</f>
        <v>0</v>
      </c>
      <c r="M349" s="1">
        <f>SUM(M350:M350)</f>
        <v>0</v>
      </c>
      <c r="N349" s="12" t="s">
        <v>55</v>
      </c>
      <c r="O349" s="1">
        <f>SUM(O350:O350)</f>
        <v>1.062754</v>
      </c>
      <c r="P349" s="34" t="s">
        <v>55</v>
      </c>
      <c r="AI349" s="12" t="s">
        <v>1022</v>
      </c>
      <c r="AS349" s="1">
        <f>SUM(AJ350:AJ350)</f>
        <v>0</v>
      </c>
      <c r="AT349" s="1">
        <f>SUM(AK350:AK350)</f>
        <v>0</v>
      </c>
      <c r="AU349" s="1">
        <f>SUM(AL350:AL350)</f>
        <v>0</v>
      </c>
    </row>
    <row r="350" spans="1:76" x14ac:dyDescent="0.25">
      <c r="A350" s="2" t="s">
        <v>1039</v>
      </c>
      <c r="B350" s="3" t="s">
        <v>1022</v>
      </c>
      <c r="C350" s="3" t="s">
        <v>1040</v>
      </c>
      <c r="D350" s="70" t="s">
        <v>1041</v>
      </c>
      <c r="E350" s="71"/>
      <c r="F350" s="3" t="s">
        <v>222</v>
      </c>
      <c r="G350" s="35">
        <v>7.7</v>
      </c>
      <c r="H350" s="68">
        <v>0</v>
      </c>
      <c r="I350" s="36">
        <v>21</v>
      </c>
      <c r="J350" s="35">
        <f>ROUND(G350*AO350,2)</f>
        <v>0</v>
      </c>
      <c r="K350" s="35">
        <f>ROUND(G350*AP350,2)</f>
        <v>0</v>
      </c>
      <c r="L350" s="35">
        <f>ROUND(G350*H350,2)</f>
        <v>0</v>
      </c>
      <c r="M350" s="35">
        <f>L350*(1+BW350/100)</f>
        <v>0</v>
      </c>
      <c r="N350" s="35">
        <v>0.13802</v>
      </c>
      <c r="O350" s="35">
        <f>G350*N350</f>
        <v>1.062754</v>
      </c>
      <c r="P350" s="37" t="s">
        <v>64</v>
      </c>
      <c r="Z350" s="35">
        <f>ROUND(IF(AQ350="5",BJ350,0),2)</f>
        <v>0</v>
      </c>
      <c r="AB350" s="35">
        <f>ROUND(IF(AQ350="1",BH350,0),2)</f>
        <v>0</v>
      </c>
      <c r="AC350" s="35">
        <f>ROUND(IF(AQ350="1",BI350,0),2)</f>
        <v>0</v>
      </c>
      <c r="AD350" s="35">
        <f>ROUND(IF(AQ350="7",BH350,0),2)</f>
        <v>0</v>
      </c>
      <c r="AE350" s="35">
        <f>ROUND(IF(AQ350="7",BI350,0),2)</f>
        <v>0</v>
      </c>
      <c r="AF350" s="35">
        <f>ROUND(IF(AQ350="2",BH350,0),2)</f>
        <v>0</v>
      </c>
      <c r="AG350" s="35">
        <f>ROUND(IF(AQ350="2",BI350,0),2)</f>
        <v>0</v>
      </c>
      <c r="AH350" s="35">
        <f>ROUND(IF(AQ350="0",BJ350,0),2)</f>
        <v>0</v>
      </c>
      <c r="AI350" s="12" t="s">
        <v>1022</v>
      </c>
      <c r="AJ350" s="35">
        <f>IF(AN350=0,L350,0)</f>
        <v>0</v>
      </c>
      <c r="AK350" s="35">
        <f>IF(AN350=15,L350,0)</f>
        <v>0</v>
      </c>
      <c r="AL350" s="35">
        <f>IF(AN350=21,L350,0)</f>
        <v>0</v>
      </c>
      <c r="AN350" s="35">
        <v>21</v>
      </c>
      <c r="AO350" s="35">
        <f>H350*0.629989774</f>
        <v>0</v>
      </c>
      <c r="AP350" s="35">
        <f>H350*(1-0.629989774)</f>
        <v>0</v>
      </c>
      <c r="AQ350" s="38" t="s">
        <v>60</v>
      </c>
      <c r="AV350" s="35">
        <f>ROUND(AW350+AX350,2)</f>
        <v>0</v>
      </c>
      <c r="AW350" s="35">
        <f>ROUND(G350*AO350,2)</f>
        <v>0</v>
      </c>
      <c r="AX350" s="35">
        <f>ROUND(G350*AP350,2)</f>
        <v>0</v>
      </c>
      <c r="AY350" s="38" t="s">
        <v>1042</v>
      </c>
      <c r="AZ350" s="38" t="s">
        <v>1037</v>
      </c>
      <c r="BA350" s="12" t="s">
        <v>1031</v>
      </c>
      <c r="BC350" s="35">
        <f>AW350+AX350</f>
        <v>0</v>
      </c>
      <c r="BD350" s="35">
        <f>H350/(100-BE350)*100</f>
        <v>0</v>
      </c>
      <c r="BE350" s="35">
        <v>0</v>
      </c>
      <c r="BF350" s="35">
        <f>O350</f>
        <v>1.062754</v>
      </c>
      <c r="BH350" s="35">
        <f>G350*AO350</f>
        <v>0</v>
      </c>
      <c r="BI350" s="35">
        <f>G350*AP350</f>
        <v>0</v>
      </c>
      <c r="BJ350" s="35">
        <f>G350*H350</f>
        <v>0</v>
      </c>
      <c r="BK350" s="38" t="s">
        <v>69</v>
      </c>
      <c r="BL350" s="35">
        <v>34</v>
      </c>
      <c r="BW350" s="35">
        <f>I350</f>
        <v>21</v>
      </c>
      <c r="BX350" s="4" t="s">
        <v>1041</v>
      </c>
    </row>
    <row r="351" spans="1:76" x14ac:dyDescent="0.25">
      <c r="A351" s="31" t="s">
        <v>55</v>
      </c>
      <c r="B351" s="32" t="s">
        <v>1022</v>
      </c>
      <c r="C351" s="32" t="s">
        <v>274</v>
      </c>
      <c r="D351" s="128" t="s">
        <v>1043</v>
      </c>
      <c r="E351" s="129"/>
      <c r="F351" s="33" t="s">
        <v>4</v>
      </c>
      <c r="G351" s="33" t="s">
        <v>4</v>
      </c>
      <c r="H351" s="33" t="s">
        <v>4</v>
      </c>
      <c r="I351" s="33" t="s">
        <v>4</v>
      </c>
      <c r="J351" s="1">
        <f>SUM(J352:J353)</f>
        <v>0</v>
      </c>
      <c r="K351" s="1">
        <f>SUM(K352:K353)</f>
        <v>0</v>
      </c>
      <c r="L351" s="1">
        <f>SUM(L352:L353)</f>
        <v>0</v>
      </c>
      <c r="M351" s="1">
        <f>SUM(M352:M353)</f>
        <v>0</v>
      </c>
      <c r="N351" s="12" t="s">
        <v>55</v>
      </c>
      <c r="O351" s="1">
        <f>SUM(O352:O353)</f>
        <v>0.36544199999999999</v>
      </c>
      <c r="P351" s="34" t="s">
        <v>55</v>
      </c>
      <c r="AI351" s="12" t="s">
        <v>1022</v>
      </c>
      <c r="AS351" s="1">
        <f>SUM(AJ352:AJ353)</f>
        <v>0</v>
      </c>
      <c r="AT351" s="1">
        <f>SUM(AK352:AK353)</f>
        <v>0</v>
      </c>
      <c r="AU351" s="1">
        <f>SUM(AL352:AL353)</f>
        <v>0</v>
      </c>
    </row>
    <row r="352" spans="1:76" x14ac:dyDescent="0.25">
      <c r="A352" s="2" t="s">
        <v>1044</v>
      </c>
      <c r="B352" s="3" t="s">
        <v>1022</v>
      </c>
      <c r="C352" s="3" t="s">
        <v>1045</v>
      </c>
      <c r="D352" s="70" t="s">
        <v>1046</v>
      </c>
      <c r="E352" s="71"/>
      <c r="F352" s="3" t="s">
        <v>222</v>
      </c>
      <c r="G352" s="35">
        <v>15.4</v>
      </c>
      <c r="H352" s="68">
        <v>0</v>
      </c>
      <c r="I352" s="36">
        <v>21</v>
      </c>
      <c r="J352" s="35">
        <f>ROUND(G352*AO352,2)</f>
        <v>0</v>
      </c>
      <c r="K352" s="35">
        <f>ROUND(G352*AP352,2)</f>
        <v>0</v>
      </c>
      <c r="L352" s="35">
        <f>ROUND(G352*H352,2)</f>
        <v>0</v>
      </c>
      <c r="M352" s="35">
        <f>L352*(1+BW352/100)</f>
        <v>0</v>
      </c>
      <c r="N352" s="35">
        <v>0.02</v>
      </c>
      <c r="O352" s="35">
        <f>G352*N352</f>
        <v>0.308</v>
      </c>
      <c r="P352" s="37" t="s">
        <v>64</v>
      </c>
      <c r="Z352" s="35">
        <f>ROUND(IF(AQ352="5",BJ352,0),2)</f>
        <v>0</v>
      </c>
      <c r="AB352" s="35">
        <f>ROUND(IF(AQ352="1",BH352,0),2)</f>
        <v>0</v>
      </c>
      <c r="AC352" s="35">
        <f>ROUND(IF(AQ352="1",BI352,0),2)</f>
        <v>0</v>
      </c>
      <c r="AD352" s="35">
        <f>ROUND(IF(AQ352="7",BH352,0),2)</f>
        <v>0</v>
      </c>
      <c r="AE352" s="35">
        <f>ROUND(IF(AQ352="7",BI352,0),2)</f>
        <v>0</v>
      </c>
      <c r="AF352" s="35">
        <f>ROUND(IF(AQ352="2",BH352,0),2)</f>
        <v>0</v>
      </c>
      <c r="AG352" s="35">
        <f>ROUND(IF(AQ352="2",BI352,0),2)</f>
        <v>0</v>
      </c>
      <c r="AH352" s="35">
        <f>ROUND(IF(AQ352="0",BJ352,0),2)</f>
        <v>0</v>
      </c>
      <c r="AI352" s="12" t="s">
        <v>1022</v>
      </c>
      <c r="AJ352" s="35">
        <f>IF(AN352=0,L352,0)</f>
        <v>0</v>
      </c>
      <c r="AK352" s="35">
        <f>IF(AN352=15,L352,0)</f>
        <v>0</v>
      </c>
      <c r="AL352" s="35">
        <f>IF(AN352=21,L352,0)</f>
        <v>0</v>
      </c>
      <c r="AN352" s="35">
        <v>21</v>
      </c>
      <c r="AO352" s="35">
        <f>H352*0.332099806</f>
        <v>0</v>
      </c>
      <c r="AP352" s="35">
        <f>H352*(1-0.332099806)</f>
        <v>0</v>
      </c>
      <c r="AQ352" s="38" t="s">
        <v>60</v>
      </c>
      <c r="AV352" s="35">
        <f>ROUND(AW352+AX352,2)</f>
        <v>0</v>
      </c>
      <c r="AW352" s="35">
        <f>ROUND(G352*AO352,2)</f>
        <v>0</v>
      </c>
      <c r="AX352" s="35">
        <f>ROUND(G352*AP352,2)</f>
        <v>0</v>
      </c>
      <c r="AY352" s="38" t="s">
        <v>1047</v>
      </c>
      <c r="AZ352" s="38" t="s">
        <v>1048</v>
      </c>
      <c r="BA352" s="12" t="s">
        <v>1031</v>
      </c>
      <c r="BC352" s="35">
        <f>AW352+AX352</f>
        <v>0</v>
      </c>
      <c r="BD352" s="35">
        <f>H352/(100-BE352)*100</f>
        <v>0</v>
      </c>
      <c r="BE352" s="35">
        <v>0</v>
      </c>
      <c r="BF352" s="35">
        <f>O352</f>
        <v>0.308</v>
      </c>
      <c r="BH352" s="35">
        <f>G352*AO352</f>
        <v>0</v>
      </c>
      <c r="BI352" s="35">
        <f>G352*AP352</f>
        <v>0</v>
      </c>
      <c r="BJ352" s="35">
        <f>G352*H352</f>
        <v>0</v>
      </c>
      <c r="BK352" s="38" t="s">
        <v>69</v>
      </c>
      <c r="BL352" s="35">
        <v>60</v>
      </c>
      <c r="BW352" s="35">
        <f>I352</f>
        <v>21</v>
      </c>
      <c r="BX352" s="4" t="s">
        <v>1046</v>
      </c>
    </row>
    <row r="353" spans="1:76" x14ac:dyDescent="0.25">
      <c r="A353" s="2" t="s">
        <v>1049</v>
      </c>
      <c r="B353" s="3" t="s">
        <v>1022</v>
      </c>
      <c r="C353" s="3" t="s">
        <v>1050</v>
      </c>
      <c r="D353" s="70" t="s">
        <v>1051</v>
      </c>
      <c r="E353" s="71"/>
      <c r="F353" s="3" t="s">
        <v>222</v>
      </c>
      <c r="G353" s="35">
        <v>15.4</v>
      </c>
      <c r="H353" s="68">
        <v>0</v>
      </c>
      <c r="I353" s="36">
        <v>21</v>
      </c>
      <c r="J353" s="35">
        <f>ROUND(G353*AO353,2)</f>
        <v>0</v>
      </c>
      <c r="K353" s="35">
        <f>ROUND(G353*AP353,2)</f>
        <v>0</v>
      </c>
      <c r="L353" s="35">
        <f>ROUND(G353*H353,2)</f>
        <v>0</v>
      </c>
      <c r="M353" s="35">
        <f>L353*(1+BW353/100)</f>
        <v>0</v>
      </c>
      <c r="N353" s="35">
        <v>3.7299999999999998E-3</v>
      </c>
      <c r="O353" s="35">
        <f>G353*N353</f>
        <v>5.7442E-2</v>
      </c>
      <c r="P353" s="37" t="s">
        <v>64</v>
      </c>
      <c r="Z353" s="35">
        <f>ROUND(IF(AQ353="5",BJ353,0),2)</f>
        <v>0</v>
      </c>
      <c r="AB353" s="35">
        <f>ROUND(IF(AQ353="1",BH353,0),2)</f>
        <v>0</v>
      </c>
      <c r="AC353" s="35">
        <f>ROUND(IF(AQ353="1",BI353,0),2)</f>
        <v>0</v>
      </c>
      <c r="AD353" s="35">
        <f>ROUND(IF(AQ353="7",BH353,0),2)</f>
        <v>0</v>
      </c>
      <c r="AE353" s="35">
        <f>ROUND(IF(AQ353="7",BI353,0),2)</f>
        <v>0</v>
      </c>
      <c r="AF353" s="35">
        <f>ROUND(IF(AQ353="2",BH353,0),2)</f>
        <v>0</v>
      </c>
      <c r="AG353" s="35">
        <f>ROUND(IF(AQ353="2",BI353,0),2)</f>
        <v>0</v>
      </c>
      <c r="AH353" s="35">
        <f>ROUND(IF(AQ353="0",BJ353,0),2)</f>
        <v>0</v>
      </c>
      <c r="AI353" s="12" t="s">
        <v>1022</v>
      </c>
      <c r="AJ353" s="35">
        <f>IF(AN353=0,L353,0)</f>
        <v>0</v>
      </c>
      <c r="AK353" s="35">
        <f>IF(AN353=15,L353,0)</f>
        <v>0</v>
      </c>
      <c r="AL353" s="35">
        <f>IF(AN353=21,L353,0)</f>
        <v>0</v>
      </c>
      <c r="AN353" s="35">
        <v>21</v>
      </c>
      <c r="AO353" s="35">
        <f>H353*0.208489072</f>
        <v>0</v>
      </c>
      <c r="AP353" s="35">
        <f>H353*(1-0.208489072)</f>
        <v>0</v>
      </c>
      <c r="AQ353" s="38" t="s">
        <v>60</v>
      </c>
      <c r="AV353" s="35">
        <f>ROUND(AW353+AX353,2)</f>
        <v>0</v>
      </c>
      <c r="AW353" s="35">
        <f>ROUND(G353*AO353,2)</f>
        <v>0</v>
      </c>
      <c r="AX353" s="35">
        <f>ROUND(G353*AP353,2)</f>
        <v>0</v>
      </c>
      <c r="AY353" s="38" t="s">
        <v>1047</v>
      </c>
      <c r="AZ353" s="38" t="s">
        <v>1048</v>
      </c>
      <c r="BA353" s="12" t="s">
        <v>1031</v>
      </c>
      <c r="BC353" s="35">
        <f>AW353+AX353</f>
        <v>0</v>
      </c>
      <c r="BD353" s="35">
        <f>H353/(100-BE353)*100</f>
        <v>0</v>
      </c>
      <c r="BE353" s="35">
        <v>0</v>
      </c>
      <c r="BF353" s="35">
        <f>O353</f>
        <v>5.7442E-2</v>
      </c>
      <c r="BH353" s="35">
        <f>G353*AO353</f>
        <v>0</v>
      </c>
      <c r="BI353" s="35">
        <f>G353*AP353</f>
        <v>0</v>
      </c>
      <c r="BJ353" s="35">
        <f>G353*H353</f>
        <v>0</v>
      </c>
      <c r="BK353" s="38" t="s">
        <v>69</v>
      </c>
      <c r="BL353" s="35">
        <v>60</v>
      </c>
      <c r="BW353" s="35">
        <f>I353</f>
        <v>21</v>
      </c>
      <c r="BX353" s="4" t="s">
        <v>1051</v>
      </c>
    </row>
    <row r="354" spans="1:76" x14ac:dyDescent="0.25">
      <c r="A354" s="31" t="s">
        <v>55</v>
      </c>
      <c r="B354" s="32" t="s">
        <v>1022</v>
      </c>
      <c r="C354" s="32" t="s">
        <v>277</v>
      </c>
      <c r="D354" s="128" t="s">
        <v>1052</v>
      </c>
      <c r="E354" s="129"/>
      <c r="F354" s="33" t="s">
        <v>4</v>
      </c>
      <c r="G354" s="33" t="s">
        <v>4</v>
      </c>
      <c r="H354" s="33" t="s">
        <v>4</v>
      </c>
      <c r="I354" s="33" t="s">
        <v>4</v>
      </c>
      <c r="J354" s="1">
        <f>SUM(J355:J357)</f>
        <v>0</v>
      </c>
      <c r="K354" s="1">
        <f>SUM(K355:K357)</f>
        <v>0</v>
      </c>
      <c r="L354" s="1">
        <f>SUM(L355:L357)</f>
        <v>0</v>
      </c>
      <c r="M354" s="1">
        <f>SUM(M355:M357)</f>
        <v>0</v>
      </c>
      <c r="N354" s="12" t="s">
        <v>55</v>
      </c>
      <c r="O354" s="1">
        <f>SUM(O355:O357)</f>
        <v>2.8752180000000003</v>
      </c>
      <c r="P354" s="34" t="s">
        <v>55</v>
      </c>
      <c r="AI354" s="12" t="s">
        <v>1022</v>
      </c>
      <c r="AS354" s="1">
        <f>SUM(AJ355:AJ357)</f>
        <v>0</v>
      </c>
      <c r="AT354" s="1">
        <f>SUM(AK355:AK357)</f>
        <v>0</v>
      </c>
      <c r="AU354" s="1">
        <f>SUM(AL355:AL357)</f>
        <v>0</v>
      </c>
    </row>
    <row r="355" spans="1:76" x14ac:dyDescent="0.25">
      <c r="A355" s="2" t="s">
        <v>1053</v>
      </c>
      <c r="B355" s="3" t="s">
        <v>1022</v>
      </c>
      <c r="C355" s="3" t="s">
        <v>1054</v>
      </c>
      <c r="D355" s="70" t="s">
        <v>1055</v>
      </c>
      <c r="E355" s="71"/>
      <c r="F355" s="3" t="s">
        <v>222</v>
      </c>
      <c r="G355" s="35">
        <v>100</v>
      </c>
      <c r="H355" s="68">
        <v>0</v>
      </c>
      <c r="I355" s="36">
        <v>21</v>
      </c>
      <c r="J355" s="35">
        <f>ROUND(G355*AO355,2)</f>
        <v>0</v>
      </c>
      <c r="K355" s="35">
        <f>ROUND(G355*AP355,2)</f>
        <v>0</v>
      </c>
      <c r="L355" s="35">
        <f>ROUND(G355*H355,2)</f>
        <v>0</v>
      </c>
      <c r="M355" s="35">
        <f>L355*(1+BW355/100)</f>
        <v>0</v>
      </c>
      <c r="N355" s="35">
        <v>2.716E-2</v>
      </c>
      <c r="O355" s="35">
        <f>G355*N355</f>
        <v>2.7160000000000002</v>
      </c>
      <c r="P355" s="37" t="s">
        <v>64</v>
      </c>
      <c r="Z355" s="35">
        <f>ROUND(IF(AQ355="5",BJ355,0),2)</f>
        <v>0</v>
      </c>
      <c r="AB355" s="35">
        <f>ROUND(IF(AQ355="1",BH355,0),2)</f>
        <v>0</v>
      </c>
      <c r="AC355" s="35">
        <f>ROUND(IF(AQ355="1",BI355,0),2)</f>
        <v>0</v>
      </c>
      <c r="AD355" s="35">
        <f>ROUND(IF(AQ355="7",BH355,0),2)</f>
        <v>0</v>
      </c>
      <c r="AE355" s="35">
        <f>ROUND(IF(AQ355="7",BI355,0),2)</f>
        <v>0</v>
      </c>
      <c r="AF355" s="35">
        <f>ROUND(IF(AQ355="2",BH355,0),2)</f>
        <v>0</v>
      </c>
      <c r="AG355" s="35">
        <f>ROUND(IF(AQ355="2",BI355,0),2)</f>
        <v>0</v>
      </c>
      <c r="AH355" s="35">
        <f>ROUND(IF(AQ355="0",BJ355,0),2)</f>
        <v>0</v>
      </c>
      <c r="AI355" s="12" t="s">
        <v>1022</v>
      </c>
      <c r="AJ355" s="35">
        <f>IF(AN355=0,L355,0)</f>
        <v>0</v>
      </c>
      <c r="AK355" s="35">
        <f>IF(AN355=15,L355,0)</f>
        <v>0</v>
      </c>
      <c r="AL355" s="35">
        <f>IF(AN355=21,L355,0)</f>
        <v>0</v>
      </c>
      <c r="AN355" s="35">
        <v>21</v>
      </c>
      <c r="AO355" s="35">
        <f>H355*0.110577026</f>
        <v>0</v>
      </c>
      <c r="AP355" s="35">
        <f>H355*(1-0.110577026)</f>
        <v>0</v>
      </c>
      <c r="AQ355" s="38" t="s">
        <v>60</v>
      </c>
      <c r="AV355" s="35">
        <f>ROUND(AW355+AX355,2)</f>
        <v>0</v>
      </c>
      <c r="AW355" s="35">
        <f>ROUND(G355*AO355,2)</f>
        <v>0</v>
      </c>
      <c r="AX355" s="35">
        <f>ROUND(G355*AP355,2)</f>
        <v>0</v>
      </c>
      <c r="AY355" s="38" t="s">
        <v>1056</v>
      </c>
      <c r="AZ355" s="38" t="s">
        <v>1048</v>
      </c>
      <c r="BA355" s="12" t="s">
        <v>1031</v>
      </c>
      <c r="BC355" s="35">
        <f>AW355+AX355</f>
        <v>0</v>
      </c>
      <c r="BD355" s="35">
        <f>H355/(100-BE355)*100</f>
        <v>0</v>
      </c>
      <c r="BE355" s="35">
        <v>0</v>
      </c>
      <c r="BF355" s="35">
        <f>O355</f>
        <v>2.7160000000000002</v>
      </c>
      <c r="BH355" s="35">
        <f>G355*AO355</f>
        <v>0</v>
      </c>
      <c r="BI355" s="35">
        <f>G355*AP355</f>
        <v>0</v>
      </c>
      <c r="BJ355" s="35">
        <f>G355*H355</f>
        <v>0</v>
      </c>
      <c r="BK355" s="38" t="s">
        <v>69</v>
      </c>
      <c r="BL355" s="35">
        <v>61</v>
      </c>
      <c r="BW355" s="35">
        <f>I355</f>
        <v>21</v>
      </c>
      <c r="BX355" s="4" t="s">
        <v>1055</v>
      </c>
    </row>
    <row r="356" spans="1:76" x14ac:dyDescent="0.25">
      <c r="A356" s="2" t="s">
        <v>1057</v>
      </c>
      <c r="B356" s="3" t="s">
        <v>1022</v>
      </c>
      <c r="C356" s="3" t="s">
        <v>1058</v>
      </c>
      <c r="D356" s="70" t="s">
        <v>1059</v>
      </c>
      <c r="E356" s="71"/>
      <c r="F356" s="3" t="s">
        <v>222</v>
      </c>
      <c r="G356" s="35">
        <v>10</v>
      </c>
      <c r="H356" s="68">
        <v>0</v>
      </c>
      <c r="I356" s="36">
        <v>21</v>
      </c>
      <c r="J356" s="35">
        <f>ROUND(G356*AO356,2)</f>
        <v>0</v>
      </c>
      <c r="K356" s="35">
        <f>ROUND(G356*AP356,2)</f>
        <v>0</v>
      </c>
      <c r="L356" s="35">
        <f>ROUND(G356*H356,2)</f>
        <v>0</v>
      </c>
      <c r="M356" s="35">
        <f>L356*(1+BW356/100)</f>
        <v>0</v>
      </c>
      <c r="N356" s="35">
        <v>1.027E-2</v>
      </c>
      <c r="O356" s="35">
        <f>G356*N356</f>
        <v>0.1027</v>
      </c>
      <c r="P356" s="37" t="s">
        <v>64</v>
      </c>
      <c r="Z356" s="35">
        <f>ROUND(IF(AQ356="5",BJ356,0),2)</f>
        <v>0</v>
      </c>
      <c r="AB356" s="35">
        <f>ROUND(IF(AQ356="1",BH356,0),2)</f>
        <v>0</v>
      </c>
      <c r="AC356" s="35">
        <f>ROUND(IF(AQ356="1",BI356,0),2)</f>
        <v>0</v>
      </c>
      <c r="AD356" s="35">
        <f>ROUND(IF(AQ356="7",BH356,0),2)</f>
        <v>0</v>
      </c>
      <c r="AE356" s="35">
        <f>ROUND(IF(AQ356="7",BI356,0),2)</f>
        <v>0</v>
      </c>
      <c r="AF356" s="35">
        <f>ROUND(IF(AQ356="2",BH356,0),2)</f>
        <v>0</v>
      </c>
      <c r="AG356" s="35">
        <f>ROUND(IF(AQ356="2",BI356,0),2)</f>
        <v>0</v>
      </c>
      <c r="AH356" s="35">
        <f>ROUND(IF(AQ356="0",BJ356,0),2)</f>
        <v>0</v>
      </c>
      <c r="AI356" s="12" t="s">
        <v>1022</v>
      </c>
      <c r="AJ356" s="35">
        <f>IF(AN356=0,L356,0)</f>
        <v>0</v>
      </c>
      <c r="AK356" s="35">
        <f>IF(AN356=15,L356,0)</f>
        <v>0</v>
      </c>
      <c r="AL356" s="35">
        <f>IF(AN356=21,L356,0)</f>
        <v>0</v>
      </c>
      <c r="AN356" s="35">
        <v>21</v>
      </c>
      <c r="AO356" s="35">
        <f>H356*0.068571613</f>
        <v>0</v>
      </c>
      <c r="AP356" s="35">
        <f>H356*(1-0.068571613)</f>
        <v>0</v>
      </c>
      <c r="AQ356" s="38" t="s">
        <v>60</v>
      </c>
      <c r="AV356" s="35">
        <f>ROUND(AW356+AX356,2)</f>
        <v>0</v>
      </c>
      <c r="AW356" s="35">
        <f>ROUND(G356*AO356,2)</f>
        <v>0</v>
      </c>
      <c r="AX356" s="35">
        <f>ROUND(G356*AP356,2)</f>
        <v>0</v>
      </c>
      <c r="AY356" s="38" t="s">
        <v>1056</v>
      </c>
      <c r="AZ356" s="38" t="s">
        <v>1048</v>
      </c>
      <c r="BA356" s="12" t="s">
        <v>1031</v>
      </c>
      <c r="BC356" s="35">
        <f>AW356+AX356</f>
        <v>0</v>
      </c>
      <c r="BD356" s="35">
        <f>H356/(100-BE356)*100</f>
        <v>0</v>
      </c>
      <c r="BE356" s="35">
        <v>0</v>
      </c>
      <c r="BF356" s="35">
        <f>O356</f>
        <v>0.1027</v>
      </c>
      <c r="BH356" s="35">
        <f>G356*AO356</f>
        <v>0</v>
      </c>
      <c r="BI356" s="35">
        <f>G356*AP356</f>
        <v>0</v>
      </c>
      <c r="BJ356" s="35">
        <f>G356*H356</f>
        <v>0</v>
      </c>
      <c r="BK356" s="38" t="s">
        <v>69</v>
      </c>
      <c r="BL356" s="35">
        <v>61</v>
      </c>
      <c r="BW356" s="35">
        <f>I356</f>
        <v>21</v>
      </c>
      <c r="BX356" s="4" t="s">
        <v>1059</v>
      </c>
    </row>
    <row r="357" spans="1:76" x14ac:dyDescent="0.25">
      <c r="A357" s="2" t="s">
        <v>1060</v>
      </c>
      <c r="B357" s="3" t="s">
        <v>1022</v>
      </c>
      <c r="C357" s="3" t="s">
        <v>1061</v>
      </c>
      <c r="D357" s="70" t="s">
        <v>1062</v>
      </c>
      <c r="E357" s="71"/>
      <c r="F357" s="3" t="s">
        <v>222</v>
      </c>
      <c r="G357" s="35">
        <v>15.4</v>
      </c>
      <c r="H357" s="68">
        <v>0</v>
      </c>
      <c r="I357" s="36">
        <v>21</v>
      </c>
      <c r="J357" s="35">
        <f>ROUND(G357*AO357,2)</f>
        <v>0</v>
      </c>
      <c r="K357" s="35">
        <f>ROUND(G357*AP357,2)</f>
        <v>0</v>
      </c>
      <c r="L357" s="35">
        <f>ROUND(G357*H357,2)</f>
        <v>0</v>
      </c>
      <c r="M357" s="35">
        <f>L357*(1+BW357/100)</f>
        <v>0</v>
      </c>
      <c r="N357" s="35">
        <v>3.6700000000000001E-3</v>
      </c>
      <c r="O357" s="35">
        <f>G357*N357</f>
        <v>5.6518000000000006E-2</v>
      </c>
      <c r="P357" s="37" t="s">
        <v>64</v>
      </c>
      <c r="Z357" s="35">
        <f>ROUND(IF(AQ357="5",BJ357,0),2)</f>
        <v>0</v>
      </c>
      <c r="AB357" s="35">
        <f>ROUND(IF(AQ357="1",BH357,0),2)</f>
        <v>0</v>
      </c>
      <c r="AC357" s="35">
        <f>ROUND(IF(AQ357="1",BI357,0),2)</f>
        <v>0</v>
      </c>
      <c r="AD357" s="35">
        <f>ROUND(IF(AQ357="7",BH357,0),2)</f>
        <v>0</v>
      </c>
      <c r="AE357" s="35">
        <f>ROUND(IF(AQ357="7",BI357,0),2)</f>
        <v>0</v>
      </c>
      <c r="AF357" s="35">
        <f>ROUND(IF(AQ357="2",BH357,0),2)</f>
        <v>0</v>
      </c>
      <c r="AG357" s="35">
        <f>ROUND(IF(AQ357="2",BI357,0),2)</f>
        <v>0</v>
      </c>
      <c r="AH357" s="35">
        <f>ROUND(IF(AQ357="0",BJ357,0),2)</f>
        <v>0</v>
      </c>
      <c r="AI357" s="12" t="s">
        <v>1022</v>
      </c>
      <c r="AJ357" s="35">
        <f>IF(AN357=0,L357,0)</f>
        <v>0</v>
      </c>
      <c r="AK357" s="35">
        <f>IF(AN357=15,L357,0)</f>
        <v>0</v>
      </c>
      <c r="AL357" s="35">
        <f>IF(AN357=21,L357,0)</f>
        <v>0</v>
      </c>
      <c r="AN357" s="35">
        <v>21</v>
      </c>
      <c r="AO357" s="35">
        <f>H357*0.24423059</f>
        <v>0</v>
      </c>
      <c r="AP357" s="35">
        <f>H357*(1-0.24423059)</f>
        <v>0</v>
      </c>
      <c r="AQ357" s="38" t="s">
        <v>60</v>
      </c>
      <c r="AV357" s="35">
        <f>ROUND(AW357+AX357,2)</f>
        <v>0</v>
      </c>
      <c r="AW357" s="35">
        <f>ROUND(G357*AO357,2)</f>
        <v>0</v>
      </c>
      <c r="AX357" s="35">
        <f>ROUND(G357*AP357,2)</f>
        <v>0</v>
      </c>
      <c r="AY357" s="38" t="s">
        <v>1056</v>
      </c>
      <c r="AZ357" s="38" t="s">
        <v>1048</v>
      </c>
      <c r="BA357" s="12" t="s">
        <v>1031</v>
      </c>
      <c r="BC357" s="35">
        <f>AW357+AX357</f>
        <v>0</v>
      </c>
      <c r="BD357" s="35">
        <f>H357/(100-BE357)*100</f>
        <v>0</v>
      </c>
      <c r="BE357" s="35">
        <v>0</v>
      </c>
      <c r="BF357" s="35">
        <f>O357</f>
        <v>5.6518000000000006E-2</v>
      </c>
      <c r="BH357" s="35">
        <f>G357*AO357</f>
        <v>0</v>
      </c>
      <c r="BI357" s="35">
        <f>G357*AP357</f>
        <v>0</v>
      </c>
      <c r="BJ357" s="35">
        <f>G357*H357</f>
        <v>0</v>
      </c>
      <c r="BK357" s="38" t="s">
        <v>69</v>
      </c>
      <c r="BL357" s="35">
        <v>61</v>
      </c>
      <c r="BW357" s="35">
        <f>I357</f>
        <v>21</v>
      </c>
      <c r="BX357" s="4" t="s">
        <v>1062</v>
      </c>
    </row>
    <row r="358" spans="1:76" x14ac:dyDescent="0.25">
      <c r="A358" s="31" t="s">
        <v>55</v>
      </c>
      <c r="B358" s="32" t="s">
        <v>1022</v>
      </c>
      <c r="C358" s="32" t="s">
        <v>283</v>
      </c>
      <c r="D358" s="128" t="s">
        <v>1063</v>
      </c>
      <c r="E358" s="129"/>
      <c r="F358" s="33" t="s">
        <v>4</v>
      </c>
      <c r="G358" s="33" t="s">
        <v>4</v>
      </c>
      <c r="H358" s="33" t="s">
        <v>4</v>
      </c>
      <c r="I358" s="33" t="s">
        <v>4</v>
      </c>
      <c r="J358" s="1">
        <f>SUM(J359:J359)</f>
        <v>0</v>
      </c>
      <c r="K358" s="1">
        <f>SUM(K359:K359)</f>
        <v>0</v>
      </c>
      <c r="L358" s="1">
        <f>SUM(L359:L359)</f>
        <v>0</v>
      </c>
      <c r="M358" s="1">
        <f>SUM(M359:M359)</f>
        <v>0</v>
      </c>
      <c r="N358" s="12" t="s">
        <v>55</v>
      </c>
      <c r="O358" s="1">
        <f>SUM(O359:O359)</f>
        <v>0.375</v>
      </c>
      <c r="P358" s="34" t="s">
        <v>55</v>
      </c>
      <c r="AI358" s="12" t="s">
        <v>1022</v>
      </c>
      <c r="AS358" s="1">
        <f>SUM(AJ359:AJ359)</f>
        <v>0</v>
      </c>
      <c r="AT358" s="1">
        <f>SUM(AK359:AK359)</f>
        <v>0</v>
      </c>
      <c r="AU358" s="1">
        <f>SUM(AL359:AL359)</f>
        <v>0</v>
      </c>
    </row>
    <row r="359" spans="1:76" ht="25.5" x14ac:dyDescent="0.25">
      <c r="A359" s="2" t="s">
        <v>1064</v>
      </c>
      <c r="B359" s="3" t="s">
        <v>1022</v>
      </c>
      <c r="C359" s="3" t="s">
        <v>1065</v>
      </c>
      <c r="D359" s="70" t="s">
        <v>1066</v>
      </c>
      <c r="E359" s="71"/>
      <c r="F359" s="3" t="s">
        <v>1028</v>
      </c>
      <c r="G359" s="35">
        <v>0.15</v>
      </c>
      <c r="H359" s="68">
        <v>0</v>
      </c>
      <c r="I359" s="36">
        <v>21</v>
      </c>
      <c r="J359" s="35">
        <f>ROUND(G359*AO359,2)</f>
        <v>0</v>
      </c>
      <c r="K359" s="35">
        <f>ROUND(G359*AP359,2)</f>
        <v>0</v>
      </c>
      <c r="L359" s="35">
        <f>ROUND(G359*H359,2)</f>
        <v>0</v>
      </c>
      <c r="M359" s="35">
        <f>L359*(1+BW359/100)</f>
        <v>0</v>
      </c>
      <c r="N359" s="35">
        <v>2.5</v>
      </c>
      <c r="O359" s="35">
        <f>G359*N359</f>
        <v>0.375</v>
      </c>
      <c r="P359" s="37" t="s">
        <v>64</v>
      </c>
      <c r="Z359" s="35">
        <f>ROUND(IF(AQ359="5",BJ359,0),2)</f>
        <v>0</v>
      </c>
      <c r="AB359" s="35">
        <f>ROUND(IF(AQ359="1",BH359,0),2)</f>
        <v>0</v>
      </c>
      <c r="AC359" s="35">
        <f>ROUND(IF(AQ359="1",BI359,0),2)</f>
        <v>0</v>
      </c>
      <c r="AD359" s="35">
        <f>ROUND(IF(AQ359="7",BH359,0),2)</f>
        <v>0</v>
      </c>
      <c r="AE359" s="35">
        <f>ROUND(IF(AQ359="7",BI359,0),2)</f>
        <v>0</v>
      </c>
      <c r="AF359" s="35">
        <f>ROUND(IF(AQ359="2",BH359,0),2)</f>
        <v>0</v>
      </c>
      <c r="AG359" s="35">
        <f>ROUND(IF(AQ359="2",BI359,0),2)</f>
        <v>0</v>
      </c>
      <c r="AH359" s="35">
        <f>ROUND(IF(AQ359="0",BJ359,0),2)</f>
        <v>0</v>
      </c>
      <c r="AI359" s="12" t="s">
        <v>1022</v>
      </c>
      <c r="AJ359" s="35">
        <f>IF(AN359=0,L359,0)</f>
        <v>0</v>
      </c>
      <c r="AK359" s="35">
        <f>IF(AN359=15,L359,0)</f>
        <v>0</v>
      </c>
      <c r="AL359" s="35">
        <f>IF(AN359=21,L359,0)</f>
        <v>0</v>
      </c>
      <c r="AN359" s="35">
        <v>21</v>
      </c>
      <c r="AO359" s="35">
        <f>H359*0.55933197</f>
        <v>0</v>
      </c>
      <c r="AP359" s="35">
        <f>H359*(1-0.55933197)</f>
        <v>0</v>
      </c>
      <c r="AQ359" s="38" t="s">
        <v>60</v>
      </c>
      <c r="AV359" s="35">
        <f>ROUND(AW359+AX359,2)</f>
        <v>0</v>
      </c>
      <c r="AW359" s="35">
        <f>ROUND(G359*AO359,2)</f>
        <v>0</v>
      </c>
      <c r="AX359" s="35">
        <f>ROUND(G359*AP359,2)</f>
        <v>0</v>
      </c>
      <c r="AY359" s="38" t="s">
        <v>1067</v>
      </c>
      <c r="AZ359" s="38" t="s">
        <v>1048</v>
      </c>
      <c r="BA359" s="12" t="s">
        <v>1031</v>
      </c>
      <c r="BC359" s="35">
        <f>AW359+AX359</f>
        <v>0</v>
      </c>
      <c r="BD359" s="35">
        <f>H359/(100-BE359)*100</f>
        <v>0</v>
      </c>
      <c r="BE359" s="35">
        <v>0</v>
      </c>
      <c r="BF359" s="35">
        <f>O359</f>
        <v>0.375</v>
      </c>
      <c r="BH359" s="35">
        <f>G359*AO359</f>
        <v>0</v>
      </c>
      <c r="BI359" s="35">
        <f>G359*AP359</f>
        <v>0</v>
      </c>
      <c r="BJ359" s="35">
        <f>G359*H359</f>
        <v>0</v>
      </c>
      <c r="BK359" s="38" t="s">
        <v>69</v>
      </c>
      <c r="BL359" s="35">
        <v>63</v>
      </c>
      <c r="BW359" s="35">
        <f>I359</f>
        <v>21</v>
      </c>
      <c r="BX359" s="4" t="s">
        <v>1066</v>
      </c>
    </row>
    <row r="360" spans="1:76" x14ac:dyDescent="0.25">
      <c r="A360" s="31" t="s">
        <v>55</v>
      </c>
      <c r="B360" s="32" t="s">
        <v>1022</v>
      </c>
      <c r="C360" s="32" t="s">
        <v>286</v>
      </c>
      <c r="D360" s="128" t="s">
        <v>1068</v>
      </c>
      <c r="E360" s="129"/>
      <c r="F360" s="33" t="s">
        <v>4</v>
      </c>
      <c r="G360" s="33" t="s">
        <v>4</v>
      </c>
      <c r="H360" s="33" t="s">
        <v>4</v>
      </c>
      <c r="I360" s="33" t="s">
        <v>4</v>
      </c>
      <c r="J360" s="1">
        <f>SUM(J361:J361)</f>
        <v>0</v>
      </c>
      <c r="K360" s="1">
        <f>SUM(K361:K361)</f>
        <v>0</v>
      </c>
      <c r="L360" s="1">
        <f>SUM(L361:L361)</f>
        <v>0</v>
      </c>
      <c r="M360" s="1">
        <f>SUM(M361:M361)</f>
        <v>0</v>
      </c>
      <c r="N360" s="12" t="s">
        <v>55</v>
      </c>
      <c r="O360" s="1">
        <f>SUM(O361:O361)</f>
        <v>3.1669999999999997E-2</v>
      </c>
      <c r="P360" s="34" t="s">
        <v>55</v>
      </c>
      <c r="AI360" s="12" t="s">
        <v>1022</v>
      </c>
      <c r="AS360" s="1">
        <f>SUM(AJ361:AJ361)</f>
        <v>0</v>
      </c>
      <c r="AT360" s="1">
        <f>SUM(AK361:AK361)</f>
        <v>0</v>
      </c>
      <c r="AU360" s="1">
        <f>SUM(AL361:AL361)</f>
        <v>0</v>
      </c>
    </row>
    <row r="361" spans="1:76" ht="25.5" x14ac:dyDescent="0.25">
      <c r="A361" s="2" t="s">
        <v>1069</v>
      </c>
      <c r="B361" s="3" t="s">
        <v>1022</v>
      </c>
      <c r="C361" s="3" t="s">
        <v>1070</v>
      </c>
      <c r="D361" s="70" t="s">
        <v>1071</v>
      </c>
      <c r="E361" s="71"/>
      <c r="F361" s="3" t="s">
        <v>85</v>
      </c>
      <c r="G361" s="35">
        <v>1</v>
      </c>
      <c r="H361" s="68">
        <v>0</v>
      </c>
      <c r="I361" s="36">
        <v>21</v>
      </c>
      <c r="J361" s="35">
        <f>ROUND(G361*AO361,2)</f>
        <v>0</v>
      </c>
      <c r="K361" s="35">
        <f>ROUND(G361*AP361,2)</f>
        <v>0</v>
      </c>
      <c r="L361" s="35">
        <f>ROUND(G361*H361,2)</f>
        <v>0</v>
      </c>
      <c r="M361" s="35">
        <f>L361*(1+BW361/100)</f>
        <v>0</v>
      </c>
      <c r="N361" s="35">
        <v>3.1669999999999997E-2</v>
      </c>
      <c r="O361" s="35">
        <f>G361*N361</f>
        <v>3.1669999999999997E-2</v>
      </c>
      <c r="P361" s="37" t="s">
        <v>64</v>
      </c>
      <c r="Z361" s="35">
        <f>ROUND(IF(AQ361="5",BJ361,0),2)</f>
        <v>0</v>
      </c>
      <c r="AB361" s="35">
        <f>ROUND(IF(AQ361="1",BH361,0),2)</f>
        <v>0</v>
      </c>
      <c r="AC361" s="35">
        <f>ROUND(IF(AQ361="1",BI361,0),2)</f>
        <v>0</v>
      </c>
      <c r="AD361" s="35">
        <f>ROUND(IF(AQ361="7",BH361,0),2)</f>
        <v>0</v>
      </c>
      <c r="AE361" s="35">
        <f>ROUND(IF(AQ361="7",BI361,0),2)</f>
        <v>0</v>
      </c>
      <c r="AF361" s="35">
        <f>ROUND(IF(AQ361="2",BH361,0),2)</f>
        <v>0</v>
      </c>
      <c r="AG361" s="35">
        <f>ROUND(IF(AQ361="2",BI361,0),2)</f>
        <v>0</v>
      </c>
      <c r="AH361" s="35">
        <f>ROUND(IF(AQ361="0",BJ361,0),2)</f>
        <v>0</v>
      </c>
      <c r="AI361" s="12" t="s">
        <v>1022</v>
      </c>
      <c r="AJ361" s="35">
        <f>IF(AN361=0,L361,0)</f>
        <v>0</v>
      </c>
      <c r="AK361" s="35">
        <f>IF(AN361=15,L361,0)</f>
        <v>0</v>
      </c>
      <c r="AL361" s="35">
        <f>IF(AN361=21,L361,0)</f>
        <v>0</v>
      </c>
      <c r="AN361" s="35">
        <v>21</v>
      </c>
      <c r="AO361" s="35">
        <f>H361*0.59951811</f>
        <v>0</v>
      </c>
      <c r="AP361" s="35">
        <f>H361*(1-0.59951811)</f>
        <v>0</v>
      </c>
      <c r="AQ361" s="38" t="s">
        <v>60</v>
      </c>
      <c r="AV361" s="35">
        <f>ROUND(AW361+AX361,2)</f>
        <v>0</v>
      </c>
      <c r="AW361" s="35">
        <f>ROUND(G361*AO361,2)</f>
        <v>0</v>
      </c>
      <c r="AX361" s="35">
        <f>ROUND(G361*AP361,2)</f>
        <v>0</v>
      </c>
      <c r="AY361" s="38" t="s">
        <v>1072</v>
      </c>
      <c r="AZ361" s="38" t="s">
        <v>1048</v>
      </c>
      <c r="BA361" s="12" t="s">
        <v>1031</v>
      </c>
      <c r="BC361" s="35">
        <f>AW361+AX361</f>
        <v>0</v>
      </c>
      <c r="BD361" s="35">
        <f>H361/(100-BE361)*100</f>
        <v>0</v>
      </c>
      <c r="BE361" s="35">
        <v>0</v>
      </c>
      <c r="BF361" s="35">
        <f>O361</f>
        <v>3.1669999999999997E-2</v>
      </c>
      <c r="BH361" s="35">
        <f>G361*AO361</f>
        <v>0</v>
      </c>
      <c r="BI361" s="35">
        <f>G361*AP361</f>
        <v>0</v>
      </c>
      <c r="BJ361" s="35">
        <f>G361*H361</f>
        <v>0</v>
      </c>
      <c r="BK361" s="38" t="s">
        <v>69</v>
      </c>
      <c r="BL361" s="35">
        <v>64</v>
      </c>
      <c r="BW361" s="35">
        <f>I361</f>
        <v>21</v>
      </c>
      <c r="BX361" s="4" t="s">
        <v>1071</v>
      </c>
    </row>
    <row r="362" spans="1:76" x14ac:dyDescent="0.25">
      <c r="A362" s="31" t="s">
        <v>55</v>
      </c>
      <c r="B362" s="32" t="s">
        <v>1022</v>
      </c>
      <c r="C362" s="32" t="s">
        <v>1073</v>
      </c>
      <c r="D362" s="128" t="s">
        <v>1074</v>
      </c>
      <c r="E362" s="129"/>
      <c r="F362" s="33" t="s">
        <v>4</v>
      </c>
      <c r="G362" s="33" t="s">
        <v>4</v>
      </c>
      <c r="H362" s="33" t="s">
        <v>4</v>
      </c>
      <c r="I362" s="33" t="s">
        <v>4</v>
      </c>
      <c r="J362" s="1">
        <f>SUM(J363:J368)</f>
        <v>0</v>
      </c>
      <c r="K362" s="1">
        <f>SUM(K363:K368)</f>
        <v>0</v>
      </c>
      <c r="L362" s="1">
        <f>SUM(L363:L368)</f>
        <v>0</v>
      </c>
      <c r="M362" s="1">
        <f>SUM(M363:M368)</f>
        <v>0</v>
      </c>
      <c r="N362" s="12" t="s">
        <v>55</v>
      </c>
      <c r="O362" s="1">
        <f>SUM(O363:O368)</f>
        <v>0</v>
      </c>
      <c r="P362" s="34" t="s">
        <v>55</v>
      </c>
      <c r="AI362" s="12" t="s">
        <v>1022</v>
      </c>
      <c r="AS362" s="1">
        <f>SUM(AJ363:AJ368)</f>
        <v>0</v>
      </c>
      <c r="AT362" s="1">
        <f>SUM(AK363:AK368)</f>
        <v>0</v>
      </c>
      <c r="AU362" s="1">
        <f>SUM(AL363:AL368)</f>
        <v>0</v>
      </c>
    </row>
    <row r="363" spans="1:76" ht="25.5" x14ac:dyDescent="0.25">
      <c r="A363" s="2" t="s">
        <v>1075</v>
      </c>
      <c r="B363" s="3" t="s">
        <v>1022</v>
      </c>
      <c r="C363" s="3" t="s">
        <v>1076</v>
      </c>
      <c r="D363" s="70" t="s">
        <v>1077</v>
      </c>
      <c r="E363" s="71"/>
      <c r="F363" s="3" t="s">
        <v>155</v>
      </c>
      <c r="G363" s="35">
        <v>1</v>
      </c>
      <c r="H363" s="68">
        <v>0</v>
      </c>
      <c r="I363" s="36">
        <v>21</v>
      </c>
      <c r="J363" s="35">
        <f t="shared" ref="J363:J368" si="378">ROUND(G363*AO363,2)</f>
        <v>0</v>
      </c>
      <c r="K363" s="35">
        <f t="shared" ref="K363:K368" si="379">ROUND(G363*AP363,2)</f>
        <v>0</v>
      </c>
      <c r="L363" s="35">
        <f t="shared" ref="L363:L368" si="380">ROUND(G363*H363,2)</f>
        <v>0</v>
      </c>
      <c r="M363" s="35">
        <f t="shared" ref="M363:M368" si="381">L363*(1+BW363/100)</f>
        <v>0</v>
      </c>
      <c r="N363" s="35">
        <v>0</v>
      </c>
      <c r="O363" s="35">
        <f t="shared" ref="O363:O368" si="382">G363*N363</f>
        <v>0</v>
      </c>
      <c r="P363" s="37" t="s">
        <v>64</v>
      </c>
      <c r="Z363" s="35">
        <f t="shared" ref="Z363:Z368" si="383">ROUND(IF(AQ363="5",BJ363,0),2)</f>
        <v>0</v>
      </c>
      <c r="AB363" s="35">
        <f t="shared" ref="AB363:AB368" si="384">ROUND(IF(AQ363="1",BH363,0),2)</f>
        <v>0</v>
      </c>
      <c r="AC363" s="35">
        <f t="shared" ref="AC363:AC368" si="385">ROUND(IF(AQ363="1",BI363,0),2)</f>
        <v>0</v>
      </c>
      <c r="AD363" s="35">
        <f t="shared" ref="AD363:AD368" si="386">ROUND(IF(AQ363="7",BH363,0),2)</f>
        <v>0</v>
      </c>
      <c r="AE363" s="35">
        <f t="shared" ref="AE363:AE368" si="387">ROUND(IF(AQ363="7",BI363,0),2)</f>
        <v>0</v>
      </c>
      <c r="AF363" s="35">
        <f t="shared" ref="AF363:AF368" si="388">ROUND(IF(AQ363="2",BH363,0),2)</f>
        <v>0</v>
      </c>
      <c r="AG363" s="35">
        <f t="shared" ref="AG363:AG368" si="389">ROUND(IF(AQ363="2",BI363,0),2)</f>
        <v>0</v>
      </c>
      <c r="AH363" s="35">
        <f t="shared" ref="AH363:AH368" si="390">ROUND(IF(AQ363="0",BJ363,0),2)</f>
        <v>0</v>
      </c>
      <c r="AI363" s="12" t="s">
        <v>1022</v>
      </c>
      <c r="AJ363" s="35">
        <f t="shared" ref="AJ363:AJ368" si="391">IF(AN363=0,L363,0)</f>
        <v>0</v>
      </c>
      <c r="AK363" s="35">
        <f t="shared" ref="AK363:AK368" si="392">IF(AN363=15,L363,0)</f>
        <v>0</v>
      </c>
      <c r="AL363" s="35">
        <f t="shared" ref="AL363:AL368" si="393">IF(AN363=21,L363,0)</f>
        <v>0</v>
      </c>
      <c r="AN363" s="35">
        <v>21</v>
      </c>
      <c r="AO363" s="35">
        <f>H363*0.639534884</f>
        <v>0</v>
      </c>
      <c r="AP363" s="35">
        <f>H363*(1-0.639534884)</f>
        <v>0</v>
      </c>
      <c r="AQ363" s="38" t="s">
        <v>65</v>
      </c>
      <c r="AV363" s="35">
        <f t="shared" ref="AV363:AV368" si="394">ROUND(AW363+AX363,2)</f>
        <v>0</v>
      </c>
      <c r="AW363" s="35">
        <f t="shared" ref="AW363:AW368" si="395">ROUND(G363*AO363,2)</f>
        <v>0</v>
      </c>
      <c r="AX363" s="35">
        <f t="shared" ref="AX363:AX368" si="396">ROUND(G363*AP363,2)</f>
        <v>0</v>
      </c>
      <c r="AY363" s="38" t="s">
        <v>1078</v>
      </c>
      <c r="AZ363" s="38" t="s">
        <v>1079</v>
      </c>
      <c r="BA363" s="12" t="s">
        <v>1031</v>
      </c>
      <c r="BC363" s="35">
        <f t="shared" ref="BC363:BC368" si="397">AW363+AX363</f>
        <v>0</v>
      </c>
      <c r="BD363" s="35">
        <f t="shared" ref="BD363:BD368" si="398">H363/(100-BE363)*100</f>
        <v>0</v>
      </c>
      <c r="BE363" s="35">
        <v>0</v>
      </c>
      <c r="BF363" s="35">
        <f t="shared" ref="BF363:BF368" si="399">O363</f>
        <v>0</v>
      </c>
      <c r="BH363" s="35">
        <f t="shared" ref="BH363:BH368" si="400">G363*AO363</f>
        <v>0</v>
      </c>
      <c r="BI363" s="35">
        <f t="shared" ref="BI363:BI368" si="401">G363*AP363</f>
        <v>0</v>
      </c>
      <c r="BJ363" s="35">
        <f t="shared" ref="BJ363:BJ368" si="402">G363*H363</f>
        <v>0</v>
      </c>
      <c r="BK363" s="38" t="s">
        <v>69</v>
      </c>
      <c r="BL363" s="35"/>
      <c r="BW363" s="35">
        <f t="shared" ref="BW363:BW368" si="403">I363</f>
        <v>21</v>
      </c>
      <c r="BX363" s="4" t="s">
        <v>1077</v>
      </c>
    </row>
    <row r="364" spans="1:76" x14ac:dyDescent="0.25">
      <c r="A364" s="2" t="s">
        <v>1080</v>
      </c>
      <c r="B364" s="3" t="s">
        <v>1022</v>
      </c>
      <c r="C364" s="3" t="s">
        <v>1081</v>
      </c>
      <c r="D364" s="70" t="s">
        <v>1082</v>
      </c>
      <c r="E364" s="71"/>
      <c r="F364" s="3" t="s">
        <v>85</v>
      </c>
      <c r="G364" s="35">
        <v>4</v>
      </c>
      <c r="H364" s="68">
        <v>0</v>
      </c>
      <c r="I364" s="36">
        <v>21</v>
      </c>
      <c r="J364" s="35">
        <f t="shared" si="378"/>
        <v>0</v>
      </c>
      <c r="K364" s="35">
        <f t="shared" si="379"/>
        <v>0</v>
      </c>
      <c r="L364" s="35">
        <f t="shared" si="380"/>
        <v>0</v>
      </c>
      <c r="M364" s="35">
        <f t="shared" si="381"/>
        <v>0</v>
      </c>
      <c r="N364" s="35">
        <v>0</v>
      </c>
      <c r="O364" s="35">
        <f t="shared" si="382"/>
        <v>0</v>
      </c>
      <c r="P364" s="37" t="s">
        <v>64</v>
      </c>
      <c r="Z364" s="35">
        <f t="shared" si="383"/>
        <v>0</v>
      </c>
      <c r="AB364" s="35">
        <f t="shared" si="384"/>
        <v>0</v>
      </c>
      <c r="AC364" s="35">
        <f t="shared" si="385"/>
        <v>0</v>
      </c>
      <c r="AD364" s="35">
        <f t="shared" si="386"/>
        <v>0</v>
      </c>
      <c r="AE364" s="35">
        <f t="shared" si="387"/>
        <v>0</v>
      </c>
      <c r="AF364" s="35">
        <f t="shared" si="388"/>
        <v>0</v>
      </c>
      <c r="AG364" s="35">
        <f t="shared" si="389"/>
        <v>0</v>
      </c>
      <c r="AH364" s="35">
        <f t="shared" si="390"/>
        <v>0</v>
      </c>
      <c r="AI364" s="12" t="s">
        <v>1022</v>
      </c>
      <c r="AJ364" s="35">
        <f t="shared" si="391"/>
        <v>0</v>
      </c>
      <c r="AK364" s="35">
        <f t="shared" si="392"/>
        <v>0</v>
      </c>
      <c r="AL364" s="35">
        <f t="shared" si="393"/>
        <v>0</v>
      </c>
      <c r="AN364" s="35">
        <v>21</v>
      </c>
      <c r="AO364" s="35">
        <f>H364*0.666666667</f>
        <v>0</v>
      </c>
      <c r="AP364" s="35">
        <f>H364*(1-0.666666667)</f>
        <v>0</v>
      </c>
      <c r="AQ364" s="38" t="s">
        <v>65</v>
      </c>
      <c r="AV364" s="35">
        <f t="shared" si="394"/>
        <v>0</v>
      </c>
      <c r="AW364" s="35">
        <f t="shared" si="395"/>
        <v>0</v>
      </c>
      <c r="AX364" s="35">
        <f t="shared" si="396"/>
        <v>0</v>
      </c>
      <c r="AY364" s="38" t="s">
        <v>1078</v>
      </c>
      <c r="AZ364" s="38" t="s">
        <v>1079</v>
      </c>
      <c r="BA364" s="12" t="s">
        <v>1031</v>
      </c>
      <c r="BC364" s="35">
        <f t="shared" si="397"/>
        <v>0</v>
      </c>
      <c r="BD364" s="35">
        <f t="shared" si="398"/>
        <v>0</v>
      </c>
      <c r="BE364" s="35">
        <v>0</v>
      </c>
      <c r="BF364" s="35">
        <f t="shared" si="399"/>
        <v>0</v>
      </c>
      <c r="BH364" s="35">
        <f t="shared" si="400"/>
        <v>0</v>
      </c>
      <c r="BI364" s="35">
        <f t="shared" si="401"/>
        <v>0</v>
      </c>
      <c r="BJ364" s="35">
        <f t="shared" si="402"/>
        <v>0</v>
      </c>
      <c r="BK364" s="38" t="s">
        <v>69</v>
      </c>
      <c r="BL364" s="35"/>
      <c r="BW364" s="35">
        <f t="shared" si="403"/>
        <v>21</v>
      </c>
      <c r="BX364" s="4" t="s">
        <v>1082</v>
      </c>
    </row>
    <row r="365" spans="1:76" ht="25.5" x14ac:dyDescent="0.25">
      <c r="A365" s="2" t="s">
        <v>1083</v>
      </c>
      <c r="B365" s="3" t="s">
        <v>1022</v>
      </c>
      <c r="C365" s="3" t="s">
        <v>1084</v>
      </c>
      <c r="D365" s="70" t="s">
        <v>1085</v>
      </c>
      <c r="E365" s="71"/>
      <c r="F365" s="3" t="s">
        <v>85</v>
      </c>
      <c r="G365" s="35">
        <v>10</v>
      </c>
      <c r="H365" s="68">
        <v>0</v>
      </c>
      <c r="I365" s="36">
        <v>21</v>
      </c>
      <c r="J365" s="35">
        <f t="shared" si="378"/>
        <v>0</v>
      </c>
      <c r="K365" s="35">
        <f t="shared" si="379"/>
        <v>0</v>
      </c>
      <c r="L365" s="35">
        <f t="shared" si="380"/>
        <v>0</v>
      </c>
      <c r="M365" s="35">
        <f t="shared" si="381"/>
        <v>0</v>
      </c>
      <c r="N365" s="35">
        <v>0</v>
      </c>
      <c r="O365" s="35">
        <f t="shared" si="382"/>
        <v>0</v>
      </c>
      <c r="P365" s="37" t="s">
        <v>64</v>
      </c>
      <c r="Z365" s="35">
        <f t="shared" si="383"/>
        <v>0</v>
      </c>
      <c r="AB365" s="35">
        <f t="shared" si="384"/>
        <v>0</v>
      </c>
      <c r="AC365" s="35">
        <f t="shared" si="385"/>
        <v>0</v>
      </c>
      <c r="AD365" s="35">
        <f t="shared" si="386"/>
        <v>0</v>
      </c>
      <c r="AE365" s="35">
        <f t="shared" si="387"/>
        <v>0</v>
      </c>
      <c r="AF365" s="35">
        <f t="shared" si="388"/>
        <v>0</v>
      </c>
      <c r="AG365" s="35">
        <f t="shared" si="389"/>
        <v>0</v>
      </c>
      <c r="AH365" s="35">
        <f t="shared" si="390"/>
        <v>0</v>
      </c>
      <c r="AI365" s="12" t="s">
        <v>1022</v>
      </c>
      <c r="AJ365" s="35">
        <f t="shared" si="391"/>
        <v>0</v>
      </c>
      <c r="AK365" s="35">
        <f t="shared" si="392"/>
        <v>0</v>
      </c>
      <c r="AL365" s="35">
        <f t="shared" si="393"/>
        <v>0</v>
      </c>
      <c r="AN365" s="35">
        <v>21</v>
      </c>
      <c r="AO365" s="35">
        <f>H365*0.045346062</f>
        <v>0</v>
      </c>
      <c r="AP365" s="35">
        <f>H365*(1-0.045346062)</f>
        <v>0</v>
      </c>
      <c r="AQ365" s="38" t="s">
        <v>65</v>
      </c>
      <c r="AV365" s="35">
        <f t="shared" si="394"/>
        <v>0</v>
      </c>
      <c r="AW365" s="35">
        <f t="shared" si="395"/>
        <v>0</v>
      </c>
      <c r="AX365" s="35">
        <f t="shared" si="396"/>
        <v>0</v>
      </c>
      <c r="AY365" s="38" t="s">
        <v>1078</v>
      </c>
      <c r="AZ365" s="38" t="s">
        <v>1079</v>
      </c>
      <c r="BA365" s="12" t="s">
        <v>1031</v>
      </c>
      <c r="BC365" s="35">
        <f t="shared" si="397"/>
        <v>0</v>
      </c>
      <c r="BD365" s="35">
        <f t="shared" si="398"/>
        <v>0</v>
      </c>
      <c r="BE365" s="35">
        <v>0</v>
      </c>
      <c r="BF365" s="35">
        <f t="shared" si="399"/>
        <v>0</v>
      </c>
      <c r="BH365" s="35">
        <f t="shared" si="400"/>
        <v>0</v>
      </c>
      <c r="BI365" s="35">
        <f t="shared" si="401"/>
        <v>0</v>
      </c>
      <c r="BJ365" s="35">
        <f t="shared" si="402"/>
        <v>0</v>
      </c>
      <c r="BK365" s="38" t="s">
        <v>69</v>
      </c>
      <c r="BL365" s="35"/>
      <c r="BW365" s="35">
        <f t="shared" si="403"/>
        <v>21</v>
      </c>
      <c r="BX365" s="4" t="s">
        <v>1085</v>
      </c>
    </row>
    <row r="366" spans="1:76" ht="25.5" x14ac:dyDescent="0.25">
      <c r="A366" s="2" t="s">
        <v>1086</v>
      </c>
      <c r="B366" s="3" t="s">
        <v>1022</v>
      </c>
      <c r="C366" s="3" t="s">
        <v>1087</v>
      </c>
      <c r="D366" s="70" t="s">
        <v>1088</v>
      </c>
      <c r="E366" s="71"/>
      <c r="F366" s="3" t="s">
        <v>85</v>
      </c>
      <c r="G366" s="35">
        <v>2</v>
      </c>
      <c r="H366" s="68">
        <v>0</v>
      </c>
      <c r="I366" s="36">
        <v>21</v>
      </c>
      <c r="J366" s="35">
        <f t="shared" si="378"/>
        <v>0</v>
      </c>
      <c r="K366" s="35">
        <f t="shared" si="379"/>
        <v>0</v>
      </c>
      <c r="L366" s="35">
        <f t="shared" si="380"/>
        <v>0</v>
      </c>
      <c r="M366" s="35">
        <f t="shared" si="381"/>
        <v>0</v>
      </c>
      <c r="N366" s="35">
        <v>0</v>
      </c>
      <c r="O366" s="35">
        <f t="shared" si="382"/>
        <v>0</v>
      </c>
      <c r="P366" s="37" t="s">
        <v>64</v>
      </c>
      <c r="Z366" s="35">
        <f t="shared" si="383"/>
        <v>0</v>
      </c>
      <c r="AB366" s="35">
        <f t="shared" si="384"/>
        <v>0</v>
      </c>
      <c r="AC366" s="35">
        <f t="shared" si="385"/>
        <v>0</v>
      </c>
      <c r="AD366" s="35">
        <f t="shared" si="386"/>
        <v>0</v>
      </c>
      <c r="AE366" s="35">
        <f t="shared" si="387"/>
        <v>0</v>
      </c>
      <c r="AF366" s="35">
        <f t="shared" si="388"/>
        <v>0</v>
      </c>
      <c r="AG366" s="35">
        <f t="shared" si="389"/>
        <v>0</v>
      </c>
      <c r="AH366" s="35">
        <f t="shared" si="390"/>
        <v>0</v>
      </c>
      <c r="AI366" s="12" t="s">
        <v>1022</v>
      </c>
      <c r="AJ366" s="35">
        <f t="shared" si="391"/>
        <v>0</v>
      </c>
      <c r="AK366" s="35">
        <f t="shared" si="392"/>
        <v>0</v>
      </c>
      <c r="AL366" s="35">
        <f t="shared" si="393"/>
        <v>0</v>
      </c>
      <c r="AN366" s="35">
        <v>21</v>
      </c>
      <c r="AO366" s="35">
        <f>H366*0.556550952</f>
        <v>0</v>
      </c>
      <c r="AP366" s="35">
        <f>H366*(1-0.556550952)</f>
        <v>0</v>
      </c>
      <c r="AQ366" s="38" t="s">
        <v>65</v>
      </c>
      <c r="AV366" s="35">
        <f t="shared" si="394"/>
        <v>0</v>
      </c>
      <c r="AW366" s="35">
        <f t="shared" si="395"/>
        <v>0</v>
      </c>
      <c r="AX366" s="35">
        <f t="shared" si="396"/>
        <v>0</v>
      </c>
      <c r="AY366" s="38" t="s">
        <v>1078</v>
      </c>
      <c r="AZ366" s="38" t="s">
        <v>1079</v>
      </c>
      <c r="BA366" s="12" t="s">
        <v>1031</v>
      </c>
      <c r="BC366" s="35">
        <f t="shared" si="397"/>
        <v>0</v>
      </c>
      <c r="BD366" s="35">
        <f t="shared" si="398"/>
        <v>0</v>
      </c>
      <c r="BE366" s="35">
        <v>0</v>
      </c>
      <c r="BF366" s="35">
        <f t="shared" si="399"/>
        <v>0</v>
      </c>
      <c r="BH366" s="35">
        <f t="shared" si="400"/>
        <v>0</v>
      </c>
      <c r="BI366" s="35">
        <f t="shared" si="401"/>
        <v>0</v>
      </c>
      <c r="BJ366" s="35">
        <f t="shared" si="402"/>
        <v>0</v>
      </c>
      <c r="BK366" s="38" t="s">
        <v>69</v>
      </c>
      <c r="BL366" s="35"/>
      <c r="BW366" s="35">
        <f t="shared" si="403"/>
        <v>21</v>
      </c>
      <c r="BX366" s="4" t="s">
        <v>1088</v>
      </c>
    </row>
    <row r="367" spans="1:76" x14ac:dyDescent="0.25">
      <c r="A367" s="2" t="s">
        <v>1089</v>
      </c>
      <c r="B367" s="3" t="s">
        <v>1022</v>
      </c>
      <c r="C367" s="3" t="s">
        <v>1090</v>
      </c>
      <c r="D367" s="70" t="s">
        <v>1091</v>
      </c>
      <c r="E367" s="71"/>
      <c r="F367" s="3" t="s">
        <v>85</v>
      </c>
      <c r="G367" s="35">
        <v>4</v>
      </c>
      <c r="H367" s="68">
        <v>0</v>
      </c>
      <c r="I367" s="36">
        <v>21</v>
      </c>
      <c r="J367" s="35">
        <f t="shared" si="378"/>
        <v>0</v>
      </c>
      <c r="K367" s="35">
        <f t="shared" si="379"/>
        <v>0</v>
      </c>
      <c r="L367" s="35">
        <f t="shared" si="380"/>
        <v>0</v>
      </c>
      <c r="M367" s="35">
        <f t="shared" si="381"/>
        <v>0</v>
      </c>
      <c r="N367" s="35">
        <v>0</v>
      </c>
      <c r="O367" s="35">
        <f t="shared" si="382"/>
        <v>0</v>
      </c>
      <c r="P367" s="37" t="s">
        <v>64</v>
      </c>
      <c r="Z367" s="35">
        <f t="shared" si="383"/>
        <v>0</v>
      </c>
      <c r="AB367" s="35">
        <f t="shared" si="384"/>
        <v>0</v>
      </c>
      <c r="AC367" s="35">
        <f t="shared" si="385"/>
        <v>0</v>
      </c>
      <c r="AD367" s="35">
        <f t="shared" si="386"/>
        <v>0</v>
      </c>
      <c r="AE367" s="35">
        <f t="shared" si="387"/>
        <v>0</v>
      </c>
      <c r="AF367" s="35">
        <f t="shared" si="388"/>
        <v>0</v>
      </c>
      <c r="AG367" s="35">
        <f t="shared" si="389"/>
        <v>0</v>
      </c>
      <c r="AH367" s="35">
        <f t="shared" si="390"/>
        <v>0</v>
      </c>
      <c r="AI367" s="12" t="s">
        <v>1022</v>
      </c>
      <c r="AJ367" s="35">
        <f t="shared" si="391"/>
        <v>0</v>
      </c>
      <c r="AK367" s="35">
        <f t="shared" si="392"/>
        <v>0</v>
      </c>
      <c r="AL367" s="35">
        <f t="shared" si="393"/>
        <v>0</v>
      </c>
      <c r="AN367" s="35">
        <v>21</v>
      </c>
      <c r="AO367" s="35">
        <f>H367*0.856481481</f>
        <v>0</v>
      </c>
      <c r="AP367" s="35">
        <f>H367*(1-0.856481481)</f>
        <v>0</v>
      </c>
      <c r="AQ367" s="38" t="s">
        <v>65</v>
      </c>
      <c r="AV367" s="35">
        <f t="shared" si="394"/>
        <v>0</v>
      </c>
      <c r="AW367" s="35">
        <f t="shared" si="395"/>
        <v>0</v>
      </c>
      <c r="AX367" s="35">
        <f t="shared" si="396"/>
        <v>0</v>
      </c>
      <c r="AY367" s="38" t="s">
        <v>1078</v>
      </c>
      <c r="AZ367" s="38" t="s">
        <v>1079</v>
      </c>
      <c r="BA367" s="12" t="s">
        <v>1031</v>
      </c>
      <c r="BC367" s="35">
        <f t="shared" si="397"/>
        <v>0</v>
      </c>
      <c r="BD367" s="35">
        <f t="shared" si="398"/>
        <v>0</v>
      </c>
      <c r="BE367" s="35">
        <v>0</v>
      </c>
      <c r="BF367" s="35">
        <f t="shared" si="399"/>
        <v>0</v>
      </c>
      <c r="BH367" s="35">
        <f t="shared" si="400"/>
        <v>0</v>
      </c>
      <c r="BI367" s="35">
        <f t="shared" si="401"/>
        <v>0</v>
      </c>
      <c r="BJ367" s="35">
        <f t="shared" si="402"/>
        <v>0</v>
      </c>
      <c r="BK367" s="38" t="s">
        <v>69</v>
      </c>
      <c r="BL367" s="35"/>
      <c r="BW367" s="35">
        <f t="shared" si="403"/>
        <v>21</v>
      </c>
      <c r="BX367" s="4" t="s">
        <v>1091</v>
      </c>
    </row>
    <row r="368" spans="1:76" x14ac:dyDescent="0.25">
      <c r="A368" s="2" t="s">
        <v>1092</v>
      </c>
      <c r="B368" s="3" t="s">
        <v>1022</v>
      </c>
      <c r="C368" s="3" t="s">
        <v>1093</v>
      </c>
      <c r="D368" s="70" t="s">
        <v>1094</v>
      </c>
      <c r="E368" s="71"/>
      <c r="F368" s="3" t="s">
        <v>85</v>
      </c>
      <c r="G368" s="35">
        <v>2</v>
      </c>
      <c r="H368" s="68">
        <v>0</v>
      </c>
      <c r="I368" s="36">
        <v>21</v>
      </c>
      <c r="J368" s="35">
        <f t="shared" si="378"/>
        <v>0</v>
      </c>
      <c r="K368" s="35">
        <f t="shared" si="379"/>
        <v>0</v>
      </c>
      <c r="L368" s="35">
        <f t="shared" si="380"/>
        <v>0</v>
      </c>
      <c r="M368" s="35">
        <f t="shared" si="381"/>
        <v>0</v>
      </c>
      <c r="N368" s="35">
        <v>0</v>
      </c>
      <c r="O368" s="35">
        <f t="shared" si="382"/>
        <v>0</v>
      </c>
      <c r="P368" s="37" t="s">
        <v>64</v>
      </c>
      <c r="Z368" s="35">
        <f t="shared" si="383"/>
        <v>0</v>
      </c>
      <c r="AB368" s="35">
        <f t="shared" si="384"/>
        <v>0</v>
      </c>
      <c r="AC368" s="35">
        <f t="shared" si="385"/>
        <v>0</v>
      </c>
      <c r="AD368" s="35">
        <f t="shared" si="386"/>
        <v>0</v>
      </c>
      <c r="AE368" s="35">
        <f t="shared" si="387"/>
        <v>0</v>
      </c>
      <c r="AF368" s="35">
        <f t="shared" si="388"/>
        <v>0</v>
      </c>
      <c r="AG368" s="35">
        <f t="shared" si="389"/>
        <v>0</v>
      </c>
      <c r="AH368" s="35">
        <f t="shared" si="390"/>
        <v>0</v>
      </c>
      <c r="AI368" s="12" t="s">
        <v>1022</v>
      </c>
      <c r="AJ368" s="35">
        <f t="shared" si="391"/>
        <v>0</v>
      </c>
      <c r="AK368" s="35">
        <f t="shared" si="392"/>
        <v>0</v>
      </c>
      <c r="AL368" s="35">
        <f t="shared" si="393"/>
        <v>0</v>
      </c>
      <c r="AN368" s="35">
        <v>21</v>
      </c>
      <c r="AO368" s="35">
        <f>H368*0.924228537</f>
        <v>0</v>
      </c>
      <c r="AP368" s="35">
        <f>H368*(1-0.924228537)</f>
        <v>0</v>
      </c>
      <c r="AQ368" s="38" t="s">
        <v>65</v>
      </c>
      <c r="AV368" s="35">
        <f t="shared" si="394"/>
        <v>0</v>
      </c>
      <c r="AW368" s="35">
        <f t="shared" si="395"/>
        <v>0</v>
      </c>
      <c r="AX368" s="35">
        <f t="shared" si="396"/>
        <v>0</v>
      </c>
      <c r="AY368" s="38" t="s">
        <v>1078</v>
      </c>
      <c r="AZ368" s="38" t="s">
        <v>1079</v>
      </c>
      <c r="BA368" s="12" t="s">
        <v>1031</v>
      </c>
      <c r="BC368" s="35">
        <f t="shared" si="397"/>
        <v>0</v>
      </c>
      <c r="BD368" s="35">
        <f t="shared" si="398"/>
        <v>0</v>
      </c>
      <c r="BE368" s="35">
        <v>0</v>
      </c>
      <c r="BF368" s="35">
        <f t="shared" si="399"/>
        <v>0</v>
      </c>
      <c r="BH368" s="35">
        <f t="shared" si="400"/>
        <v>0</v>
      </c>
      <c r="BI368" s="35">
        <f t="shared" si="401"/>
        <v>0</v>
      </c>
      <c r="BJ368" s="35">
        <f t="shared" si="402"/>
        <v>0</v>
      </c>
      <c r="BK368" s="38" t="s">
        <v>69</v>
      </c>
      <c r="BL368" s="35"/>
      <c r="BW368" s="35">
        <f t="shared" si="403"/>
        <v>21</v>
      </c>
      <c r="BX368" s="4" t="s">
        <v>1094</v>
      </c>
    </row>
    <row r="369" spans="1:76" x14ac:dyDescent="0.25">
      <c r="A369" s="31" t="s">
        <v>55</v>
      </c>
      <c r="B369" s="32" t="s">
        <v>1022</v>
      </c>
      <c r="C369" s="32" t="s">
        <v>1095</v>
      </c>
      <c r="D369" s="128" t="s">
        <v>1096</v>
      </c>
      <c r="E369" s="129"/>
      <c r="F369" s="33" t="s">
        <v>4</v>
      </c>
      <c r="G369" s="33" t="s">
        <v>4</v>
      </c>
      <c r="H369" s="33" t="s">
        <v>4</v>
      </c>
      <c r="I369" s="33" t="s">
        <v>4</v>
      </c>
      <c r="J369" s="1">
        <f>SUM(J370:J370)</f>
        <v>0</v>
      </c>
      <c r="K369" s="1">
        <f>SUM(K370:K370)</f>
        <v>0</v>
      </c>
      <c r="L369" s="1">
        <f>SUM(L370:L370)</f>
        <v>0</v>
      </c>
      <c r="M369" s="1">
        <f>SUM(M370:M370)</f>
        <v>0</v>
      </c>
      <c r="N369" s="12" t="s">
        <v>55</v>
      </c>
      <c r="O369" s="1">
        <f>SUM(O370:O370)</f>
        <v>1.0000000000000001E-5</v>
      </c>
      <c r="P369" s="34" t="s">
        <v>55</v>
      </c>
      <c r="AI369" s="12" t="s">
        <v>1022</v>
      </c>
      <c r="AS369" s="1">
        <f>SUM(AJ370:AJ370)</f>
        <v>0</v>
      </c>
      <c r="AT369" s="1">
        <f>SUM(AK370:AK370)</f>
        <v>0</v>
      </c>
      <c r="AU369" s="1">
        <f>SUM(AL370:AL370)</f>
        <v>0</v>
      </c>
    </row>
    <row r="370" spans="1:76" x14ac:dyDescent="0.25">
      <c r="A370" s="2" t="s">
        <v>1097</v>
      </c>
      <c r="B370" s="3" t="s">
        <v>1022</v>
      </c>
      <c r="C370" s="3" t="s">
        <v>1098</v>
      </c>
      <c r="D370" s="70" t="s">
        <v>1099</v>
      </c>
      <c r="E370" s="71"/>
      <c r="F370" s="3" t="s">
        <v>85</v>
      </c>
      <c r="G370" s="35">
        <v>1</v>
      </c>
      <c r="H370" s="68">
        <v>0</v>
      </c>
      <c r="I370" s="36">
        <v>21</v>
      </c>
      <c r="J370" s="35">
        <f>ROUND(G370*AO370,2)</f>
        <v>0</v>
      </c>
      <c r="K370" s="35">
        <f>ROUND(G370*AP370,2)</f>
        <v>0</v>
      </c>
      <c r="L370" s="35">
        <f>ROUND(G370*H370,2)</f>
        <v>0</v>
      </c>
      <c r="M370" s="35">
        <f>L370*(1+BW370/100)</f>
        <v>0</v>
      </c>
      <c r="N370" s="35">
        <v>1.0000000000000001E-5</v>
      </c>
      <c r="O370" s="35">
        <f>G370*N370</f>
        <v>1.0000000000000001E-5</v>
      </c>
      <c r="P370" s="37" t="s">
        <v>64</v>
      </c>
      <c r="Z370" s="35">
        <f>ROUND(IF(AQ370="5",BJ370,0),2)</f>
        <v>0</v>
      </c>
      <c r="AB370" s="35">
        <f>ROUND(IF(AQ370="1",BH370,0),2)</f>
        <v>0</v>
      </c>
      <c r="AC370" s="35">
        <f>ROUND(IF(AQ370="1",BI370,0),2)</f>
        <v>0</v>
      </c>
      <c r="AD370" s="35">
        <f>ROUND(IF(AQ370="7",BH370,0),2)</f>
        <v>0</v>
      </c>
      <c r="AE370" s="35">
        <f>ROUND(IF(AQ370="7",BI370,0),2)</f>
        <v>0</v>
      </c>
      <c r="AF370" s="35">
        <f>ROUND(IF(AQ370="2",BH370,0),2)</f>
        <v>0</v>
      </c>
      <c r="AG370" s="35">
        <f>ROUND(IF(AQ370="2",BI370,0),2)</f>
        <v>0</v>
      </c>
      <c r="AH370" s="35">
        <f>ROUND(IF(AQ370="0",BJ370,0),2)</f>
        <v>0</v>
      </c>
      <c r="AI370" s="12" t="s">
        <v>1022</v>
      </c>
      <c r="AJ370" s="35">
        <f>IF(AN370=0,L370,0)</f>
        <v>0</v>
      </c>
      <c r="AK370" s="35">
        <f>IF(AN370=15,L370,0)</f>
        <v>0</v>
      </c>
      <c r="AL370" s="35">
        <f>IF(AN370=21,L370,0)</f>
        <v>0</v>
      </c>
      <c r="AN370" s="35">
        <v>21</v>
      </c>
      <c r="AO370" s="35">
        <f>H370*0.009109589</f>
        <v>0</v>
      </c>
      <c r="AP370" s="35">
        <f>H370*(1-0.009109589)</f>
        <v>0</v>
      </c>
      <c r="AQ370" s="38" t="s">
        <v>65</v>
      </c>
      <c r="AV370" s="35">
        <f>ROUND(AW370+AX370,2)</f>
        <v>0</v>
      </c>
      <c r="AW370" s="35">
        <f>ROUND(G370*AO370,2)</f>
        <v>0</v>
      </c>
      <c r="AX370" s="35">
        <f>ROUND(G370*AP370,2)</f>
        <v>0</v>
      </c>
      <c r="AY370" s="38" t="s">
        <v>1100</v>
      </c>
      <c r="AZ370" s="38" t="s">
        <v>1101</v>
      </c>
      <c r="BA370" s="12" t="s">
        <v>1031</v>
      </c>
      <c r="BC370" s="35">
        <f>AW370+AX370</f>
        <v>0</v>
      </c>
      <c r="BD370" s="35">
        <f>H370/(100-BE370)*100</f>
        <v>0</v>
      </c>
      <c r="BE370" s="35">
        <v>0</v>
      </c>
      <c r="BF370" s="35">
        <f>O370</f>
        <v>1.0000000000000001E-5</v>
      </c>
      <c r="BH370" s="35">
        <f>G370*AO370</f>
        <v>0</v>
      </c>
      <c r="BI370" s="35">
        <f>G370*AP370</f>
        <v>0</v>
      </c>
      <c r="BJ370" s="35">
        <f>G370*H370</f>
        <v>0</v>
      </c>
      <c r="BK370" s="38" t="s">
        <v>69</v>
      </c>
      <c r="BL370" s="35">
        <v>767</v>
      </c>
      <c r="BW370" s="35">
        <f>I370</f>
        <v>21</v>
      </c>
      <c r="BX370" s="4" t="s">
        <v>1099</v>
      </c>
    </row>
    <row r="371" spans="1:76" x14ac:dyDescent="0.25">
      <c r="A371" s="31" t="s">
        <v>55</v>
      </c>
      <c r="B371" s="32" t="s">
        <v>1022</v>
      </c>
      <c r="C371" s="32" t="s">
        <v>1102</v>
      </c>
      <c r="D371" s="128" t="s">
        <v>1103</v>
      </c>
      <c r="E371" s="129"/>
      <c r="F371" s="33" t="s">
        <v>4</v>
      </c>
      <c r="G371" s="33" t="s">
        <v>4</v>
      </c>
      <c r="H371" s="33" t="s">
        <v>4</v>
      </c>
      <c r="I371" s="33" t="s">
        <v>4</v>
      </c>
      <c r="J371" s="1">
        <f>SUM(J372:J372)</f>
        <v>0</v>
      </c>
      <c r="K371" s="1">
        <f>SUM(K372:K372)</f>
        <v>0</v>
      </c>
      <c r="L371" s="1">
        <f>SUM(L372:L372)</f>
        <v>0</v>
      </c>
      <c r="M371" s="1">
        <f>SUM(M372:M372)</f>
        <v>0</v>
      </c>
      <c r="N371" s="12" t="s">
        <v>55</v>
      </c>
      <c r="O371" s="1">
        <f>SUM(O372:O372)</f>
        <v>3.3E-3</v>
      </c>
      <c r="P371" s="34" t="s">
        <v>55</v>
      </c>
      <c r="AI371" s="12" t="s">
        <v>1022</v>
      </c>
      <c r="AS371" s="1">
        <f>SUM(AJ372:AJ372)</f>
        <v>0</v>
      </c>
      <c r="AT371" s="1">
        <f>SUM(AK372:AK372)</f>
        <v>0</v>
      </c>
      <c r="AU371" s="1">
        <f>SUM(AL372:AL372)</f>
        <v>0</v>
      </c>
    </row>
    <row r="372" spans="1:76" x14ac:dyDescent="0.25">
      <c r="A372" s="2" t="s">
        <v>1104</v>
      </c>
      <c r="B372" s="3" t="s">
        <v>1022</v>
      </c>
      <c r="C372" s="3" t="s">
        <v>1105</v>
      </c>
      <c r="D372" s="70" t="s">
        <v>1106</v>
      </c>
      <c r="E372" s="71"/>
      <c r="F372" s="3" t="s">
        <v>222</v>
      </c>
      <c r="G372" s="35">
        <v>1.5</v>
      </c>
      <c r="H372" s="68">
        <v>0</v>
      </c>
      <c r="I372" s="36">
        <v>21</v>
      </c>
      <c r="J372" s="35">
        <f>ROUND(G372*AO372,2)</f>
        <v>0</v>
      </c>
      <c r="K372" s="35">
        <f>ROUND(G372*AP372,2)</f>
        <v>0</v>
      </c>
      <c r="L372" s="35">
        <f>ROUND(G372*H372,2)</f>
        <v>0</v>
      </c>
      <c r="M372" s="35">
        <f>L372*(1+BW372/100)</f>
        <v>0</v>
      </c>
      <c r="N372" s="35">
        <v>2.2000000000000001E-3</v>
      </c>
      <c r="O372" s="35">
        <f>G372*N372</f>
        <v>3.3E-3</v>
      </c>
      <c r="P372" s="37" t="s">
        <v>64</v>
      </c>
      <c r="Z372" s="35">
        <f>ROUND(IF(AQ372="5",BJ372,0),2)</f>
        <v>0</v>
      </c>
      <c r="AB372" s="35">
        <f>ROUND(IF(AQ372="1",BH372,0),2)</f>
        <v>0</v>
      </c>
      <c r="AC372" s="35">
        <f>ROUND(IF(AQ372="1",BI372,0),2)</f>
        <v>0</v>
      </c>
      <c r="AD372" s="35">
        <f>ROUND(IF(AQ372="7",BH372,0),2)</f>
        <v>0</v>
      </c>
      <c r="AE372" s="35">
        <f>ROUND(IF(AQ372="7",BI372,0),2)</f>
        <v>0</v>
      </c>
      <c r="AF372" s="35">
        <f>ROUND(IF(AQ372="2",BH372,0),2)</f>
        <v>0</v>
      </c>
      <c r="AG372" s="35">
        <f>ROUND(IF(AQ372="2",BI372,0),2)</f>
        <v>0</v>
      </c>
      <c r="AH372" s="35">
        <f>ROUND(IF(AQ372="0",BJ372,0),2)</f>
        <v>0</v>
      </c>
      <c r="AI372" s="12" t="s">
        <v>1022</v>
      </c>
      <c r="AJ372" s="35">
        <f>IF(AN372=0,L372,0)</f>
        <v>0</v>
      </c>
      <c r="AK372" s="35">
        <f>IF(AN372=15,L372,0)</f>
        <v>0</v>
      </c>
      <c r="AL372" s="35">
        <f>IF(AN372=21,L372,0)</f>
        <v>0</v>
      </c>
      <c r="AN372" s="35">
        <v>21</v>
      </c>
      <c r="AO372" s="35">
        <f>H372*0.177315764</f>
        <v>0</v>
      </c>
      <c r="AP372" s="35">
        <f>H372*(1-0.177315764)</f>
        <v>0</v>
      </c>
      <c r="AQ372" s="38" t="s">
        <v>65</v>
      </c>
      <c r="AV372" s="35">
        <f>ROUND(AW372+AX372,2)</f>
        <v>0</v>
      </c>
      <c r="AW372" s="35">
        <f>ROUND(G372*AO372,2)</f>
        <v>0</v>
      </c>
      <c r="AX372" s="35">
        <f>ROUND(G372*AP372,2)</f>
        <v>0</v>
      </c>
      <c r="AY372" s="38" t="s">
        <v>1107</v>
      </c>
      <c r="AZ372" s="38" t="s">
        <v>1108</v>
      </c>
      <c r="BA372" s="12" t="s">
        <v>1031</v>
      </c>
      <c r="BC372" s="35">
        <f>AW372+AX372</f>
        <v>0</v>
      </c>
      <c r="BD372" s="35">
        <f>H372/(100-BE372)*100</f>
        <v>0</v>
      </c>
      <c r="BE372" s="35">
        <v>0</v>
      </c>
      <c r="BF372" s="35">
        <f>O372</f>
        <v>3.3E-3</v>
      </c>
      <c r="BH372" s="35">
        <f>G372*AO372</f>
        <v>0</v>
      </c>
      <c r="BI372" s="35">
        <f>G372*AP372</f>
        <v>0</v>
      </c>
      <c r="BJ372" s="35">
        <f>G372*H372</f>
        <v>0</v>
      </c>
      <c r="BK372" s="38" t="s">
        <v>69</v>
      </c>
      <c r="BL372" s="35">
        <v>777</v>
      </c>
      <c r="BW372" s="35">
        <f>I372</f>
        <v>21</v>
      </c>
      <c r="BX372" s="4" t="s">
        <v>1106</v>
      </c>
    </row>
    <row r="373" spans="1:76" x14ac:dyDescent="0.25">
      <c r="A373" s="31" t="s">
        <v>55</v>
      </c>
      <c r="B373" s="32" t="s">
        <v>1022</v>
      </c>
      <c r="C373" s="32" t="s">
        <v>164</v>
      </c>
      <c r="D373" s="128" t="s">
        <v>165</v>
      </c>
      <c r="E373" s="129"/>
      <c r="F373" s="33" t="s">
        <v>4</v>
      </c>
      <c r="G373" s="33" t="s">
        <v>4</v>
      </c>
      <c r="H373" s="33" t="s">
        <v>4</v>
      </c>
      <c r="I373" s="33" t="s">
        <v>4</v>
      </c>
      <c r="J373" s="1">
        <f>SUM(J374:J376)</f>
        <v>0</v>
      </c>
      <c r="K373" s="1">
        <f>SUM(K374:K376)</f>
        <v>0</v>
      </c>
      <c r="L373" s="1">
        <f>SUM(L374:L376)</f>
        <v>0</v>
      </c>
      <c r="M373" s="1">
        <f>SUM(M374:M376)</f>
        <v>0</v>
      </c>
      <c r="N373" s="12" t="s">
        <v>55</v>
      </c>
      <c r="O373" s="1">
        <f>SUM(O374:O376)</f>
        <v>0.30871999999999999</v>
      </c>
      <c r="P373" s="34" t="s">
        <v>55</v>
      </c>
      <c r="AI373" s="12" t="s">
        <v>1022</v>
      </c>
      <c r="AS373" s="1">
        <f>SUM(AJ374:AJ376)</f>
        <v>0</v>
      </c>
      <c r="AT373" s="1">
        <f>SUM(AK374:AK376)</f>
        <v>0</v>
      </c>
      <c r="AU373" s="1">
        <f>SUM(AL374:AL376)</f>
        <v>0</v>
      </c>
    </row>
    <row r="374" spans="1:76" x14ac:dyDescent="0.25">
      <c r="A374" s="2" t="s">
        <v>1109</v>
      </c>
      <c r="B374" s="3" t="s">
        <v>1022</v>
      </c>
      <c r="C374" s="3" t="s">
        <v>1110</v>
      </c>
      <c r="D374" s="70" t="s">
        <v>1111</v>
      </c>
      <c r="E374" s="71"/>
      <c r="F374" s="3" t="s">
        <v>222</v>
      </c>
      <c r="G374" s="35">
        <v>454</v>
      </c>
      <c r="H374" s="68">
        <v>0</v>
      </c>
      <c r="I374" s="36">
        <v>21</v>
      </c>
      <c r="J374" s="35">
        <f>ROUND(G374*AO374,2)</f>
        <v>0</v>
      </c>
      <c r="K374" s="35">
        <f>ROUND(G374*AP374,2)</f>
        <v>0</v>
      </c>
      <c r="L374" s="35">
        <f>ROUND(G374*H374,2)</f>
        <v>0</v>
      </c>
      <c r="M374" s="35">
        <f>L374*(1+BW374/100)</f>
        <v>0</v>
      </c>
      <c r="N374" s="35">
        <v>0</v>
      </c>
      <c r="O374" s="35">
        <f>G374*N374</f>
        <v>0</v>
      </c>
      <c r="P374" s="37" t="s">
        <v>64</v>
      </c>
      <c r="Z374" s="35">
        <f>ROUND(IF(AQ374="5",BJ374,0),2)</f>
        <v>0</v>
      </c>
      <c r="AB374" s="35">
        <f>ROUND(IF(AQ374="1",BH374,0),2)</f>
        <v>0</v>
      </c>
      <c r="AC374" s="35">
        <f>ROUND(IF(AQ374="1",BI374,0),2)</f>
        <v>0</v>
      </c>
      <c r="AD374" s="35">
        <f>ROUND(IF(AQ374="7",BH374,0),2)</f>
        <v>0</v>
      </c>
      <c r="AE374" s="35">
        <f>ROUND(IF(AQ374="7",BI374,0),2)</f>
        <v>0</v>
      </c>
      <c r="AF374" s="35">
        <f>ROUND(IF(AQ374="2",BH374,0),2)</f>
        <v>0</v>
      </c>
      <c r="AG374" s="35">
        <f>ROUND(IF(AQ374="2",BI374,0),2)</f>
        <v>0</v>
      </c>
      <c r="AH374" s="35">
        <f>ROUND(IF(AQ374="0",BJ374,0),2)</f>
        <v>0</v>
      </c>
      <c r="AI374" s="12" t="s">
        <v>1022</v>
      </c>
      <c r="AJ374" s="35">
        <f>IF(AN374=0,L374,0)</f>
        <v>0</v>
      </c>
      <c r="AK374" s="35">
        <f>IF(AN374=15,L374,0)</f>
        <v>0</v>
      </c>
      <c r="AL374" s="35">
        <f>IF(AN374=21,L374,0)</f>
        <v>0</v>
      </c>
      <c r="AN374" s="35">
        <v>21</v>
      </c>
      <c r="AO374" s="35">
        <f>H374*0</f>
        <v>0</v>
      </c>
      <c r="AP374" s="35">
        <f>H374*(1-0)</f>
        <v>0</v>
      </c>
      <c r="AQ374" s="38" t="s">
        <v>65</v>
      </c>
      <c r="AV374" s="35">
        <f>ROUND(AW374+AX374,2)</f>
        <v>0</v>
      </c>
      <c r="AW374" s="35">
        <f>ROUND(G374*AO374,2)</f>
        <v>0</v>
      </c>
      <c r="AX374" s="35">
        <f>ROUND(G374*AP374,2)</f>
        <v>0</v>
      </c>
      <c r="AY374" s="38" t="s">
        <v>169</v>
      </c>
      <c r="AZ374" s="38" t="s">
        <v>1112</v>
      </c>
      <c r="BA374" s="12" t="s">
        <v>1031</v>
      </c>
      <c r="BC374" s="35">
        <f>AW374+AX374</f>
        <v>0</v>
      </c>
      <c r="BD374" s="35">
        <f>H374/(100-BE374)*100</f>
        <v>0</v>
      </c>
      <c r="BE374" s="35">
        <v>0</v>
      </c>
      <c r="BF374" s="35">
        <f>O374</f>
        <v>0</v>
      </c>
      <c r="BH374" s="35">
        <f>G374*AO374</f>
        <v>0</v>
      </c>
      <c r="BI374" s="35">
        <f>G374*AP374</f>
        <v>0</v>
      </c>
      <c r="BJ374" s="35">
        <f>G374*H374</f>
        <v>0</v>
      </c>
      <c r="BK374" s="38" t="s">
        <v>69</v>
      </c>
      <c r="BL374" s="35">
        <v>783</v>
      </c>
      <c r="BW374" s="35">
        <f>I374</f>
        <v>21</v>
      </c>
      <c r="BX374" s="4" t="s">
        <v>1111</v>
      </c>
    </row>
    <row r="375" spans="1:76" x14ac:dyDescent="0.25">
      <c r="A375" s="2" t="s">
        <v>1113</v>
      </c>
      <c r="B375" s="3" t="s">
        <v>1022</v>
      </c>
      <c r="C375" s="3" t="s">
        <v>1114</v>
      </c>
      <c r="D375" s="70" t="s">
        <v>1115</v>
      </c>
      <c r="E375" s="71"/>
      <c r="F375" s="3" t="s">
        <v>222</v>
      </c>
      <c r="G375" s="35">
        <v>454</v>
      </c>
      <c r="H375" s="68">
        <v>0</v>
      </c>
      <c r="I375" s="36">
        <v>21</v>
      </c>
      <c r="J375" s="35">
        <f>ROUND(G375*AO375,2)</f>
        <v>0</v>
      </c>
      <c r="K375" s="35">
        <f>ROUND(G375*AP375,2)</f>
        <v>0</v>
      </c>
      <c r="L375" s="35">
        <f>ROUND(G375*H375,2)</f>
        <v>0</v>
      </c>
      <c r="M375" s="35">
        <f>L375*(1+BW375/100)</f>
        <v>0</v>
      </c>
      <c r="N375" s="35">
        <v>2.1000000000000001E-4</v>
      </c>
      <c r="O375" s="35">
        <f>G375*N375</f>
        <v>9.5340000000000008E-2</v>
      </c>
      <c r="P375" s="37" t="s">
        <v>64</v>
      </c>
      <c r="Z375" s="35">
        <f>ROUND(IF(AQ375="5",BJ375,0),2)</f>
        <v>0</v>
      </c>
      <c r="AB375" s="35">
        <f>ROUND(IF(AQ375="1",BH375,0),2)</f>
        <v>0</v>
      </c>
      <c r="AC375" s="35">
        <f>ROUND(IF(AQ375="1",BI375,0),2)</f>
        <v>0</v>
      </c>
      <c r="AD375" s="35">
        <f>ROUND(IF(AQ375="7",BH375,0),2)</f>
        <v>0</v>
      </c>
      <c r="AE375" s="35">
        <f>ROUND(IF(AQ375="7",BI375,0),2)</f>
        <v>0</v>
      </c>
      <c r="AF375" s="35">
        <f>ROUND(IF(AQ375="2",BH375,0),2)</f>
        <v>0</v>
      </c>
      <c r="AG375" s="35">
        <f>ROUND(IF(AQ375="2",BI375,0),2)</f>
        <v>0</v>
      </c>
      <c r="AH375" s="35">
        <f>ROUND(IF(AQ375="0",BJ375,0),2)</f>
        <v>0</v>
      </c>
      <c r="AI375" s="12" t="s">
        <v>1022</v>
      </c>
      <c r="AJ375" s="35">
        <f>IF(AN375=0,L375,0)</f>
        <v>0</v>
      </c>
      <c r="AK375" s="35">
        <f>IF(AN375=15,L375,0)</f>
        <v>0</v>
      </c>
      <c r="AL375" s="35">
        <f>IF(AN375=21,L375,0)</f>
        <v>0</v>
      </c>
      <c r="AN375" s="35">
        <v>21</v>
      </c>
      <c r="AO375" s="35">
        <f>H375*0.38565356</f>
        <v>0</v>
      </c>
      <c r="AP375" s="35">
        <f>H375*(1-0.38565356)</f>
        <v>0</v>
      </c>
      <c r="AQ375" s="38" t="s">
        <v>65</v>
      </c>
      <c r="AV375" s="35">
        <f>ROUND(AW375+AX375,2)</f>
        <v>0</v>
      </c>
      <c r="AW375" s="35">
        <f>ROUND(G375*AO375,2)</f>
        <v>0</v>
      </c>
      <c r="AX375" s="35">
        <f>ROUND(G375*AP375,2)</f>
        <v>0</v>
      </c>
      <c r="AY375" s="38" t="s">
        <v>169</v>
      </c>
      <c r="AZ375" s="38" t="s">
        <v>1112</v>
      </c>
      <c r="BA375" s="12" t="s">
        <v>1031</v>
      </c>
      <c r="BC375" s="35">
        <f>AW375+AX375</f>
        <v>0</v>
      </c>
      <c r="BD375" s="35">
        <f>H375/(100-BE375)*100</f>
        <v>0</v>
      </c>
      <c r="BE375" s="35">
        <v>0</v>
      </c>
      <c r="BF375" s="35">
        <f>O375</f>
        <v>9.5340000000000008E-2</v>
      </c>
      <c r="BH375" s="35">
        <f>G375*AO375</f>
        <v>0</v>
      </c>
      <c r="BI375" s="35">
        <f>G375*AP375</f>
        <v>0</v>
      </c>
      <c r="BJ375" s="35">
        <f>G375*H375</f>
        <v>0</v>
      </c>
      <c r="BK375" s="38" t="s">
        <v>69</v>
      </c>
      <c r="BL375" s="35">
        <v>783</v>
      </c>
      <c r="BW375" s="35">
        <f>I375</f>
        <v>21</v>
      </c>
      <c r="BX375" s="4" t="s">
        <v>1115</v>
      </c>
    </row>
    <row r="376" spans="1:76" x14ac:dyDescent="0.25">
      <c r="A376" s="2" t="s">
        <v>1116</v>
      </c>
      <c r="B376" s="3" t="s">
        <v>1022</v>
      </c>
      <c r="C376" s="3" t="s">
        <v>1117</v>
      </c>
      <c r="D376" s="70" t="s">
        <v>1118</v>
      </c>
      <c r="E376" s="71"/>
      <c r="F376" s="3" t="s">
        <v>222</v>
      </c>
      <c r="G376" s="35">
        <v>454</v>
      </c>
      <c r="H376" s="68">
        <v>0</v>
      </c>
      <c r="I376" s="36">
        <v>21</v>
      </c>
      <c r="J376" s="35">
        <f>ROUND(G376*AO376,2)</f>
        <v>0</v>
      </c>
      <c r="K376" s="35">
        <f>ROUND(G376*AP376,2)</f>
        <v>0</v>
      </c>
      <c r="L376" s="35">
        <f>ROUND(G376*H376,2)</f>
        <v>0</v>
      </c>
      <c r="M376" s="35">
        <f>L376*(1+BW376/100)</f>
        <v>0</v>
      </c>
      <c r="N376" s="35">
        <v>4.6999999999999999E-4</v>
      </c>
      <c r="O376" s="35">
        <f>G376*N376</f>
        <v>0.21337999999999999</v>
      </c>
      <c r="P376" s="37" t="s">
        <v>64</v>
      </c>
      <c r="Z376" s="35">
        <f>ROUND(IF(AQ376="5",BJ376,0),2)</f>
        <v>0</v>
      </c>
      <c r="AB376" s="35">
        <f>ROUND(IF(AQ376="1",BH376,0),2)</f>
        <v>0</v>
      </c>
      <c r="AC376" s="35">
        <f>ROUND(IF(AQ376="1",BI376,0),2)</f>
        <v>0</v>
      </c>
      <c r="AD376" s="35">
        <f>ROUND(IF(AQ376="7",BH376,0),2)</f>
        <v>0</v>
      </c>
      <c r="AE376" s="35">
        <f>ROUND(IF(AQ376="7",BI376,0),2)</f>
        <v>0</v>
      </c>
      <c r="AF376" s="35">
        <f>ROUND(IF(AQ376="2",BH376,0),2)</f>
        <v>0</v>
      </c>
      <c r="AG376" s="35">
        <f>ROUND(IF(AQ376="2",BI376,0),2)</f>
        <v>0</v>
      </c>
      <c r="AH376" s="35">
        <f>ROUND(IF(AQ376="0",BJ376,0),2)</f>
        <v>0</v>
      </c>
      <c r="AI376" s="12" t="s">
        <v>1022</v>
      </c>
      <c r="AJ376" s="35">
        <f>IF(AN376=0,L376,0)</f>
        <v>0</v>
      </c>
      <c r="AK376" s="35">
        <f>IF(AN376=15,L376,0)</f>
        <v>0</v>
      </c>
      <c r="AL376" s="35">
        <f>IF(AN376=21,L376,0)</f>
        <v>0</v>
      </c>
      <c r="AN376" s="35">
        <v>21</v>
      </c>
      <c r="AO376" s="35">
        <f>H376*0.376855936</f>
        <v>0</v>
      </c>
      <c r="AP376" s="35">
        <f>H376*(1-0.376855936)</f>
        <v>0</v>
      </c>
      <c r="AQ376" s="38" t="s">
        <v>65</v>
      </c>
      <c r="AV376" s="35">
        <f>ROUND(AW376+AX376,2)</f>
        <v>0</v>
      </c>
      <c r="AW376" s="35">
        <f>ROUND(G376*AO376,2)</f>
        <v>0</v>
      </c>
      <c r="AX376" s="35">
        <f>ROUND(G376*AP376,2)</f>
        <v>0</v>
      </c>
      <c r="AY376" s="38" t="s">
        <v>169</v>
      </c>
      <c r="AZ376" s="38" t="s">
        <v>1112</v>
      </c>
      <c r="BA376" s="12" t="s">
        <v>1031</v>
      </c>
      <c r="BC376" s="35">
        <f>AW376+AX376</f>
        <v>0</v>
      </c>
      <c r="BD376" s="35">
        <f>H376/(100-BE376)*100</f>
        <v>0</v>
      </c>
      <c r="BE376" s="35">
        <v>0</v>
      </c>
      <c r="BF376" s="35">
        <f>O376</f>
        <v>0.21337999999999999</v>
      </c>
      <c r="BH376" s="35">
        <f>G376*AO376</f>
        <v>0</v>
      </c>
      <c r="BI376" s="35">
        <f>G376*AP376</f>
        <v>0</v>
      </c>
      <c r="BJ376" s="35">
        <f>G376*H376</f>
        <v>0</v>
      </c>
      <c r="BK376" s="38" t="s">
        <v>69</v>
      </c>
      <c r="BL376" s="35">
        <v>783</v>
      </c>
      <c r="BW376" s="35">
        <f>I376</f>
        <v>21</v>
      </c>
      <c r="BX376" s="4" t="s">
        <v>1118</v>
      </c>
    </row>
    <row r="377" spans="1:76" x14ac:dyDescent="0.25">
      <c r="A377" s="31" t="s">
        <v>55</v>
      </c>
      <c r="B377" s="32" t="s">
        <v>1022</v>
      </c>
      <c r="C377" s="32" t="s">
        <v>1119</v>
      </c>
      <c r="D377" s="128" t="s">
        <v>1120</v>
      </c>
      <c r="E377" s="129"/>
      <c r="F377" s="33" t="s">
        <v>4</v>
      </c>
      <c r="G377" s="33" t="s">
        <v>4</v>
      </c>
      <c r="H377" s="33" t="s">
        <v>4</v>
      </c>
      <c r="I377" s="33" t="s">
        <v>4</v>
      </c>
      <c r="J377" s="1">
        <f>SUM(J378:J378)</f>
        <v>0</v>
      </c>
      <c r="K377" s="1">
        <f>SUM(K378:K378)</f>
        <v>0</v>
      </c>
      <c r="L377" s="1">
        <f>SUM(L378:L378)</f>
        <v>0</v>
      </c>
      <c r="M377" s="1">
        <f>SUM(M378:M378)</f>
        <v>0</v>
      </c>
      <c r="N377" s="12" t="s">
        <v>55</v>
      </c>
      <c r="O377" s="1">
        <f>SUM(O378:O378)</f>
        <v>0.20480000000000001</v>
      </c>
      <c r="P377" s="34" t="s">
        <v>55</v>
      </c>
      <c r="AI377" s="12" t="s">
        <v>1022</v>
      </c>
      <c r="AS377" s="1">
        <f>SUM(AJ378:AJ378)</f>
        <v>0</v>
      </c>
      <c r="AT377" s="1">
        <f>SUM(AK378:AK378)</f>
        <v>0</v>
      </c>
      <c r="AU377" s="1">
        <f>SUM(AL378:AL378)</f>
        <v>0</v>
      </c>
    </row>
    <row r="378" spans="1:76" x14ac:dyDescent="0.25">
      <c r="A378" s="2" t="s">
        <v>1121</v>
      </c>
      <c r="B378" s="3" t="s">
        <v>1022</v>
      </c>
      <c r="C378" s="3" t="s">
        <v>1122</v>
      </c>
      <c r="D378" s="70" t="s">
        <v>1123</v>
      </c>
      <c r="E378" s="71"/>
      <c r="F378" s="3" t="s">
        <v>222</v>
      </c>
      <c r="G378" s="35">
        <v>640</v>
      </c>
      <c r="H378" s="68">
        <v>0</v>
      </c>
      <c r="I378" s="36">
        <v>21</v>
      </c>
      <c r="J378" s="35">
        <f>ROUND(G378*AO378,2)</f>
        <v>0</v>
      </c>
      <c r="K378" s="35">
        <f>ROUND(G378*AP378,2)</f>
        <v>0</v>
      </c>
      <c r="L378" s="35">
        <f>ROUND(G378*H378,2)</f>
        <v>0</v>
      </c>
      <c r="M378" s="35">
        <f>L378*(1+BW378/100)</f>
        <v>0</v>
      </c>
      <c r="N378" s="35">
        <v>3.2000000000000003E-4</v>
      </c>
      <c r="O378" s="35">
        <f>G378*N378</f>
        <v>0.20480000000000001</v>
      </c>
      <c r="P378" s="37" t="s">
        <v>64</v>
      </c>
      <c r="Z378" s="35">
        <f>ROUND(IF(AQ378="5",BJ378,0),2)</f>
        <v>0</v>
      </c>
      <c r="AB378" s="35">
        <f>ROUND(IF(AQ378="1",BH378,0),2)</f>
        <v>0</v>
      </c>
      <c r="AC378" s="35">
        <f>ROUND(IF(AQ378="1",BI378,0),2)</f>
        <v>0</v>
      </c>
      <c r="AD378" s="35">
        <f>ROUND(IF(AQ378="7",BH378,0),2)</f>
        <v>0</v>
      </c>
      <c r="AE378" s="35">
        <f>ROUND(IF(AQ378="7",BI378,0),2)</f>
        <v>0</v>
      </c>
      <c r="AF378" s="35">
        <f>ROUND(IF(AQ378="2",BH378,0),2)</f>
        <v>0</v>
      </c>
      <c r="AG378" s="35">
        <f>ROUND(IF(AQ378="2",BI378,0),2)</f>
        <v>0</v>
      </c>
      <c r="AH378" s="35">
        <f>ROUND(IF(AQ378="0",BJ378,0),2)</f>
        <v>0</v>
      </c>
      <c r="AI378" s="12" t="s">
        <v>1022</v>
      </c>
      <c r="AJ378" s="35">
        <f>IF(AN378=0,L378,0)</f>
        <v>0</v>
      </c>
      <c r="AK378" s="35">
        <f>IF(AN378=15,L378,0)</f>
        <v>0</v>
      </c>
      <c r="AL378" s="35">
        <f>IF(AN378=21,L378,0)</f>
        <v>0</v>
      </c>
      <c r="AN378" s="35">
        <v>21</v>
      </c>
      <c r="AO378" s="35">
        <f>H378*0.168508772</f>
        <v>0</v>
      </c>
      <c r="AP378" s="35">
        <f>H378*(1-0.168508772)</f>
        <v>0</v>
      </c>
      <c r="AQ378" s="38" t="s">
        <v>65</v>
      </c>
      <c r="AV378" s="35">
        <f>ROUND(AW378+AX378,2)</f>
        <v>0</v>
      </c>
      <c r="AW378" s="35">
        <f>ROUND(G378*AO378,2)</f>
        <v>0</v>
      </c>
      <c r="AX378" s="35">
        <f>ROUND(G378*AP378,2)</f>
        <v>0</v>
      </c>
      <c r="AY378" s="38" t="s">
        <v>1124</v>
      </c>
      <c r="AZ378" s="38" t="s">
        <v>1112</v>
      </c>
      <c r="BA378" s="12" t="s">
        <v>1031</v>
      </c>
      <c r="BC378" s="35">
        <f>AW378+AX378</f>
        <v>0</v>
      </c>
      <c r="BD378" s="35">
        <f>H378/(100-BE378)*100</f>
        <v>0</v>
      </c>
      <c r="BE378" s="35">
        <v>0</v>
      </c>
      <c r="BF378" s="35">
        <f>O378</f>
        <v>0.20480000000000001</v>
      </c>
      <c r="BH378" s="35">
        <f>G378*AO378</f>
        <v>0</v>
      </c>
      <c r="BI378" s="35">
        <f>G378*AP378</f>
        <v>0</v>
      </c>
      <c r="BJ378" s="35">
        <f>G378*H378</f>
        <v>0</v>
      </c>
      <c r="BK378" s="38" t="s">
        <v>69</v>
      </c>
      <c r="BL378" s="35">
        <v>784</v>
      </c>
      <c r="BW378" s="35">
        <f>I378</f>
        <v>21</v>
      </c>
      <c r="BX378" s="4" t="s">
        <v>1123</v>
      </c>
    </row>
    <row r="379" spans="1:76" x14ac:dyDescent="0.25">
      <c r="A379" s="31" t="s">
        <v>55</v>
      </c>
      <c r="B379" s="32" t="s">
        <v>1022</v>
      </c>
      <c r="C379" s="32" t="s">
        <v>1125</v>
      </c>
      <c r="D379" s="128" t="s">
        <v>1126</v>
      </c>
      <c r="E379" s="129"/>
      <c r="F379" s="33" t="s">
        <v>4</v>
      </c>
      <c r="G379" s="33" t="s">
        <v>4</v>
      </c>
      <c r="H379" s="33" t="s">
        <v>4</v>
      </c>
      <c r="I379" s="33" t="s">
        <v>4</v>
      </c>
      <c r="J379" s="1">
        <f>SUM(J380:J381)</f>
        <v>0</v>
      </c>
      <c r="K379" s="1">
        <f>SUM(K380:K381)</f>
        <v>0</v>
      </c>
      <c r="L379" s="1">
        <f>SUM(L380:L381)</f>
        <v>0</v>
      </c>
      <c r="M379" s="1">
        <f>SUM(M380:M381)</f>
        <v>0</v>
      </c>
      <c r="N379" s="12" t="s">
        <v>55</v>
      </c>
      <c r="O379" s="1">
        <f>SUM(O380:O381)</f>
        <v>0</v>
      </c>
      <c r="P379" s="37" t="s">
        <v>64</v>
      </c>
      <c r="AI379" s="12" t="s">
        <v>1022</v>
      </c>
      <c r="AS379" s="1">
        <f>SUM(AJ380:AJ381)</f>
        <v>0</v>
      </c>
      <c r="AT379" s="1">
        <f>SUM(AK380:AK381)</f>
        <v>0</v>
      </c>
      <c r="AU379" s="1">
        <f>SUM(AL380:AL381)</f>
        <v>0</v>
      </c>
    </row>
    <row r="380" spans="1:76" x14ac:dyDescent="0.25">
      <c r="A380" s="2" t="s">
        <v>1127</v>
      </c>
      <c r="B380" s="3" t="s">
        <v>1022</v>
      </c>
      <c r="C380" s="3" t="s">
        <v>1128</v>
      </c>
      <c r="D380" s="70" t="s">
        <v>1129</v>
      </c>
      <c r="E380" s="71"/>
      <c r="F380" s="3" t="s">
        <v>155</v>
      </c>
      <c r="G380" s="35">
        <v>1</v>
      </c>
      <c r="H380" s="68">
        <v>0</v>
      </c>
      <c r="I380" s="36">
        <v>21</v>
      </c>
      <c r="J380" s="35">
        <f>ROUND(G380*AO380,2)</f>
        <v>0</v>
      </c>
      <c r="K380" s="35">
        <f>ROUND(G380*AP380,2)</f>
        <v>0</v>
      </c>
      <c r="L380" s="35">
        <f>ROUND(G380*H380,2)</f>
        <v>0</v>
      </c>
      <c r="M380" s="35">
        <f>L380*(1+BW380/100)</f>
        <v>0</v>
      </c>
      <c r="N380" s="35">
        <v>0</v>
      </c>
      <c r="O380" s="35">
        <f>G380*N380</f>
        <v>0</v>
      </c>
      <c r="P380" s="37" t="s">
        <v>64</v>
      </c>
      <c r="Z380" s="35">
        <f>ROUND(IF(AQ380="5",BJ380,0),2)</f>
        <v>0</v>
      </c>
      <c r="AB380" s="35">
        <f>ROUND(IF(AQ380="1",BH380,0),2)</f>
        <v>0</v>
      </c>
      <c r="AC380" s="35">
        <f>ROUND(IF(AQ380="1",BI380,0),2)</f>
        <v>0</v>
      </c>
      <c r="AD380" s="35">
        <f>ROUND(IF(AQ380="7",BH380,0),2)</f>
        <v>0</v>
      </c>
      <c r="AE380" s="35">
        <f>ROUND(IF(AQ380="7",BI380,0),2)</f>
        <v>0</v>
      </c>
      <c r="AF380" s="35">
        <f>ROUND(IF(AQ380="2",BH380,0),2)</f>
        <v>0</v>
      </c>
      <c r="AG380" s="35">
        <f>ROUND(IF(AQ380="2",BI380,0),2)</f>
        <v>0</v>
      </c>
      <c r="AH380" s="35">
        <f>ROUND(IF(AQ380="0",BJ380,0),2)</f>
        <v>0</v>
      </c>
      <c r="AI380" s="12" t="s">
        <v>1022</v>
      </c>
      <c r="AJ380" s="35">
        <f>IF(AN380=0,L380,0)</f>
        <v>0</v>
      </c>
      <c r="AK380" s="35">
        <f>IF(AN380=15,L380,0)</f>
        <v>0</v>
      </c>
      <c r="AL380" s="35">
        <f>IF(AN380=21,L380,0)</f>
        <v>0</v>
      </c>
      <c r="AN380" s="35">
        <v>21</v>
      </c>
      <c r="AO380" s="35">
        <f>H380*0</f>
        <v>0</v>
      </c>
      <c r="AP380" s="35">
        <f>H380*(1-0)</f>
        <v>0</v>
      </c>
      <c r="AQ380" s="38" t="s">
        <v>60</v>
      </c>
      <c r="AV380" s="35">
        <f>ROUND(AW380+AX380,2)</f>
        <v>0</v>
      </c>
      <c r="AW380" s="35">
        <f>ROUND(G380*AO380,2)</f>
        <v>0</v>
      </c>
      <c r="AX380" s="35">
        <f>ROUND(G380*AP380,2)</f>
        <v>0</v>
      </c>
      <c r="AY380" s="38" t="s">
        <v>1130</v>
      </c>
      <c r="AZ380" s="38" t="s">
        <v>1131</v>
      </c>
      <c r="BA380" s="12" t="s">
        <v>1031</v>
      </c>
      <c r="BC380" s="35">
        <f>AW380+AX380</f>
        <v>0</v>
      </c>
      <c r="BD380" s="35">
        <f>H380/(100-BE380)*100</f>
        <v>0</v>
      </c>
      <c r="BE380" s="35">
        <v>0</v>
      </c>
      <c r="BF380" s="35">
        <f>O380</f>
        <v>0</v>
      </c>
      <c r="BH380" s="35">
        <f>G380*AO380</f>
        <v>0</v>
      </c>
      <c r="BI380" s="35">
        <f>G380*AP380</f>
        <v>0</v>
      </c>
      <c r="BJ380" s="35">
        <f>G380*H380</f>
        <v>0</v>
      </c>
      <c r="BK380" s="38" t="s">
        <v>69</v>
      </c>
      <c r="BL380" s="35"/>
      <c r="BW380" s="35">
        <f>I380</f>
        <v>21</v>
      </c>
      <c r="BX380" s="4" t="s">
        <v>1129</v>
      </c>
    </row>
    <row r="381" spans="1:76" x14ac:dyDescent="0.25">
      <c r="A381" s="2" t="s">
        <v>1132</v>
      </c>
      <c r="B381" s="3" t="s">
        <v>1022</v>
      </c>
      <c r="C381" s="3" t="s">
        <v>1133</v>
      </c>
      <c r="D381" s="70" t="s">
        <v>1134</v>
      </c>
      <c r="E381" s="71"/>
      <c r="F381" s="3" t="s">
        <v>155</v>
      </c>
      <c r="G381" s="35">
        <v>1</v>
      </c>
      <c r="H381" s="68">
        <v>0</v>
      </c>
      <c r="I381" s="36">
        <v>21</v>
      </c>
      <c r="J381" s="35">
        <f>ROUND(G381*AO381,2)</f>
        <v>0</v>
      </c>
      <c r="K381" s="35">
        <f>ROUND(G381*AP381,2)</f>
        <v>0</v>
      </c>
      <c r="L381" s="35">
        <f>ROUND(G381*H381,2)</f>
        <v>0</v>
      </c>
      <c r="M381" s="35">
        <f>L381*(1+BW381/100)</f>
        <v>0</v>
      </c>
      <c r="N381" s="35">
        <v>0</v>
      </c>
      <c r="O381" s="35">
        <f>G381*N381</f>
        <v>0</v>
      </c>
      <c r="P381" s="37" t="s">
        <v>64</v>
      </c>
      <c r="Z381" s="35">
        <f>ROUND(IF(AQ381="5",BJ381,0),2)</f>
        <v>0</v>
      </c>
      <c r="AB381" s="35">
        <f>ROUND(IF(AQ381="1",BH381,0),2)</f>
        <v>0</v>
      </c>
      <c r="AC381" s="35">
        <f>ROUND(IF(AQ381="1",BI381,0),2)</f>
        <v>0</v>
      </c>
      <c r="AD381" s="35">
        <f>ROUND(IF(AQ381="7",BH381,0),2)</f>
        <v>0</v>
      </c>
      <c r="AE381" s="35">
        <f>ROUND(IF(AQ381="7",BI381,0),2)</f>
        <v>0</v>
      </c>
      <c r="AF381" s="35">
        <f>ROUND(IF(AQ381="2",BH381,0),2)</f>
        <v>0</v>
      </c>
      <c r="AG381" s="35">
        <f>ROUND(IF(AQ381="2",BI381,0),2)</f>
        <v>0</v>
      </c>
      <c r="AH381" s="35">
        <f>ROUND(IF(AQ381="0",BJ381,0),2)</f>
        <v>0</v>
      </c>
      <c r="AI381" s="12" t="s">
        <v>1022</v>
      </c>
      <c r="AJ381" s="35">
        <f>IF(AN381=0,L381,0)</f>
        <v>0</v>
      </c>
      <c r="AK381" s="35">
        <f>IF(AN381=15,L381,0)</f>
        <v>0</v>
      </c>
      <c r="AL381" s="35">
        <f>IF(AN381=21,L381,0)</f>
        <v>0</v>
      </c>
      <c r="AN381" s="35">
        <v>21</v>
      </c>
      <c r="AO381" s="35">
        <f>H381*0.192307028</f>
        <v>0</v>
      </c>
      <c r="AP381" s="35">
        <f>H381*(1-0.192307028)</f>
        <v>0</v>
      </c>
      <c r="AQ381" s="38" t="s">
        <v>60</v>
      </c>
      <c r="AV381" s="35">
        <f>ROUND(AW381+AX381,2)</f>
        <v>0</v>
      </c>
      <c r="AW381" s="35">
        <f>ROUND(G381*AO381,2)</f>
        <v>0</v>
      </c>
      <c r="AX381" s="35">
        <f>ROUND(G381*AP381,2)</f>
        <v>0</v>
      </c>
      <c r="AY381" s="38" t="s">
        <v>1130</v>
      </c>
      <c r="AZ381" s="38" t="s">
        <v>1131</v>
      </c>
      <c r="BA381" s="12" t="s">
        <v>1031</v>
      </c>
      <c r="BC381" s="35">
        <f>AW381+AX381</f>
        <v>0</v>
      </c>
      <c r="BD381" s="35">
        <f>H381/(100-BE381)*100</f>
        <v>0</v>
      </c>
      <c r="BE381" s="35">
        <v>0</v>
      </c>
      <c r="BF381" s="35">
        <f>O381</f>
        <v>0</v>
      </c>
      <c r="BH381" s="35">
        <f>G381*AO381</f>
        <v>0</v>
      </c>
      <c r="BI381" s="35">
        <f>G381*AP381</f>
        <v>0</v>
      </c>
      <c r="BJ381" s="35">
        <f>G381*H381</f>
        <v>0</v>
      </c>
      <c r="BK381" s="38" t="s">
        <v>69</v>
      </c>
      <c r="BL381" s="35"/>
      <c r="BW381" s="35">
        <f>I381</f>
        <v>21</v>
      </c>
      <c r="BX381" s="4" t="s">
        <v>1134</v>
      </c>
    </row>
    <row r="382" spans="1:76" x14ac:dyDescent="0.25">
      <c r="A382" s="31" t="s">
        <v>55</v>
      </c>
      <c r="B382" s="32" t="s">
        <v>1022</v>
      </c>
      <c r="C382" s="32" t="s">
        <v>385</v>
      </c>
      <c r="D382" s="128" t="s">
        <v>680</v>
      </c>
      <c r="E382" s="129"/>
      <c r="F382" s="33" t="s">
        <v>4</v>
      </c>
      <c r="G382" s="33" t="s">
        <v>4</v>
      </c>
      <c r="H382" s="33" t="s">
        <v>4</v>
      </c>
      <c r="I382" s="33" t="s">
        <v>4</v>
      </c>
      <c r="J382" s="1">
        <f>SUM(J383:J383)</f>
        <v>0</v>
      </c>
      <c r="K382" s="1">
        <f>SUM(K383:K383)</f>
        <v>0</v>
      </c>
      <c r="L382" s="1">
        <f>SUM(L383:L383)</f>
        <v>0</v>
      </c>
      <c r="M382" s="1">
        <f>SUM(M383:M383)</f>
        <v>0</v>
      </c>
      <c r="N382" s="12" t="s">
        <v>55</v>
      </c>
      <c r="O382" s="1">
        <f>SUM(O383:O383)</f>
        <v>0.35520000000000002</v>
      </c>
      <c r="P382" s="34" t="s">
        <v>55</v>
      </c>
      <c r="AI382" s="12" t="s">
        <v>1022</v>
      </c>
      <c r="AS382" s="1">
        <f>SUM(AJ383:AJ383)</f>
        <v>0</v>
      </c>
      <c r="AT382" s="1">
        <f>SUM(AK383:AK383)</f>
        <v>0</v>
      </c>
      <c r="AU382" s="1">
        <f>SUM(AL383:AL383)</f>
        <v>0</v>
      </c>
    </row>
    <row r="383" spans="1:76" x14ac:dyDescent="0.25">
      <c r="A383" s="2" t="s">
        <v>1135</v>
      </c>
      <c r="B383" s="3" t="s">
        <v>1022</v>
      </c>
      <c r="C383" s="3" t="s">
        <v>1136</v>
      </c>
      <c r="D383" s="70" t="s">
        <v>1137</v>
      </c>
      <c r="E383" s="71"/>
      <c r="F383" s="3" t="s">
        <v>222</v>
      </c>
      <c r="G383" s="35">
        <v>60</v>
      </c>
      <c r="H383" s="68">
        <v>0</v>
      </c>
      <c r="I383" s="36">
        <v>21</v>
      </c>
      <c r="J383" s="35">
        <f>ROUND(G383*AO383,2)</f>
        <v>0</v>
      </c>
      <c r="K383" s="35">
        <f>ROUND(G383*AP383,2)</f>
        <v>0</v>
      </c>
      <c r="L383" s="35">
        <f>ROUND(G383*H383,2)</f>
        <v>0</v>
      </c>
      <c r="M383" s="35">
        <f>L383*(1+BW383/100)</f>
        <v>0</v>
      </c>
      <c r="N383" s="35">
        <v>5.9199999999999999E-3</v>
      </c>
      <c r="O383" s="35">
        <f>G383*N383</f>
        <v>0.35520000000000002</v>
      </c>
      <c r="P383" s="37" t="s">
        <v>64</v>
      </c>
      <c r="Z383" s="35">
        <f>ROUND(IF(AQ383="5",BJ383,0),2)</f>
        <v>0</v>
      </c>
      <c r="AB383" s="35">
        <f>ROUND(IF(AQ383="1",BH383,0),2)</f>
        <v>0</v>
      </c>
      <c r="AC383" s="35">
        <f>ROUND(IF(AQ383="1",BI383,0),2)</f>
        <v>0</v>
      </c>
      <c r="AD383" s="35">
        <f>ROUND(IF(AQ383="7",BH383,0),2)</f>
        <v>0</v>
      </c>
      <c r="AE383" s="35">
        <f>ROUND(IF(AQ383="7",BI383,0),2)</f>
        <v>0</v>
      </c>
      <c r="AF383" s="35">
        <f>ROUND(IF(AQ383="2",BH383,0),2)</f>
        <v>0</v>
      </c>
      <c r="AG383" s="35">
        <f>ROUND(IF(AQ383="2",BI383,0),2)</f>
        <v>0</v>
      </c>
      <c r="AH383" s="35">
        <f>ROUND(IF(AQ383="0",BJ383,0),2)</f>
        <v>0</v>
      </c>
      <c r="AI383" s="12" t="s">
        <v>1022</v>
      </c>
      <c r="AJ383" s="35">
        <f>IF(AN383=0,L383,0)</f>
        <v>0</v>
      </c>
      <c r="AK383" s="35">
        <f>IF(AN383=15,L383,0)</f>
        <v>0</v>
      </c>
      <c r="AL383" s="35">
        <f>IF(AN383=21,L383,0)</f>
        <v>0</v>
      </c>
      <c r="AN383" s="35">
        <v>21</v>
      </c>
      <c r="AO383" s="35">
        <f>H383*0.344887064</f>
        <v>0</v>
      </c>
      <c r="AP383" s="35">
        <f>H383*(1-0.344887064)</f>
        <v>0</v>
      </c>
      <c r="AQ383" s="38" t="s">
        <v>60</v>
      </c>
      <c r="AV383" s="35">
        <f>ROUND(AW383+AX383,2)</f>
        <v>0</v>
      </c>
      <c r="AW383" s="35">
        <f>ROUND(G383*AO383,2)</f>
        <v>0</v>
      </c>
      <c r="AX383" s="35">
        <f>ROUND(G383*AP383,2)</f>
        <v>0</v>
      </c>
      <c r="AY383" s="38" t="s">
        <v>684</v>
      </c>
      <c r="AZ383" s="38" t="s">
        <v>1131</v>
      </c>
      <c r="BA383" s="12" t="s">
        <v>1031</v>
      </c>
      <c r="BC383" s="35">
        <f>AW383+AX383</f>
        <v>0</v>
      </c>
      <c r="BD383" s="35">
        <f>H383/(100-BE383)*100</f>
        <v>0</v>
      </c>
      <c r="BE383" s="35">
        <v>0</v>
      </c>
      <c r="BF383" s="35">
        <f>O383</f>
        <v>0.35520000000000002</v>
      </c>
      <c r="BH383" s="35">
        <f>G383*AO383</f>
        <v>0</v>
      </c>
      <c r="BI383" s="35">
        <f>G383*AP383</f>
        <v>0</v>
      </c>
      <c r="BJ383" s="35">
        <f>G383*H383</f>
        <v>0</v>
      </c>
      <c r="BK383" s="38" t="s">
        <v>69</v>
      </c>
      <c r="BL383" s="35">
        <v>94</v>
      </c>
      <c r="BW383" s="35">
        <f>I383</f>
        <v>21</v>
      </c>
      <c r="BX383" s="4" t="s">
        <v>1137</v>
      </c>
    </row>
    <row r="384" spans="1:76" x14ac:dyDescent="0.25">
      <c r="A384" s="31" t="s">
        <v>55</v>
      </c>
      <c r="B384" s="32" t="s">
        <v>1022</v>
      </c>
      <c r="C384" s="32" t="s">
        <v>1138</v>
      </c>
      <c r="D384" s="128" t="s">
        <v>1139</v>
      </c>
      <c r="E384" s="129"/>
      <c r="F384" s="33" t="s">
        <v>4</v>
      </c>
      <c r="G384" s="33" t="s">
        <v>4</v>
      </c>
      <c r="H384" s="33" t="s">
        <v>4</v>
      </c>
      <c r="I384" s="33" t="s">
        <v>4</v>
      </c>
      <c r="J384" s="1">
        <f>SUM(J385:J385)</f>
        <v>0</v>
      </c>
      <c r="K384" s="1">
        <f>SUM(K385:K385)</f>
        <v>0</v>
      </c>
      <c r="L384" s="1">
        <f>SUM(L385:L385)</f>
        <v>0</v>
      </c>
      <c r="M384" s="1">
        <f>SUM(M385:M385)</f>
        <v>0</v>
      </c>
      <c r="N384" s="12" t="s">
        <v>55</v>
      </c>
      <c r="O384" s="1">
        <f>SUM(O385:O385)</f>
        <v>0</v>
      </c>
      <c r="P384" s="34" t="s">
        <v>55</v>
      </c>
      <c r="AI384" s="12" t="s">
        <v>1022</v>
      </c>
      <c r="AS384" s="1">
        <f>SUM(AJ385:AJ385)</f>
        <v>0</v>
      </c>
      <c r="AT384" s="1">
        <f>SUM(AK385:AK385)</f>
        <v>0</v>
      </c>
      <c r="AU384" s="1">
        <f>SUM(AL385:AL385)</f>
        <v>0</v>
      </c>
    </row>
    <row r="385" spans="1:76" x14ac:dyDescent="0.25">
      <c r="A385" s="2" t="s">
        <v>1140</v>
      </c>
      <c r="B385" s="3" t="s">
        <v>1022</v>
      </c>
      <c r="C385" s="3" t="s">
        <v>1141</v>
      </c>
      <c r="D385" s="70" t="s">
        <v>1142</v>
      </c>
      <c r="E385" s="71"/>
      <c r="F385" s="3" t="s">
        <v>155</v>
      </c>
      <c r="G385" s="35">
        <v>1</v>
      </c>
      <c r="H385" s="68">
        <v>0</v>
      </c>
      <c r="I385" s="36">
        <v>21</v>
      </c>
      <c r="J385" s="35">
        <f>ROUND(G385*AO385,2)</f>
        <v>0</v>
      </c>
      <c r="K385" s="35">
        <f>ROUND(G385*AP385,2)</f>
        <v>0</v>
      </c>
      <c r="L385" s="35">
        <f>ROUND(G385*H385,2)</f>
        <v>0</v>
      </c>
      <c r="M385" s="35">
        <f>L385*(1+BW385/100)</f>
        <v>0</v>
      </c>
      <c r="N385" s="35">
        <v>0</v>
      </c>
      <c r="O385" s="35">
        <f>G385*N385</f>
        <v>0</v>
      </c>
      <c r="P385" s="37" t="s">
        <v>64</v>
      </c>
      <c r="Z385" s="35">
        <f>ROUND(IF(AQ385="5",BJ385,0),2)</f>
        <v>0</v>
      </c>
      <c r="AB385" s="35">
        <f>ROUND(IF(AQ385="1",BH385,0),2)</f>
        <v>0</v>
      </c>
      <c r="AC385" s="35">
        <f>ROUND(IF(AQ385="1",BI385,0),2)</f>
        <v>0</v>
      </c>
      <c r="AD385" s="35">
        <f>ROUND(IF(AQ385="7",BH385,0),2)</f>
        <v>0</v>
      </c>
      <c r="AE385" s="35">
        <f>ROUND(IF(AQ385="7",BI385,0),2)</f>
        <v>0</v>
      </c>
      <c r="AF385" s="35">
        <f>ROUND(IF(AQ385="2",BH385,0),2)</f>
        <v>0</v>
      </c>
      <c r="AG385" s="35">
        <f>ROUND(IF(AQ385="2",BI385,0),2)</f>
        <v>0</v>
      </c>
      <c r="AH385" s="35">
        <f>ROUND(IF(AQ385="0",BJ385,0),2)</f>
        <v>0</v>
      </c>
      <c r="AI385" s="12" t="s">
        <v>1022</v>
      </c>
      <c r="AJ385" s="35">
        <f>IF(AN385=0,L385,0)</f>
        <v>0</v>
      </c>
      <c r="AK385" s="35">
        <f>IF(AN385=15,L385,0)</f>
        <v>0</v>
      </c>
      <c r="AL385" s="35">
        <f>IF(AN385=21,L385,0)</f>
        <v>0</v>
      </c>
      <c r="AN385" s="35">
        <v>21</v>
      </c>
      <c r="AO385" s="35">
        <f>H385*0.161904762</f>
        <v>0</v>
      </c>
      <c r="AP385" s="35">
        <f>H385*(1-0.161904762)</f>
        <v>0</v>
      </c>
      <c r="AQ385" s="38" t="s">
        <v>60</v>
      </c>
      <c r="AV385" s="35">
        <f>ROUND(AW385+AX385,2)</f>
        <v>0</v>
      </c>
      <c r="AW385" s="35">
        <f>ROUND(G385*AO385,2)</f>
        <v>0</v>
      </c>
      <c r="AX385" s="35">
        <f>ROUND(G385*AP385,2)</f>
        <v>0</v>
      </c>
      <c r="AY385" s="38" t="s">
        <v>1143</v>
      </c>
      <c r="AZ385" s="38" t="s">
        <v>1131</v>
      </c>
      <c r="BA385" s="12" t="s">
        <v>1031</v>
      </c>
      <c r="BC385" s="35">
        <f>AW385+AX385</f>
        <v>0</v>
      </c>
      <c r="BD385" s="35">
        <f>H385/(100-BE385)*100</f>
        <v>0</v>
      </c>
      <c r="BE385" s="35">
        <v>0</v>
      </c>
      <c r="BF385" s="35">
        <f>O385</f>
        <v>0</v>
      </c>
      <c r="BH385" s="35">
        <f>G385*AO385</f>
        <v>0</v>
      </c>
      <c r="BI385" s="35">
        <f>G385*AP385</f>
        <v>0</v>
      </c>
      <c r="BJ385" s="35">
        <f>G385*H385</f>
        <v>0</v>
      </c>
      <c r="BK385" s="38" t="s">
        <v>69</v>
      </c>
      <c r="BL385" s="35"/>
      <c r="BW385" s="35">
        <f>I385</f>
        <v>21</v>
      </c>
      <c r="BX385" s="4" t="s">
        <v>1142</v>
      </c>
    </row>
    <row r="386" spans="1:76" x14ac:dyDescent="0.25">
      <c r="A386" s="31" t="s">
        <v>55</v>
      </c>
      <c r="B386" s="32" t="s">
        <v>1022</v>
      </c>
      <c r="C386" s="32" t="s">
        <v>391</v>
      </c>
      <c r="D386" s="128" t="s">
        <v>1144</v>
      </c>
      <c r="E386" s="129"/>
      <c r="F386" s="33" t="s">
        <v>4</v>
      </c>
      <c r="G386" s="33" t="s">
        <v>4</v>
      </c>
      <c r="H386" s="33" t="s">
        <v>4</v>
      </c>
      <c r="I386" s="33" t="s">
        <v>4</v>
      </c>
      <c r="J386" s="1">
        <f>SUM(J387:J388)</f>
        <v>0</v>
      </c>
      <c r="K386" s="1">
        <f>SUM(K387:K388)</f>
        <v>0</v>
      </c>
      <c r="L386" s="1">
        <f>SUM(L387:L388)</f>
        <v>0</v>
      </c>
      <c r="M386" s="1">
        <f>SUM(M387:M388)</f>
        <v>0</v>
      </c>
      <c r="N386" s="12" t="s">
        <v>55</v>
      </c>
      <c r="O386" s="1">
        <f>SUM(O387:O388)</f>
        <v>2.4</v>
      </c>
      <c r="P386" s="34" t="s">
        <v>55</v>
      </c>
      <c r="AI386" s="12" t="s">
        <v>1022</v>
      </c>
      <c r="AS386" s="1">
        <f>SUM(AJ387:AJ388)</f>
        <v>0</v>
      </c>
      <c r="AT386" s="1">
        <f>SUM(AK387:AK388)</f>
        <v>0</v>
      </c>
      <c r="AU386" s="1">
        <f>SUM(AL387:AL388)</f>
        <v>0</v>
      </c>
    </row>
    <row r="387" spans="1:76" x14ac:dyDescent="0.25">
      <c r="A387" s="2" t="s">
        <v>1145</v>
      </c>
      <c r="B387" s="3" t="s">
        <v>1022</v>
      </c>
      <c r="C387" s="3" t="s">
        <v>1146</v>
      </c>
      <c r="D387" s="70" t="s">
        <v>1147</v>
      </c>
      <c r="E387" s="71"/>
      <c r="F387" s="3" t="s">
        <v>1028</v>
      </c>
      <c r="G387" s="35">
        <v>1.2</v>
      </c>
      <c r="H387" s="68">
        <v>0</v>
      </c>
      <c r="I387" s="36">
        <v>21</v>
      </c>
      <c r="J387" s="35">
        <f>ROUND(G387*AO387,2)</f>
        <v>0</v>
      </c>
      <c r="K387" s="35">
        <f>ROUND(G387*AP387,2)</f>
        <v>0</v>
      </c>
      <c r="L387" s="35">
        <f>ROUND(G387*H387,2)</f>
        <v>0</v>
      </c>
      <c r="M387" s="35">
        <f>L387*(1+BW387/100)</f>
        <v>0</v>
      </c>
      <c r="N387" s="35">
        <v>2</v>
      </c>
      <c r="O387" s="35">
        <f>G387*N387</f>
        <v>2.4</v>
      </c>
      <c r="P387" s="37" t="s">
        <v>64</v>
      </c>
      <c r="Z387" s="35">
        <f>ROUND(IF(AQ387="5",BJ387,0),2)</f>
        <v>0</v>
      </c>
      <c r="AB387" s="35">
        <f>ROUND(IF(AQ387="1",BH387,0),2)</f>
        <v>0</v>
      </c>
      <c r="AC387" s="35">
        <f>ROUND(IF(AQ387="1",BI387,0),2)</f>
        <v>0</v>
      </c>
      <c r="AD387" s="35">
        <f>ROUND(IF(AQ387="7",BH387,0),2)</f>
        <v>0</v>
      </c>
      <c r="AE387" s="35">
        <f>ROUND(IF(AQ387="7",BI387,0),2)</f>
        <v>0</v>
      </c>
      <c r="AF387" s="35">
        <f>ROUND(IF(AQ387="2",BH387,0),2)</f>
        <v>0</v>
      </c>
      <c r="AG387" s="35">
        <f>ROUND(IF(AQ387="2",BI387,0),2)</f>
        <v>0</v>
      </c>
      <c r="AH387" s="35">
        <f>ROUND(IF(AQ387="0",BJ387,0),2)</f>
        <v>0</v>
      </c>
      <c r="AI387" s="12" t="s">
        <v>1022</v>
      </c>
      <c r="AJ387" s="35">
        <f>IF(AN387=0,L387,0)</f>
        <v>0</v>
      </c>
      <c r="AK387" s="35">
        <f>IF(AN387=15,L387,0)</f>
        <v>0</v>
      </c>
      <c r="AL387" s="35">
        <f>IF(AN387=21,L387,0)</f>
        <v>0</v>
      </c>
      <c r="AN387" s="35">
        <v>21</v>
      </c>
      <c r="AO387" s="35">
        <f>H387*0</f>
        <v>0</v>
      </c>
      <c r="AP387" s="35">
        <f>H387*(1-0)</f>
        <v>0</v>
      </c>
      <c r="AQ387" s="38" t="s">
        <v>60</v>
      </c>
      <c r="AV387" s="35">
        <f>ROUND(AW387+AX387,2)</f>
        <v>0</v>
      </c>
      <c r="AW387" s="35">
        <f>ROUND(G387*AO387,2)</f>
        <v>0</v>
      </c>
      <c r="AX387" s="35">
        <f>ROUND(G387*AP387,2)</f>
        <v>0</v>
      </c>
      <c r="AY387" s="38" t="s">
        <v>1148</v>
      </c>
      <c r="AZ387" s="38" t="s">
        <v>1131</v>
      </c>
      <c r="BA387" s="12" t="s">
        <v>1031</v>
      </c>
      <c r="BC387" s="35">
        <f>AW387+AX387</f>
        <v>0</v>
      </c>
      <c r="BD387" s="35">
        <f>H387/(100-BE387)*100</f>
        <v>0</v>
      </c>
      <c r="BE387" s="35">
        <v>0</v>
      </c>
      <c r="BF387" s="35">
        <f>O387</f>
        <v>2.4</v>
      </c>
      <c r="BH387" s="35">
        <f>G387*AO387</f>
        <v>0</v>
      </c>
      <c r="BI387" s="35">
        <f>G387*AP387</f>
        <v>0</v>
      </c>
      <c r="BJ387" s="35">
        <f>G387*H387</f>
        <v>0</v>
      </c>
      <c r="BK387" s="38" t="s">
        <v>69</v>
      </c>
      <c r="BL387" s="35">
        <v>96</v>
      </c>
      <c r="BW387" s="35">
        <f>I387</f>
        <v>21</v>
      </c>
      <c r="BX387" s="4" t="s">
        <v>1147</v>
      </c>
    </row>
    <row r="388" spans="1:76" x14ac:dyDescent="0.25">
      <c r="A388" s="2" t="s">
        <v>1149</v>
      </c>
      <c r="B388" s="3" t="s">
        <v>1022</v>
      </c>
      <c r="C388" s="3" t="s">
        <v>1150</v>
      </c>
      <c r="D388" s="70" t="s">
        <v>1151</v>
      </c>
      <c r="E388" s="71"/>
      <c r="F388" s="3" t="s">
        <v>85</v>
      </c>
      <c r="G388" s="35">
        <v>1</v>
      </c>
      <c r="H388" s="68">
        <v>0</v>
      </c>
      <c r="I388" s="36">
        <v>21</v>
      </c>
      <c r="J388" s="35">
        <f>ROUND(G388*AO388,2)</f>
        <v>0</v>
      </c>
      <c r="K388" s="35">
        <f>ROUND(G388*AP388,2)</f>
        <v>0</v>
      </c>
      <c r="L388" s="35">
        <f>ROUND(G388*H388,2)</f>
        <v>0</v>
      </c>
      <c r="M388" s="35">
        <f>L388*(1+BW388/100)</f>
        <v>0</v>
      </c>
      <c r="N388" s="35">
        <v>0</v>
      </c>
      <c r="O388" s="35">
        <f>G388*N388</f>
        <v>0</v>
      </c>
      <c r="P388" s="37" t="s">
        <v>64</v>
      </c>
      <c r="Z388" s="35">
        <f>ROUND(IF(AQ388="5",BJ388,0),2)</f>
        <v>0</v>
      </c>
      <c r="AB388" s="35">
        <f>ROUND(IF(AQ388="1",BH388,0),2)</f>
        <v>0</v>
      </c>
      <c r="AC388" s="35">
        <f>ROUND(IF(AQ388="1",BI388,0),2)</f>
        <v>0</v>
      </c>
      <c r="AD388" s="35">
        <f>ROUND(IF(AQ388="7",BH388,0),2)</f>
        <v>0</v>
      </c>
      <c r="AE388" s="35">
        <f>ROUND(IF(AQ388="7",BI388,0),2)</f>
        <v>0</v>
      </c>
      <c r="AF388" s="35">
        <f>ROUND(IF(AQ388="2",BH388,0),2)</f>
        <v>0</v>
      </c>
      <c r="AG388" s="35">
        <f>ROUND(IF(AQ388="2",BI388,0),2)</f>
        <v>0</v>
      </c>
      <c r="AH388" s="35">
        <f>ROUND(IF(AQ388="0",BJ388,0),2)</f>
        <v>0</v>
      </c>
      <c r="AI388" s="12" t="s">
        <v>1022</v>
      </c>
      <c r="AJ388" s="35">
        <f>IF(AN388=0,L388,0)</f>
        <v>0</v>
      </c>
      <c r="AK388" s="35">
        <f>IF(AN388=15,L388,0)</f>
        <v>0</v>
      </c>
      <c r="AL388" s="35">
        <f>IF(AN388=21,L388,0)</f>
        <v>0</v>
      </c>
      <c r="AN388" s="35">
        <v>21</v>
      </c>
      <c r="AO388" s="35">
        <f>H388*0</f>
        <v>0</v>
      </c>
      <c r="AP388" s="35">
        <f>H388*(1-0)</f>
        <v>0</v>
      </c>
      <c r="AQ388" s="38" t="s">
        <v>60</v>
      </c>
      <c r="AV388" s="35">
        <f>ROUND(AW388+AX388,2)</f>
        <v>0</v>
      </c>
      <c r="AW388" s="35">
        <f>ROUND(G388*AO388,2)</f>
        <v>0</v>
      </c>
      <c r="AX388" s="35">
        <f>ROUND(G388*AP388,2)</f>
        <v>0</v>
      </c>
      <c r="AY388" s="38" t="s">
        <v>1148</v>
      </c>
      <c r="AZ388" s="38" t="s">
        <v>1131</v>
      </c>
      <c r="BA388" s="12" t="s">
        <v>1031</v>
      </c>
      <c r="BC388" s="35">
        <f>AW388+AX388</f>
        <v>0</v>
      </c>
      <c r="BD388" s="35">
        <f>H388/(100-BE388)*100</f>
        <v>0</v>
      </c>
      <c r="BE388" s="35">
        <v>0</v>
      </c>
      <c r="BF388" s="35">
        <f>O388</f>
        <v>0</v>
      </c>
      <c r="BH388" s="35">
        <f>G388*AO388</f>
        <v>0</v>
      </c>
      <c r="BI388" s="35">
        <f>G388*AP388</f>
        <v>0</v>
      </c>
      <c r="BJ388" s="35">
        <f>G388*H388</f>
        <v>0</v>
      </c>
      <c r="BK388" s="38" t="s">
        <v>69</v>
      </c>
      <c r="BL388" s="35">
        <v>96</v>
      </c>
      <c r="BW388" s="35">
        <f>I388</f>
        <v>21</v>
      </c>
      <c r="BX388" s="4" t="s">
        <v>1151</v>
      </c>
    </row>
    <row r="389" spans="1:76" x14ac:dyDescent="0.25">
      <c r="A389" s="31" t="s">
        <v>55</v>
      </c>
      <c r="B389" s="32" t="s">
        <v>1022</v>
      </c>
      <c r="C389" s="32" t="s">
        <v>394</v>
      </c>
      <c r="D389" s="128" t="s">
        <v>1152</v>
      </c>
      <c r="E389" s="129"/>
      <c r="F389" s="33" t="s">
        <v>4</v>
      </c>
      <c r="G389" s="33" t="s">
        <v>4</v>
      </c>
      <c r="H389" s="33" t="s">
        <v>4</v>
      </c>
      <c r="I389" s="33" t="s">
        <v>4</v>
      </c>
      <c r="J389" s="1">
        <f>SUM(J390:J395)</f>
        <v>0</v>
      </c>
      <c r="K389" s="1">
        <f>SUM(K390:K395)</f>
        <v>0</v>
      </c>
      <c r="L389" s="1">
        <f>SUM(L390:L395)</f>
        <v>0</v>
      </c>
      <c r="M389" s="1">
        <f>SUM(M390:M395)</f>
        <v>0</v>
      </c>
      <c r="N389" s="12" t="s">
        <v>55</v>
      </c>
      <c r="O389" s="1">
        <f>SUM(O390:O395)</f>
        <v>1.3752909</v>
      </c>
      <c r="P389" s="34" t="s">
        <v>55</v>
      </c>
      <c r="AI389" s="12" t="s">
        <v>1022</v>
      </c>
      <c r="AS389" s="1">
        <f>SUM(AJ390:AJ395)</f>
        <v>0</v>
      </c>
      <c r="AT389" s="1">
        <f>SUM(AK390:AK395)</f>
        <v>0</v>
      </c>
      <c r="AU389" s="1">
        <f>SUM(AL390:AL395)</f>
        <v>0</v>
      </c>
    </row>
    <row r="390" spans="1:76" x14ac:dyDescent="0.25">
      <c r="A390" s="2" t="s">
        <v>1153</v>
      </c>
      <c r="B390" s="3" t="s">
        <v>1022</v>
      </c>
      <c r="C390" s="3" t="s">
        <v>1154</v>
      </c>
      <c r="D390" s="70" t="s">
        <v>1155</v>
      </c>
      <c r="E390" s="71"/>
      <c r="F390" s="3" t="s">
        <v>155</v>
      </c>
      <c r="G390" s="35">
        <v>1</v>
      </c>
      <c r="H390" s="68">
        <v>0</v>
      </c>
      <c r="I390" s="36">
        <v>21</v>
      </c>
      <c r="J390" s="35">
        <f t="shared" ref="J390:J395" si="404">ROUND(G390*AO390,2)</f>
        <v>0</v>
      </c>
      <c r="K390" s="35">
        <f t="shared" ref="K390:K395" si="405">ROUND(G390*AP390,2)</f>
        <v>0</v>
      </c>
      <c r="L390" s="35">
        <f t="shared" ref="L390:L395" si="406">ROUND(G390*H390,2)</f>
        <v>0</v>
      </c>
      <c r="M390" s="35">
        <f t="shared" ref="M390:M395" si="407">L390*(1+BW390/100)</f>
        <v>0</v>
      </c>
      <c r="N390" s="35">
        <v>0</v>
      </c>
      <c r="O390" s="35">
        <f t="shared" ref="O390:O395" si="408">G390*N390</f>
        <v>0</v>
      </c>
      <c r="P390" s="37" t="s">
        <v>64</v>
      </c>
      <c r="Z390" s="35">
        <f t="shared" ref="Z390:Z395" si="409">ROUND(IF(AQ390="5",BJ390,0),2)</f>
        <v>0</v>
      </c>
      <c r="AB390" s="35">
        <f t="shared" ref="AB390:AB395" si="410">ROUND(IF(AQ390="1",BH390,0),2)</f>
        <v>0</v>
      </c>
      <c r="AC390" s="35">
        <f t="shared" ref="AC390:AC395" si="411">ROUND(IF(AQ390="1",BI390,0),2)</f>
        <v>0</v>
      </c>
      <c r="AD390" s="35">
        <f t="shared" ref="AD390:AD395" si="412">ROUND(IF(AQ390="7",BH390,0),2)</f>
        <v>0</v>
      </c>
      <c r="AE390" s="35">
        <f t="shared" ref="AE390:AE395" si="413">ROUND(IF(AQ390="7",BI390,0),2)</f>
        <v>0</v>
      </c>
      <c r="AF390" s="35">
        <f t="shared" ref="AF390:AF395" si="414">ROUND(IF(AQ390="2",BH390,0),2)</f>
        <v>0</v>
      </c>
      <c r="AG390" s="35">
        <f t="shared" ref="AG390:AG395" si="415">ROUND(IF(AQ390="2",BI390,0),2)</f>
        <v>0</v>
      </c>
      <c r="AH390" s="35">
        <f t="shared" ref="AH390:AH395" si="416">ROUND(IF(AQ390="0",BJ390,0),2)</f>
        <v>0</v>
      </c>
      <c r="AI390" s="12" t="s">
        <v>1022</v>
      </c>
      <c r="AJ390" s="35">
        <f t="shared" ref="AJ390:AJ395" si="417">IF(AN390=0,L390,0)</f>
        <v>0</v>
      </c>
      <c r="AK390" s="35">
        <f t="shared" ref="AK390:AK395" si="418">IF(AN390=15,L390,0)</f>
        <v>0</v>
      </c>
      <c r="AL390" s="35">
        <f t="shared" ref="AL390:AL395" si="419">IF(AN390=21,L390,0)</f>
        <v>0</v>
      </c>
      <c r="AN390" s="35">
        <v>21</v>
      </c>
      <c r="AO390" s="35">
        <f>H390*0.301075549</f>
        <v>0</v>
      </c>
      <c r="AP390" s="35">
        <f>H390*(1-0.301075549)</f>
        <v>0</v>
      </c>
      <c r="AQ390" s="38" t="s">
        <v>60</v>
      </c>
      <c r="AV390" s="35">
        <f t="shared" ref="AV390:AV395" si="420">ROUND(AW390+AX390,2)</f>
        <v>0</v>
      </c>
      <c r="AW390" s="35">
        <f t="shared" ref="AW390:AW395" si="421">ROUND(G390*AO390,2)</f>
        <v>0</v>
      </c>
      <c r="AX390" s="35">
        <f t="shared" ref="AX390:AX395" si="422">ROUND(G390*AP390,2)</f>
        <v>0</v>
      </c>
      <c r="AY390" s="38" t="s">
        <v>1156</v>
      </c>
      <c r="AZ390" s="38" t="s">
        <v>1131</v>
      </c>
      <c r="BA390" s="12" t="s">
        <v>1031</v>
      </c>
      <c r="BC390" s="35">
        <f t="shared" ref="BC390:BC395" si="423">AW390+AX390</f>
        <v>0</v>
      </c>
      <c r="BD390" s="35">
        <f t="shared" ref="BD390:BD395" si="424">H390/(100-BE390)*100</f>
        <v>0</v>
      </c>
      <c r="BE390" s="35">
        <v>0</v>
      </c>
      <c r="BF390" s="35">
        <f t="shared" ref="BF390:BF395" si="425">O390</f>
        <v>0</v>
      </c>
      <c r="BH390" s="35">
        <f t="shared" ref="BH390:BH395" si="426">G390*AO390</f>
        <v>0</v>
      </c>
      <c r="BI390" s="35">
        <f t="shared" ref="BI390:BI395" si="427">G390*AP390</f>
        <v>0</v>
      </c>
      <c r="BJ390" s="35">
        <f t="shared" ref="BJ390:BJ395" si="428">G390*H390</f>
        <v>0</v>
      </c>
      <c r="BK390" s="38" t="s">
        <v>69</v>
      </c>
      <c r="BL390" s="35">
        <v>97</v>
      </c>
      <c r="BW390" s="35">
        <f t="shared" ref="BW390:BW395" si="429">I390</f>
        <v>21</v>
      </c>
      <c r="BX390" s="4" t="s">
        <v>1155</v>
      </c>
    </row>
    <row r="391" spans="1:76" ht="25.5" x14ac:dyDescent="0.25">
      <c r="A391" s="2" t="s">
        <v>1157</v>
      </c>
      <c r="B391" s="3" t="s">
        <v>1022</v>
      </c>
      <c r="C391" s="3" t="s">
        <v>1158</v>
      </c>
      <c r="D391" s="70" t="s">
        <v>1159</v>
      </c>
      <c r="E391" s="71"/>
      <c r="F391" s="3" t="s">
        <v>1028</v>
      </c>
      <c r="G391" s="35">
        <v>0.72</v>
      </c>
      <c r="H391" s="68">
        <v>0</v>
      </c>
      <c r="I391" s="36">
        <v>21</v>
      </c>
      <c r="J391" s="35">
        <f t="shared" si="404"/>
        <v>0</v>
      </c>
      <c r="K391" s="35">
        <f t="shared" si="405"/>
        <v>0</v>
      </c>
      <c r="L391" s="35">
        <f t="shared" si="406"/>
        <v>0</v>
      </c>
      <c r="M391" s="35">
        <f t="shared" si="407"/>
        <v>0</v>
      </c>
      <c r="N391" s="35">
        <v>1.80182</v>
      </c>
      <c r="O391" s="35">
        <f t="shared" si="408"/>
        <v>1.2973104</v>
      </c>
      <c r="P391" s="37" t="s">
        <v>64</v>
      </c>
      <c r="Z391" s="35">
        <f t="shared" si="409"/>
        <v>0</v>
      </c>
      <c r="AB391" s="35">
        <f t="shared" si="410"/>
        <v>0</v>
      </c>
      <c r="AC391" s="35">
        <f t="shared" si="411"/>
        <v>0</v>
      </c>
      <c r="AD391" s="35">
        <f t="shared" si="412"/>
        <v>0</v>
      </c>
      <c r="AE391" s="35">
        <f t="shared" si="413"/>
        <v>0</v>
      </c>
      <c r="AF391" s="35">
        <f t="shared" si="414"/>
        <v>0</v>
      </c>
      <c r="AG391" s="35">
        <f t="shared" si="415"/>
        <v>0</v>
      </c>
      <c r="AH391" s="35">
        <f t="shared" si="416"/>
        <v>0</v>
      </c>
      <c r="AI391" s="12" t="s">
        <v>1022</v>
      </c>
      <c r="AJ391" s="35">
        <f t="shared" si="417"/>
        <v>0</v>
      </c>
      <c r="AK391" s="35">
        <f t="shared" si="418"/>
        <v>0</v>
      </c>
      <c r="AL391" s="35">
        <f t="shared" si="419"/>
        <v>0</v>
      </c>
      <c r="AN391" s="35">
        <v>21</v>
      </c>
      <c r="AO391" s="35">
        <f>H391*0.016246819</f>
        <v>0</v>
      </c>
      <c r="AP391" s="35">
        <f>H391*(1-0.016246819)</f>
        <v>0</v>
      </c>
      <c r="AQ391" s="38" t="s">
        <v>60</v>
      </c>
      <c r="AV391" s="35">
        <f t="shared" si="420"/>
        <v>0</v>
      </c>
      <c r="AW391" s="35">
        <f t="shared" si="421"/>
        <v>0</v>
      </c>
      <c r="AX391" s="35">
        <f t="shared" si="422"/>
        <v>0</v>
      </c>
      <c r="AY391" s="38" t="s">
        <v>1156</v>
      </c>
      <c r="AZ391" s="38" t="s">
        <v>1131</v>
      </c>
      <c r="BA391" s="12" t="s">
        <v>1031</v>
      </c>
      <c r="BC391" s="35">
        <f t="shared" si="423"/>
        <v>0</v>
      </c>
      <c r="BD391" s="35">
        <f t="shared" si="424"/>
        <v>0</v>
      </c>
      <c r="BE391" s="35">
        <v>0</v>
      </c>
      <c r="BF391" s="35">
        <f t="shared" si="425"/>
        <v>1.2973104</v>
      </c>
      <c r="BH391" s="35">
        <f t="shared" si="426"/>
        <v>0</v>
      </c>
      <c r="BI391" s="35">
        <f t="shared" si="427"/>
        <v>0</v>
      </c>
      <c r="BJ391" s="35">
        <f t="shared" si="428"/>
        <v>0</v>
      </c>
      <c r="BK391" s="38" t="s">
        <v>69</v>
      </c>
      <c r="BL391" s="35">
        <v>97</v>
      </c>
      <c r="BW391" s="35">
        <f t="shared" si="429"/>
        <v>21</v>
      </c>
      <c r="BX391" s="4" t="s">
        <v>1159</v>
      </c>
    </row>
    <row r="392" spans="1:76" ht="25.5" x14ac:dyDescent="0.25">
      <c r="A392" s="2" t="s">
        <v>1160</v>
      </c>
      <c r="B392" s="3" t="s">
        <v>1022</v>
      </c>
      <c r="C392" s="3" t="s">
        <v>1161</v>
      </c>
      <c r="D392" s="70" t="s">
        <v>1162</v>
      </c>
      <c r="E392" s="71"/>
      <c r="F392" s="3" t="s">
        <v>63</v>
      </c>
      <c r="G392" s="35">
        <v>1.8</v>
      </c>
      <c r="H392" s="68">
        <v>0</v>
      </c>
      <c r="I392" s="36">
        <v>21</v>
      </c>
      <c r="J392" s="35">
        <f t="shared" si="404"/>
        <v>0</v>
      </c>
      <c r="K392" s="35">
        <f t="shared" si="405"/>
        <v>0</v>
      </c>
      <c r="L392" s="35">
        <f t="shared" si="406"/>
        <v>0</v>
      </c>
      <c r="M392" s="35">
        <f t="shared" si="407"/>
        <v>0</v>
      </c>
      <c r="N392" s="35">
        <v>3.8210000000000001E-2</v>
      </c>
      <c r="O392" s="35">
        <f t="shared" si="408"/>
        <v>6.8778000000000006E-2</v>
      </c>
      <c r="P392" s="37" t="s">
        <v>64</v>
      </c>
      <c r="Z392" s="35">
        <f t="shared" si="409"/>
        <v>0</v>
      </c>
      <c r="AB392" s="35">
        <f t="shared" si="410"/>
        <v>0</v>
      </c>
      <c r="AC392" s="35">
        <f t="shared" si="411"/>
        <v>0</v>
      </c>
      <c r="AD392" s="35">
        <f t="shared" si="412"/>
        <v>0</v>
      </c>
      <c r="AE392" s="35">
        <f t="shared" si="413"/>
        <v>0</v>
      </c>
      <c r="AF392" s="35">
        <f t="shared" si="414"/>
        <v>0</v>
      </c>
      <c r="AG392" s="35">
        <f t="shared" si="415"/>
        <v>0</v>
      </c>
      <c r="AH392" s="35">
        <f t="shared" si="416"/>
        <v>0</v>
      </c>
      <c r="AI392" s="12" t="s">
        <v>1022</v>
      </c>
      <c r="AJ392" s="35">
        <f t="shared" si="417"/>
        <v>0</v>
      </c>
      <c r="AK392" s="35">
        <f t="shared" si="418"/>
        <v>0</v>
      </c>
      <c r="AL392" s="35">
        <f t="shared" si="419"/>
        <v>0</v>
      </c>
      <c r="AN392" s="35">
        <v>21</v>
      </c>
      <c r="AO392" s="35">
        <f>H392*0.291571751</f>
        <v>0</v>
      </c>
      <c r="AP392" s="35">
        <f>H392*(1-0.291571751)</f>
        <v>0</v>
      </c>
      <c r="AQ392" s="38" t="s">
        <v>60</v>
      </c>
      <c r="AV392" s="35">
        <f t="shared" si="420"/>
        <v>0</v>
      </c>
      <c r="AW392" s="35">
        <f t="shared" si="421"/>
        <v>0</v>
      </c>
      <c r="AX392" s="35">
        <f t="shared" si="422"/>
        <v>0</v>
      </c>
      <c r="AY392" s="38" t="s">
        <v>1156</v>
      </c>
      <c r="AZ392" s="38" t="s">
        <v>1131</v>
      </c>
      <c r="BA392" s="12" t="s">
        <v>1031</v>
      </c>
      <c r="BC392" s="35">
        <f t="shared" si="423"/>
        <v>0</v>
      </c>
      <c r="BD392" s="35">
        <f t="shared" si="424"/>
        <v>0</v>
      </c>
      <c r="BE392" s="35">
        <v>0</v>
      </c>
      <c r="BF392" s="35">
        <f t="shared" si="425"/>
        <v>6.8778000000000006E-2</v>
      </c>
      <c r="BH392" s="35">
        <f t="shared" si="426"/>
        <v>0</v>
      </c>
      <c r="BI392" s="35">
        <f t="shared" si="427"/>
        <v>0</v>
      </c>
      <c r="BJ392" s="35">
        <f t="shared" si="428"/>
        <v>0</v>
      </c>
      <c r="BK392" s="38" t="s">
        <v>69</v>
      </c>
      <c r="BL392" s="35">
        <v>97</v>
      </c>
      <c r="BW392" s="35">
        <f t="shared" si="429"/>
        <v>21</v>
      </c>
      <c r="BX392" s="4" t="s">
        <v>1162</v>
      </c>
    </row>
    <row r="393" spans="1:76" ht="25.5" x14ac:dyDescent="0.25">
      <c r="A393" s="2" t="s">
        <v>1163</v>
      </c>
      <c r="B393" s="3" t="s">
        <v>1022</v>
      </c>
      <c r="C393" s="3" t="s">
        <v>1164</v>
      </c>
      <c r="D393" s="70" t="s">
        <v>1165</v>
      </c>
      <c r="E393" s="71"/>
      <c r="F393" s="3" t="s">
        <v>63</v>
      </c>
      <c r="G393" s="35">
        <v>0.45</v>
      </c>
      <c r="H393" s="68">
        <v>0</v>
      </c>
      <c r="I393" s="36">
        <v>21</v>
      </c>
      <c r="J393" s="35">
        <f t="shared" si="404"/>
        <v>0</v>
      </c>
      <c r="K393" s="35">
        <f t="shared" si="405"/>
        <v>0</v>
      </c>
      <c r="L393" s="35">
        <f t="shared" si="406"/>
        <v>0</v>
      </c>
      <c r="M393" s="35">
        <f t="shared" si="407"/>
        <v>0</v>
      </c>
      <c r="N393" s="35">
        <v>1.555E-2</v>
      </c>
      <c r="O393" s="35">
        <f t="shared" si="408"/>
        <v>6.9975000000000002E-3</v>
      </c>
      <c r="P393" s="37" t="s">
        <v>64</v>
      </c>
      <c r="Z393" s="35">
        <f t="shared" si="409"/>
        <v>0</v>
      </c>
      <c r="AB393" s="35">
        <f t="shared" si="410"/>
        <v>0</v>
      </c>
      <c r="AC393" s="35">
        <f t="shared" si="411"/>
        <v>0</v>
      </c>
      <c r="AD393" s="35">
        <f t="shared" si="412"/>
        <v>0</v>
      </c>
      <c r="AE393" s="35">
        <f t="shared" si="413"/>
        <v>0</v>
      </c>
      <c r="AF393" s="35">
        <f t="shared" si="414"/>
        <v>0</v>
      </c>
      <c r="AG393" s="35">
        <f t="shared" si="415"/>
        <v>0</v>
      </c>
      <c r="AH393" s="35">
        <f t="shared" si="416"/>
        <v>0</v>
      </c>
      <c r="AI393" s="12" t="s">
        <v>1022</v>
      </c>
      <c r="AJ393" s="35">
        <f t="shared" si="417"/>
        <v>0</v>
      </c>
      <c r="AK393" s="35">
        <f t="shared" si="418"/>
        <v>0</v>
      </c>
      <c r="AL393" s="35">
        <f t="shared" si="419"/>
        <v>0</v>
      </c>
      <c r="AN393" s="35">
        <v>21</v>
      </c>
      <c r="AO393" s="35">
        <f>H393*0.275163616</f>
        <v>0</v>
      </c>
      <c r="AP393" s="35">
        <f>H393*(1-0.275163616)</f>
        <v>0</v>
      </c>
      <c r="AQ393" s="38" t="s">
        <v>60</v>
      </c>
      <c r="AV393" s="35">
        <f t="shared" si="420"/>
        <v>0</v>
      </c>
      <c r="AW393" s="35">
        <f t="shared" si="421"/>
        <v>0</v>
      </c>
      <c r="AX393" s="35">
        <f t="shared" si="422"/>
        <v>0</v>
      </c>
      <c r="AY393" s="38" t="s">
        <v>1156</v>
      </c>
      <c r="AZ393" s="38" t="s">
        <v>1131</v>
      </c>
      <c r="BA393" s="12" t="s">
        <v>1031</v>
      </c>
      <c r="BC393" s="35">
        <f t="shared" si="423"/>
        <v>0</v>
      </c>
      <c r="BD393" s="35">
        <f t="shared" si="424"/>
        <v>0</v>
      </c>
      <c r="BE393" s="35">
        <v>0</v>
      </c>
      <c r="BF393" s="35">
        <f t="shared" si="425"/>
        <v>6.9975000000000002E-3</v>
      </c>
      <c r="BH393" s="35">
        <f t="shared" si="426"/>
        <v>0</v>
      </c>
      <c r="BI393" s="35">
        <f t="shared" si="427"/>
        <v>0</v>
      </c>
      <c r="BJ393" s="35">
        <f t="shared" si="428"/>
        <v>0</v>
      </c>
      <c r="BK393" s="38" t="s">
        <v>69</v>
      </c>
      <c r="BL393" s="35">
        <v>97</v>
      </c>
      <c r="BW393" s="35">
        <f t="shared" si="429"/>
        <v>21</v>
      </c>
      <c r="BX393" s="4" t="s">
        <v>1165</v>
      </c>
    </row>
    <row r="394" spans="1:76" x14ac:dyDescent="0.25">
      <c r="A394" s="2" t="s">
        <v>1166</v>
      </c>
      <c r="B394" s="3" t="s">
        <v>1022</v>
      </c>
      <c r="C394" s="3" t="s">
        <v>1167</v>
      </c>
      <c r="D394" s="70" t="s">
        <v>1168</v>
      </c>
      <c r="E394" s="71"/>
      <c r="F394" s="3" t="s">
        <v>63</v>
      </c>
      <c r="G394" s="35">
        <v>1.8</v>
      </c>
      <c r="H394" s="68">
        <v>0</v>
      </c>
      <c r="I394" s="36">
        <v>21</v>
      </c>
      <c r="J394" s="35">
        <f t="shared" si="404"/>
        <v>0</v>
      </c>
      <c r="K394" s="35">
        <f t="shared" si="405"/>
        <v>0</v>
      </c>
      <c r="L394" s="35">
        <f t="shared" si="406"/>
        <v>0</v>
      </c>
      <c r="M394" s="35">
        <f t="shared" si="407"/>
        <v>0</v>
      </c>
      <c r="N394" s="35">
        <v>8.8999999999999995E-4</v>
      </c>
      <c r="O394" s="35">
        <f t="shared" si="408"/>
        <v>1.6019999999999999E-3</v>
      </c>
      <c r="P394" s="37" t="s">
        <v>64</v>
      </c>
      <c r="Z394" s="35">
        <f t="shared" si="409"/>
        <v>0</v>
      </c>
      <c r="AB394" s="35">
        <f t="shared" si="410"/>
        <v>0</v>
      </c>
      <c r="AC394" s="35">
        <f t="shared" si="411"/>
        <v>0</v>
      </c>
      <c r="AD394" s="35">
        <f t="shared" si="412"/>
        <v>0</v>
      </c>
      <c r="AE394" s="35">
        <f t="shared" si="413"/>
        <v>0</v>
      </c>
      <c r="AF394" s="35">
        <f t="shared" si="414"/>
        <v>0</v>
      </c>
      <c r="AG394" s="35">
        <f t="shared" si="415"/>
        <v>0</v>
      </c>
      <c r="AH394" s="35">
        <f t="shared" si="416"/>
        <v>0</v>
      </c>
      <c r="AI394" s="12" t="s">
        <v>1022</v>
      </c>
      <c r="AJ394" s="35">
        <f t="shared" si="417"/>
        <v>0</v>
      </c>
      <c r="AK394" s="35">
        <f t="shared" si="418"/>
        <v>0</v>
      </c>
      <c r="AL394" s="35">
        <f t="shared" si="419"/>
        <v>0</v>
      </c>
      <c r="AN394" s="35">
        <v>21</v>
      </c>
      <c r="AO394" s="35">
        <f>H394*0.044577398</f>
        <v>0</v>
      </c>
      <c r="AP394" s="35">
        <f>H394*(1-0.044577398)</f>
        <v>0</v>
      </c>
      <c r="AQ394" s="38" t="s">
        <v>60</v>
      </c>
      <c r="AV394" s="35">
        <f t="shared" si="420"/>
        <v>0</v>
      </c>
      <c r="AW394" s="35">
        <f t="shared" si="421"/>
        <v>0</v>
      </c>
      <c r="AX394" s="35">
        <f t="shared" si="422"/>
        <v>0</v>
      </c>
      <c r="AY394" s="38" t="s">
        <v>1156</v>
      </c>
      <c r="AZ394" s="38" t="s">
        <v>1131</v>
      </c>
      <c r="BA394" s="12" t="s">
        <v>1031</v>
      </c>
      <c r="BC394" s="35">
        <f t="shared" si="423"/>
        <v>0</v>
      </c>
      <c r="BD394" s="35">
        <f t="shared" si="424"/>
        <v>0</v>
      </c>
      <c r="BE394" s="35">
        <v>0</v>
      </c>
      <c r="BF394" s="35">
        <f t="shared" si="425"/>
        <v>1.6019999999999999E-3</v>
      </c>
      <c r="BH394" s="35">
        <f t="shared" si="426"/>
        <v>0</v>
      </c>
      <c r="BI394" s="35">
        <f t="shared" si="427"/>
        <v>0</v>
      </c>
      <c r="BJ394" s="35">
        <f t="shared" si="428"/>
        <v>0</v>
      </c>
      <c r="BK394" s="38" t="s">
        <v>69</v>
      </c>
      <c r="BL394" s="35">
        <v>97</v>
      </c>
      <c r="BW394" s="35">
        <f t="shared" si="429"/>
        <v>21</v>
      </c>
      <c r="BX394" s="4" t="s">
        <v>1168</v>
      </c>
    </row>
    <row r="395" spans="1:76" x14ac:dyDescent="0.25">
      <c r="A395" s="2" t="s">
        <v>1169</v>
      </c>
      <c r="B395" s="3" t="s">
        <v>1022</v>
      </c>
      <c r="C395" s="3" t="s">
        <v>1170</v>
      </c>
      <c r="D395" s="70" t="s">
        <v>1171</v>
      </c>
      <c r="E395" s="71"/>
      <c r="F395" s="3" t="s">
        <v>63</v>
      </c>
      <c r="G395" s="35">
        <v>0.45</v>
      </c>
      <c r="H395" s="68">
        <v>0</v>
      </c>
      <c r="I395" s="36">
        <v>21</v>
      </c>
      <c r="J395" s="35">
        <f t="shared" si="404"/>
        <v>0</v>
      </c>
      <c r="K395" s="35">
        <f t="shared" si="405"/>
        <v>0</v>
      </c>
      <c r="L395" s="35">
        <f t="shared" si="406"/>
        <v>0</v>
      </c>
      <c r="M395" s="35">
        <f t="shared" si="407"/>
        <v>0</v>
      </c>
      <c r="N395" s="35">
        <v>1.34E-3</v>
      </c>
      <c r="O395" s="35">
        <f t="shared" si="408"/>
        <v>6.0300000000000002E-4</v>
      </c>
      <c r="P395" s="37" t="s">
        <v>64</v>
      </c>
      <c r="Z395" s="35">
        <f t="shared" si="409"/>
        <v>0</v>
      </c>
      <c r="AB395" s="35">
        <f t="shared" si="410"/>
        <v>0</v>
      </c>
      <c r="AC395" s="35">
        <f t="shared" si="411"/>
        <v>0</v>
      </c>
      <c r="AD395" s="35">
        <f t="shared" si="412"/>
        <v>0</v>
      </c>
      <c r="AE395" s="35">
        <f t="shared" si="413"/>
        <v>0</v>
      </c>
      <c r="AF395" s="35">
        <f t="shared" si="414"/>
        <v>0</v>
      </c>
      <c r="AG395" s="35">
        <f t="shared" si="415"/>
        <v>0</v>
      </c>
      <c r="AH395" s="35">
        <f t="shared" si="416"/>
        <v>0</v>
      </c>
      <c r="AI395" s="12" t="s">
        <v>1022</v>
      </c>
      <c r="AJ395" s="35">
        <f t="shared" si="417"/>
        <v>0</v>
      </c>
      <c r="AK395" s="35">
        <f t="shared" si="418"/>
        <v>0</v>
      </c>
      <c r="AL395" s="35">
        <f t="shared" si="419"/>
        <v>0</v>
      </c>
      <c r="AN395" s="35">
        <v>21</v>
      </c>
      <c r="AO395" s="35">
        <f>H395*0.090852777</f>
        <v>0</v>
      </c>
      <c r="AP395" s="35">
        <f>H395*(1-0.090852777)</f>
        <v>0</v>
      </c>
      <c r="AQ395" s="38" t="s">
        <v>60</v>
      </c>
      <c r="AV395" s="35">
        <f t="shared" si="420"/>
        <v>0</v>
      </c>
      <c r="AW395" s="35">
        <f t="shared" si="421"/>
        <v>0</v>
      </c>
      <c r="AX395" s="35">
        <f t="shared" si="422"/>
        <v>0</v>
      </c>
      <c r="AY395" s="38" t="s">
        <v>1156</v>
      </c>
      <c r="AZ395" s="38" t="s">
        <v>1131</v>
      </c>
      <c r="BA395" s="12" t="s">
        <v>1031</v>
      </c>
      <c r="BC395" s="35">
        <f t="shared" si="423"/>
        <v>0</v>
      </c>
      <c r="BD395" s="35">
        <f t="shared" si="424"/>
        <v>0</v>
      </c>
      <c r="BE395" s="35">
        <v>0</v>
      </c>
      <c r="BF395" s="35">
        <f t="shared" si="425"/>
        <v>6.0300000000000002E-4</v>
      </c>
      <c r="BH395" s="35">
        <f t="shared" si="426"/>
        <v>0</v>
      </c>
      <c r="BI395" s="35">
        <f t="shared" si="427"/>
        <v>0</v>
      </c>
      <c r="BJ395" s="35">
        <f t="shared" si="428"/>
        <v>0</v>
      </c>
      <c r="BK395" s="38" t="s">
        <v>69</v>
      </c>
      <c r="BL395" s="35">
        <v>97</v>
      </c>
      <c r="BW395" s="35">
        <f t="shared" si="429"/>
        <v>21</v>
      </c>
      <c r="BX395" s="4" t="s">
        <v>1171</v>
      </c>
    </row>
    <row r="396" spans="1:76" x14ac:dyDescent="0.25">
      <c r="A396" s="31" t="s">
        <v>55</v>
      </c>
      <c r="B396" s="32" t="s">
        <v>1022</v>
      </c>
      <c r="C396" s="32" t="s">
        <v>685</v>
      </c>
      <c r="D396" s="128" t="s">
        <v>686</v>
      </c>
      <c r="E396" s="129"/>
      <c r="F396" s="33" t="s">
        <v>4</v>
      </c>
      <c r="G396" s="33" t="s">
        <v>4</v>
      </c>
      <c r="H396" s="33" t="s">
        <v>4</v>
      </c>
      <c r="I396" s="33" t="s">
        <v>4</v>
      </c>
      <c r="J396" s="1">
        <f>SUM(J397:J398)</f>
        <v>0</v>
      </c>
      <c r="K396" s="1">
        <f>SUM(K397:K398)</f>
        <v>0</v>
      </c>
      <c r="L396" s="1">
        <f>SUM(L397:L398)</f>
        <v>0</v>
      </c>
      <c r="M396" s="1">
        <f>SUM(M397:M398)</f>
        <v>0</v>
      </c>
      <c r="N396" s="12" t="s">
        <v>55</v>
      </c>
      <c r="O396" s="1">
        <f>SUM(O397:O398)</f>
        <v>0</v>
      </c>
      <c r="P396" s="34" t="s">
        <v>55</v>
      </c>
      <c r="AI396" s="12" t="s">
        <v>1022</v>
      </c>
      <c r="AS396" s="1">
        <f>SUM(AJ397:AJ398)</f>
        <v>0</v>
      </c>
      <c r="AT396" s="1">
        <f>SUM(AK397:AK398)</f>
        <v>0</v>
      </c>
      <c r="AU396" s="1">
        <f>SUM(AL397:AL398)</f>
        <v>0</v>
      </c>
    </row>
    <row r="397" spans="1:76" x14ac:dyDescent="0.25">
      <c r="A397" s="2" t="s">
        <v>1172</v>
      </c>
      <c r="B397" s="3" t="s">
        <v>1022</v>
      </c>
      <c r="C397" s="3" t="s">
        <v>1173</v>
      </c>
      <c r="D397" s="70" t="s">
        <v>1174</v>
      </c>
      <c r="E397" s="71"/>
      <c r="F397" s="3" t="s">
        <v>155</v>
      </c>
      <c r="G397" s="35">
        <v>1</v>
      </c>
      <c r="H397" s="68">
        <v>0</v>
      </c>
      <c r="I397" s="36">
        <v>21</v>
      </c>
      <c r="J397" s="35">
        <f>ROUND(G397*AO397,2)</f>
        <v>0</v>
      </c>
      <c r="K397" s="35">
        <f>ROUND(G397*AP397,2)</f>
        <v>0</v>
      </c>
      <c r="L397" s="35">
        <f>ROUND(G397*H397,2)</f>
        <v>0</v>
      </c>
      <c r="M397" s="35">
        <f>L397*(1+BW397/100)</f>
        <v>0</v>
      </c>
      <c r="N397" s="35">
        <v>0</v>
      </c>
      <c r="O397" s="35">
        <f>G397*N397</f>
        <v>0</v>
      </c>
      <c r="P397" s="37" t="s">
        <v>64</v>
      </c>
      <c r="Z397" s="35">
        <f>ROUND(IF(AQ397="5",BJ397,0),2)</f>
        <v>0</v>
      </c>
      <c r="AB397" s="35">
        <f>ROUND(IF(AQ397="1",BH397,0),2)</f>
        <v>0</v>
      </c>
      <c r="AC397" s="35">
        <f>ROUND(IF(AQ397="1",BI397,0),2)</f>
        <v>0</v>
      </c>
      <c r="AD397" s="35">
        <f>ROUND(IF(AQ397="7",BH397,0),2)</f>
        <v>0</v>
      </c>
      <c r="AE397" s="35">
        <f>ROUND(IF(AQ397="7",BI397,0),2)</f>
        <v>0</v>
      </c>
      <c r="AF397" s="35">
        <f>ROUND(IF(AQ397="2",BH397,0),2)</f>
        <v>0</v>
      </c>
      <c r="AG397" s="35">
        <f>ROUND(IF(AQ397="2",BI397,0),2)</f>
        <v>0</v>
      </c>
      <c r="AH397" s="35">
        <f>ROUND(IF(AQ397="0",BJ397,0),2)</f>
        <v>0</v>
      </c>
      <c r="AI397" s="12" t="s">
        <v>1022</v>
      </c>
      <c r="AJ397" s="35">
        <f>IF(AN397=0,L397,0)</f>
        <v>0</v>
      </c>
      <c r="AK397" s="35">
        <f>IF(AN397=15,L397,0)</f>
        <v>0</v>
      </c>
      <c r="AL397" s="35">
        <f>IF(AN397=21,L397,0)</f>
        <v>0</v>
      </c>
      <c r="AN397" s="35">
        <v>21</v>
      </c>
      <c r="AO397" s="35">
        <f>H397*0</f>
        <v>0</v>
      </c>
      <c r="AP397" s="35">
        <f>H397*(1-0)</f>
        <v>0</v>
      </c>
      <c r="AQ397" s="38" t="s">
        <v>60</v>
      </c>
      <c r="AV397" s="35">
        <f>ROUND(AW397+AX397,2)</f>
        <v>0</v>
      </c>
      <c r="AW397" s="35">
        <f>ROUND(G397*AO397,2)</f>
        <v>0</v>
      </c>
      <c r="AX397" s="35">
        <f>ROUND(G397*AP397,2)</f>
        <v>0</v>
      </c>
      <c r="AY397" s="38" t="s">
        <v>690</v>
      </c>
      <c r="AZ397" s="38" t="s">
        <v>1131</v>
      </c>
      <c r="BA397" s="12" t="s">
        <v>1031</v>
      </c>
      <c r="BC397" s="35">
        <f>AW397+AX397</f>
        <v>0</v>
      </c>
      <c r="BD397" s="35">
        <f>H397/(100-BE397)*100</f>
        <v>0</v>
      </c>
      <c r="BE397" s="35">
        <v>0</v>
      </c>
      <c r="BF397" s="35">
        <f>O397</f>
        <v>0</v>
      </c>
      <c r="BH397" s="35">
        <f>G397*AO397</f>
        <v>0</v>
      </c>
      <c r="BI397" s="35">
        <f>G397*AP397</f>
        <v>0</v>
      </c>
      <c r="BJ397" s="35">
        <f>G397*H397</f>
        <v>0</v>
      </c>
      <c r="BK397" s="38" t="s">
        <v>69</v>
      </c>
      <c r="BL397" s="35"/>
      <c r="BW397" s="35">
        <f>I397</f>
        <v>21</v>
      </c>
      <c r="BX397" s="4" t="s">
        <v>1174</v>
      </c>
    </row>
    <row r="398" spans="1:76" x14ac:dyDescent="0.25">
      <c r="A398" s="2" t="s">
        <v>1175</v>
      </c>
      <c r="B398" s="3" t="s">
        <v>1022</v>
      </c>
      <c r="C398" s="3" t="s">
        <v>688</v>
      </c>
      <c r="D398" s="70" t="s">
        <v>689</v>
      </c>
      <c r="E398" s="71"/>
      <c r="F398" s="3" t="s">
        <v>155</v>
      </c>
      <c r="G398" s="35">
        <v>1</v>
      </c>
      <c r="H398" s="68">
        <v>0</v>
      </c>
      <c r="I398" s="36">
        <v>21</v>
      </c>
      <c r="J398" s="35">
        <f>ROUND(G398*AO398,2)</f>
        <v>0</v>
      </c>
      <c r="K398" s="35">
        <f>ROUND(G398*AP398,2)</f>
        <v>0</v>
      </c>
      <c r="L398" s="35">
        <f>ROUND(G398*H398,2)</f>
        <v>0</v>
      </c>
      <c r="M398" s="35">
        <f>L398*(1+BW398/100)</f>
        <v>0</v>
      </c>
      <c r="N398" s="35">
        <v>0</v>
      </c>
      <c r="O398" s="35">
        <f>G398*N398</f>
        <v>0</v>
      </c>
      <c r="P398" s="37" t="s">
        <v>64</v>
      </c>
      <c r="Z398" s="35">
        <f>ROUND(IF(AQ398="5",BJ398,0),2)</f>
        <v>0</v>
      </c>
      <c r="AB398" s="35">
        <f>ROUND(IF(AQ398="1",BH398,0),2)</f>
        <v>0</v>
      </c>
      <c r="AC398" s="35">
        <f>ROUND(IF(AQ398="1",BI398,0),2)</f>
        <v>0</v>
      </c>
      <c r="AD398" s="35">
        <f>ROUND(IF(AQ398="7",BH398,0),2)</f>
        <v>0</v>
      </c>
      <c r="AE398" s="35">
        <f>ROUND(IF(AQ398="7",BI398,0),2)</f>
        <v>0</v>
      </c>
      <c r="AF398" s="35">
        <f>ROUND(IF(AQ398="2",BH398,0),2)</f>
        <v>0</v>
      </c>
      <c r="AG398" s="35">
        <f>ROUND(IF(AQ398="2",BI398,0),2)</f>
        <v>0</v>
      </c>
      <c r="AH398" s="35">
        <f>ROUND(IF(AQ398="0",BJ398,0),2)</f>
        <v>0</v>
      </c>
      <c r="AI398" s="12" t="s">
        <v>1022</v>
      </c>
      <c r="AJ398" s="35">
        <f>IF(AN398=0,L398,0)</f>
        <v>0</v>
      </c>
      <c r="AK398" s="35">
        <f>IF(AN398=15,L398,0)</f>
        <v>0</v>
      </c>
      <c r="AL398" s="35">
        <f>IF(AN398=21,L398,0)</f>
        <v>0</v>
      </c>
      <c r="AN398" s="35">
        <v>21</v>
      </c>
      <c r="AO398" s="35">
        <f>H398*0</f>
        <v>0</v>
      </c>
      <c r="AP398" s="35">
        <f>H398*(1-0)</f>
        <v>0</v>
      </c>
      <c r="AQ398" s="38" t="s">
        <v>60</v>
      </c>
      <c r="AV398" s="35">
        <f>ROUND(AW398+AX398,2)</f>
        <v>0</v>
      </c>
      <c r="AW398" s="35">
        <f>ROUND(G398*AO398,2)</f>
        <v>0</v>
      </c>
      <c r="AX398" s="35">
        <f>ROUND(G398*AP398,2)</f>
        <v>0</v>
      </c>
      <c r="AY398" s="38" t="s">
        <v>690</v>
      </c>
      <c r="AZ398" s="38" t="s">
        <v>1131</v>
      </c>
      <c r="BA398" s="12" t="s">
        <v>1031</v>
      </c>
      <c r="BC398" s="35">
        <f>AW398+AX398</f>
        <v>0</v>
      </c>
      <c r="BD398" s="35">
        <f>H398/(100-BE398)*100</f>
        <v>0</v>
      </c>
      <c r="BE398" s="35">
        <v>0</v>
      </c>
      <c r="BF398" s="35">
        <f>O398</f>
        <v>0</v>
      </c>
      <c r="BH398" s="35">
        <f>G398*AO398</f>
        <v>0</v>
      </c>
      <c r="BI398" s="35">
        <f>G398*AP398</f>
        <v>0</v>
      </c>
      <c r="BJ398" s="35">
        <f>G398*H398</f>
        <v>0</v>
      </c>
      <c r="BK398" s="38" t="s">
        <v>69</v>
      </c>
      <c r="BL398" s="35"/>
      <c r="BW398" s="35">
        <f>I398</f>
        <v>21</v>
      </c>
      <c r="BX398" s="4" t="s">
        <v>689</v>
      </c>
    </row>
    <row r="399" spans="1:76" x14ac:dyDescent="0.25">
      <c r="A399" s="31" t="s">
        <v>55</v>
      </c>
      <c r="B399" s="32" t="s">
        <v>1022</v>
      </c>
      <c r="C399" s="32" t="s">
        <v>1176</v>
      </c>
      <c r="D399" s="128" t="s">
        <v>1177</v>
      </c>
      <c r="E399" s="129"/>
      <c r="F399" s="33" t="s">
        <v>4</v>
      </c>
      <c r="G399" s="33" t="s">
        <v>4</v>
      </c>
      <c r="H399" s="33" t="s">
        <v>4</v>
      </c>
      <c r="I399" s="33" t="s">
        <v>4</v>
      </c>
      <c r="J399" s="1">
        <f>SUM(J400:J404)</f>
        <v>0</v>
      </c>
      <c r="K399" s="1">
        <f>SUM(K400:K404)</f>
        <v>0</v>
      </c>
      <c r="L399" s="1">
        <f>SUM(L400:L404)</f>
        <v>0</v>
      </c>
      <c r="M399" s="1">
        <f>SUM(M400:M404)</f>
        <v>0</v>
      </c>
      <c r="N399" s="12" t="s">
        <v>55</v>
      </c>
      <c r="O399" s="1">
        <f>SUM(O400:O404)</f>
        <v>0</v>
      </c>
      <c r="P399" s="34" t="s">
        <v>55</v>
      </c>
      <c r="AI399" s="12" t="s">
        <v>1022</v>
      </c>
      <c r="AS399" s="1">
        <f>SUM(AJ400:AJ404)</f>
        <v>0</v>
      </c>
      <c r="AT399" s="1">
        <f>SUM(AK400:AK404)</f>
        <v>0</v>
      </c>
      <c r="AU399" s="1">
        <f>SUM(AL400:AL404)</f>
        <v>0</v>
      </c>
    </row>
    <row r="400" spans="1:76" x14ac:dyDescent="0.25">
      <c r="A400" s="2" t="s">
        <v>1178</v>
      </c>
      <c r="B400" s="3" t="s">
        <v>1022</v>
      </c>
      <c r="C400" s="3" t="s">
        <v>1179</v>
      </c>
      <c r="D400" s="70" t="s">
        <v>1180</v>
      </c>
      <c r="E400" s="71"/>
      <c r="F400" s="3" t="s">
        <v>1181</v>
      </c>
      <c r="G400" s="35">
        <v>3.8</v>
      </c>
      <c r="H400" s="68">
        <v>0</v>
      </c>
      <c r="I400" s="36">
        <v>21</v>
      </c>
      <c r="J400" s="35">
        <f>ROUND(G400*AO400,2)</f>
        <v>0</v>
      </c>
      <c r="K400" s="35">
        <f>ROUND(G400*AP400,2)</f>
        <v>0</v>
      </c>
      <c r="L400" s="35">
        <f>ROUND(G400*H400,2)</f>
        <v>0</v>
      </c>
      <c r="M400" s="35">
        <f>L400*(1+BW400/100)</f>
        <v>0</v>
      </c>
      <c r="N400" s="35">
        <v>0</v>
      </c>
      <c r="O400" s="35">
        <f>G400*N400</f>
        <v>0</v>
      </c>
      <c r="P400" s="37" t="s">
        <v>64</v>
      </c>
      <c r="Z400" s="35">
        <f>ROUND(IF(AQ400="5",BJ400,0),2)</f>
        <v>0</v>
      </c>
      <c r="AB400" s="35">
        <f>ROUND(IF(AQ400="1",BH400,0),2)</f>
        <v>0</v>
      </c>
      <c r="AC400" s="35">
        <f>ROUND(IF(AQ400="1",BI400,0),2)</f>
        <v>0</v>
      </c>
      <c r="AD400" s="35">
        <f>ROUND(IF(AQ400="7",BH400,0),2)</f>
        <v>0</v>
      </c>
      <c r="AE400" s="35">
        <f>ROUND(IF(AQ400="7",BI400,0),2)</f>
        <v>0</v>
      </c>
      <c r="AF400" s="35">
        <f>ROUND(IF(AQ400="2",BH400,0),2)</f>
        <v>0</v>
      </c>
      <c r="AG400" s="35">
        <f>ROUND(IF(AQ400="2",BI400,0),2)</f>
        <v>0</v>
      </c>
      <c r="AH400" s="35">
        <f>ROUND(IF(AQ400="0",BJ400,0),2)</f>
        <v>0</v>
      </c>
      <c r="AI400" s="12" t="s">
        <v>1022</v>
      </c>
      <c r="AJ400" s="35">
        <f>IF(AN400=0,L400,0)</f>
        <v>0</v>
      </c>
      <c r="AK400" s="35">
        <f>IF(AN400=15,L400,0)</f>
        <v>0</v>
      </c>
      <c r="AL400" s="35">
        <f>IF(AN400=21,L400,0)</f>
        <v>0</v>
      </c>
      <c r="AN400" s="35">
        <v>21</v>
      </c>
      <c r="AO400" s="35">
        <f>H400*0</f>
        <v>0</v>
      </c>
      <c r="AP400" s="35">
        <f>H400*(1-0)</f>
        <v>0</v>
      </c>
      <c r="AQ400" s="38" t="s">
        <v>79</v>
      </c>
      <c r="AV400" s="35">
        <f>ROUND(AW400+AX400,2)</f>
        <v>0</v>
      </c>
      <c r="AW400" s="35">
        <f>ROUND(G400*AO400,2)</f>
        <v>0</v>
      </c>
      <c r="AX400" s="35">
        <f>ROUND(G400*AP400,2)</f>
        <v>0</v>
      </c>
      <c r="AY400" s="38" t="s">
        <v>1182</v>
      </c>
      <c r="AZ400" s="38" t="s">
        <v>1131</v>
      </c>
      <c r="BA400" s="12" t="s">
        <v>1031</v>
      </c>
      <c r="BC400" s="35">
        <f>AW400+AX400</f>
        <v>0</v>
      </c>
      <c r="BD400" s="35">
        <f>H400/(100-BE400)*100</f>
        <v>0</v>
      </c>
      <c r="BE400" s="35">
        <v>0</v>
      </c>
      <c r="BF400" s="35">
        <f>O400</f>
        <v>0</v>
      </c>
      <c r="BH400" s="35">
        <f>G400*AO400</f>
        <v>0</v>
      </c>
      <c r="BI400" s="35">
        <f>G400*AP400</f>
        <v>0</v>
      </c>
      <c r="BJ400" s="35">
        <f>G400*H400</f>
        <v>0</v>
      </c>
      <c r="BK400" s="38" t="s">
        <v>69</v>
      </c>
      <c r="BL400" s="35"/>
      <c r="BW400" s="35">
        <f>I400</f>
        <v>21</v>
      </c>
      <c r="BX400" s="4" t="s">
        <v>1180</v>
      </c>
    </row>
    <row r="401" spans="1:76" x14ac:dyDescent="0.25">
      <c r="A401" s="2" t="s">
        <v>1183</v>
      </c>
      <c r="B401" s="3" t="s">
        <v>1022</v>
      </c>
      <c r="C401" s="3" t="s">
        <v>1184</v>
      </c>
      <c r="D401" s="70" t="s">
        <v>1185</v>
      </c>
      <c r="E401" s="71"/>
      <c r="F401" s="3" t="s">
        <v>1181</v>
      </c>
      <c r="G401" s="35">
        <v>3.8</v>
      </c>
      <c r="H401" s="68">
        <v>0</v>
      </c>
      <c r="I401" s="36">
        <v>21</v>
      </c>
      <c r="J401" s="35">
        <f>ROUND(G401*AO401,2)</f>
        <v>0</v>
      </c>
      <c r="K401" s="35">
        <f>ROUND(G401*AP401,2)</f>
        <v>0</v>
      </c>
      <c r="L401" s="35">
        <f>ROUND(G401*H401,2)</f>
        <v>0</v>
      </c>
      <c r="M401" s="35">
        <f>L401*(1+BW401/100)</f>
        <v>0</v>
      </c>
      <c r="N401" s="35">
        <v>0</v>
      </c>
      <c r="O401" s="35">
        <f>G401*N401</f>
        <v>0</v>
      </c>
      <c r="P401" s="37" t="s">
        <v>64</v>
      </c>
      <c r="Z401" s="35">
        <f>ROUND(IF(AQ401="5",BJ401,0),2)</f>
        <v>0</v>
      </c>
      <c r="AB401" s="35">
        <f>ROUND(IF(AQ401="1",BH401,0),2)</f>
        <v>0</v>
      </c>
      <c r="AC401" s="35">
        <f>ROUND(IF(AQ401="1",BI401,0),2)</f>
        <v>0</v>
      </c>
      <c r="AD401" s="35">
        <f>ROUND(IF(AQ401="7",BH401,0),2)</f>
        <v>0</v>
      </c>
      <c r="AE401" s="35">
        <f>ROUND(IF(AQ401="7",BI401,0),2)</f>
        <v>0</v>
      </c>
      <c r="AF401" s="35">
        <f>ROUND(IF(AQ401="2",BH401,0),2)</f>
        <v>0</v>
      </c>
      <c r="AG401" s="35">
        <f>ROUND(IF(AQ401="2",BI401,0),2)</f>
        <v>0</v>
      </c>
      <c r="AH401" s="35">
        <f>ROUND(IF(AQ401="0",BJ401,0),2)</f>
        <v>0</v>
      </c>
      <c r="AI401" s="12" t="s">
        <v>1022</v>
      </c>
      <c r="AJ401" s="35">
        <f>IF(AN401=0,L401,0)</f>
        <v>0</v>
      </c>
      <c r="AK401" s="35">
        <f>IF(AN401=15,L401,0)</f>
        <v>0</v>
      </c>
      <c r="AL401" s="35">
        <f>IF(AN401=21,L401,0)</f>
        <v>0</v>
      </c>
      <c r="AN401" s="35">
        <v>21</v>
      </c>
      <c r="AO401" s="35">
        <f>H401*0</f>
        <v>0</v>
      </c>
      <c r="AP401" s="35">
        <f>H401*(1-0)</f>
        <v>0</v>
      </c>
      <c r="AQ401" s="38" t="s">
        <v>79</v>
      </c>
      <c r="AV401" s="35">
        <f>ROUND(AW401+AX401,2)</f>
        <v>0</v>
      </c>
      <c r="AW401" s="35">
        <f>ROUND(G401*AO401,2)</f>
        <v>0</v>
      </c>
      <c r="AX401" s="35">
        <f>ROUND(G401*AP401,2)</f>
        <v>0</v>
      </c>
      <c r="AY401" s="38" t="s">
        <v>1182</v>
      </c>
      <c r="AZ401" s="38" t="s">
        <v>1131</v>
      </c>
      <c r="BA401" s="12" t="s">
        <v>1031</v>
      </c>
      <c r="BC401" s="35">
        <f>AW401+AX401</f>
        <v>0</v>
      </c>
      <c r="BD401" s="35">
        <f>H401/(100-BE401)*100</f>
        <v>0</v>
      </c>
      <c r="BE401" s="35">
        <v>0</v>
      </c>
      <c r="BF401" s="35">
        <f>O401</f>
        <v>0</v>
      </c>
      <c r="BH401" s="35">
        <f>G401*AO401</f>
        <v>0</v>
      </c>
      <c r="BI401" s="35">
        <f>G401*AP401</f>
        <v>0</v>
      </c>
      <c r="BJ401" s="35">
        <f>G401*H401</f>
        <v>0</v>
      </c>
      <c r="BK401" s="38" t="s">
        <v>69</v>
      </c>
      <c r="BL401" s="35"/>
      <c r="BW401" s="35">
        <f>I401</f>
        <v>21</v>
      </c>
      <c r="BX401" s="4" t="s">
        <v>1185</v>
      </c>
    </row>
    <row r="402" spans="1:76" x14ac:dyDescent="0.25">
      <c r="A402" s="2" t="s">
        <v>1186</v>
      </c>
      <c r="B402" s="3" t="s">
        <v>1022</v>
      </c>
      <c r="C402" s="3" t="s">
        <v>1187</v>
      </c>
      <c r="D402" s="70" t="s">
        <v>1188</v>
      </c>
      <c r="E402" s="71"/>
      <c r="F402" s="3" t="s">
        <v>1181</v>
      </c>
      <c r="G402" s="35">
        <v>38</v>
      </c>
      <c r="H402" s="68">
        <v>0</v>
      </c>
      <c r="I402" s="36">
        <v>21</v>
      </c>
      <c r="J402" s="35">
        <f>ROUND(G402*AO402,2)</f>
        <v>0</v>
      </c>
      <c r="K402" s="35">
        <f>ROUND(G402*AP402,2)</f>
        <v>0</v>
      </c>
      <c r="L402" s="35">
        <f>ROUND(G402*H402,2)</f>
        <v>0</v>
      </c>
      <c r="M402" s="35">
        <f>L402*(1+BW402/100)</f>
        <v>0</v>
      </c>
      <c r="N402" s="35">
        <v>0</v>
      </c>
      <c r="O402" s="35">
        <f>G402*N402</f>
        <v>0</v>
      </c>
      <c r="P402" s="37" t="s">
        <v>64</v>
      </c>
      <c r="Z402" s="35">
        <f>ROUND(IF(AQ402="5",BJ402,0),2)</f>
        <v>0</v>
      </c>
      <c r="AB402" s="35">
        <f>ROUND(IF(AQ402="1",BH402,0),2)</f>
        <v>0</v>
      </c>
      <c r="AC402" s="35">
        <f>ROUND(IF(AQ402="1",BI402,0),2)</f>
        <v>0</v>
      </c>
      <c r="AD402" s="35">
        <f>ROUND(IF(AQ402="7",BH402,0),2)</f>
        <v>0</v>
      </c>
      <c r="AE402" s="35">
        <f>ROUND(IF(AQ402="7",BI402,0),2)</f>
        <v>0</v>
      </c>
      <c r="AF402" s="35">
        <f>ROUND(IF(AQ402="2",BH402,0),2)</f>
        <v>0</v>
      </c>
      <c r="AG402" s="35">
        <f>ROUND(IF(AQ402="2",BI402,0),2)</f>
        <v>0</v>
      </c>
      <c r="AH402" s="35">
        <f>ROUND(IF(AQ402="0",BJ402,0),2)</f>
        <v>0</v>
      </c>
      <c r="AI402" s="12" t="s">
        <v>1022</v>
      </c>
      <c r="AJ402" s="35">
        <f>IF(AN402=0,L402,0)</f>
        <v>0</v>
      </c>
      <c r="AK402" s="35">
        <f>IF(AN402=15,L402,0)</f>
        <v>0</v>
      </c>
      <c r="AL402" s="35">
        <f>IF(AN402=21,L402,0)</f>
        <v>0</v>
      </c>
      <c r="AN402" s="35">
        <v>21</v>
      </c>
      <c r="AO402" s="35">
        <f>H402*0</f>
        <v>0</v>
      </c>
      <c r="AP402" s="35">
        <f>H402*(1-0)</f>
        <v>0</v>
      </c>
      <c r="AQ402" s="38" t="s">
        <v>79</v>
      </c>
      <c r="AV402" s="35">
        <f>ROUND(AW402+AX402,2)</f>
        <v>0</v>
      </c>
      <c r="AW402" s="35">
        <f>ROUND(G402*AO402,2)</f>
        <v>0</v>
      </c>
      <c r="AX402" s="35">
        <f>ROUND(G402*AP402,2)</f>
        <v>0</v>
      </c>
      <c r="AY402" s="38" t="s">
        <v>1182</v>
      </c>
      <c r="AZ402" s="38" t="s">
        <v>1131</v>
      </c>
      <c r="BA402" s="12" t="s">
        <v>1031</v>
      </c>
      <c r="BC402" s="35">
        <f>AW402+AX402</f>
        <v>0</v>
      </c>
      <c r="BD402" s="35">
        <f>H402/(100-BE402)*100</f>
        <v>0</v>
      </c>
      <c r="BE402" s="35">
        <v>0</v>
      </c>
      <c r="BF402" s="35">
        <f>O402</f>
        <v>0</v>
      </c>
      <c r="BH402" s="35">
        <f>G402*AO402</f>
        <v>0</v>
      </c>
      <c r="BI402" s="35">
        <f>G402*AP402</f>
        <v>0</v>
      </c>
      <c r="BJ402" s="35">
        <f>G402*H402</f>
        <v>0</v>
      </c>
      <c r="BK402" s="38" t="s">
        <v>69</v>
      </c>
      <c r="BL402" s="35"/>
      <c r="BW402" s="35">
        <f>I402</f>
        <v>21</v>
      </c>
      <c r="BX402" s="4" t="s">
        <v>1188</v>
      </c>
    </row>
    <row r="403" spans="1:76" x14ac:dyDescent="0.25">
      <c r="A403" s="2" t="s">
        <v>1189</v>
      </c>
      <c r="B403" s="3" t="s">
        <v>1022</v>
      </c>
      <c r="C403" s="3" t="s">
        <v>1190</v>
      </c>
      <c r="D403" s="70" t="s">
        <v>1191</v>
      </c>
      <c r="E403" s="71"/>
      <c r="F403" s="3" t="s">
        <v>1181</v>
      </c>
      <c r="G403" s="35">
        <v>3.8</v>
      </c>
      <c r="H403" s="68">
        <v>0</v>
      </c>
      <c r="I403" s="36">
        <v>21</v>
      </c>
      <c r="J403" s="35">
        <f>ROUND(G403*AO403,2)</f>
        <v>0</v>
      </c>
      <c r="K403" s="35">
        <f>ROUND(G403*AP403,2)</f>
        <v>0</v>
      </c>
      <c r="L403" s="35">
        <f>ROUND(G403*H403,2)</f>
        <v>0</v>
      </c>
      <c r="M403" s="35">
        <f>L403*(1+BW403/100)</f>
        <v>0</v>
      </c>
      <c r="N403" s="35">
        <v>0</v>
      </c>
      <c r="O403" s="35">
        <f>G403*N403</f>
        <v>0</v>
      </c>
      <c r="P403" s="37" t="s">
        <v>64</v>
      </c>
      <c r="Z403" s="35">
        <f>ROUND(IF(AQ403="5",BJ403,0),2)</f>
        <v>0</v>
      </c>
      <c r="AB403" s="35">
        <f>ROUND(IF(AQ403="1",BH403,0),2)</f>
        <v>0</v>
      </c>
      <c r="AC403" s="35">
        <f>ROUND(IF(AQ403="1",BI403,0),2)</f>
        <v>0</v>
      </c>
      <c r="AD403" s="35">
        <f>ROUND(IF(AQ403="7",BH403,0),2)</f>
        <v>0</v>
      </c>
      <c r="AE403" s="35">
        <f>ROUND(IF(AQ403="7",BI403,0),2)</f>
        <v>0</v>
      </c>
      <c r="AF403" s="35">
        <f>ROUND(IF(AQ403="2",BH403,0),2)</f>
        <v>0</v>
      </c>
      <c r="AG403" s="35">
        <f>ROUND(IF(AQ403="2",BI403,0),2)</f>
        <v>0</v>
      </c>
      <c r="AH403" s="35">
        <f>ROUND(IF(AQ403="0",BJ403,0),2)</f>
        <v>0</v>
      </c>
      <c r="AI403" s="12" t="s">
        <v>1022</v>
      </c>
      <c r="AJ403" s="35">
        <f>IF(AN403=0,L403,0)</f>
        <v>0</v>
      </c>
      <c r="AK403" s="35">
        <f>IF(AN403=15,L403,0)</f>
        <v>0</v>
      </c>
      <c r="AL403" s="35">
        <f>IF(AN403=21,L403,0)</f>
        <v>0</v>
      </c>
      <c r="AN403" s="35">
        <v>21</v>
      </c>
      <c r="AO403" s="35">
        <f>H403*0</f>
        <v>0</v>
      </c>
      <c r="AP403" s="35">
        <f>H403*(1-0)</f>
        <v>0</v>
      </c>
      <c r="AQ403" s="38" t="s">
        <v>79</v>
      </c>
      <c r="AV403" s="35">
        <f>ROUND(AW403+AX403,2)</f>
        <v>0</v>
      </c>
      <c r="AW403" s="35">
        <f>ROUND(G403*AO403,2)</f>
        <v>0</v>
      </c>
      <c r="AX403" s="35">
        <f>ROUND(G403*AP403,2)</f>
        <v>0</v>
      </c>
      <c r="AY403" s="38" t="s">
        <v>1182</v>
      </c>
      <c r="AZ403" s="38" t="s">
        <v>1131</v>
      </c>
      <c r="BA403" s="12" t="s">
        <v>1031</v>
      </c>
      <c r="BC403" s="35">
        <f>AW403+AX403</f>
        <v>0</v>
      </c>
      <c r="BD403" s="35">
        <f>H403/(100-BE403)*100</f>
        <v>0</v>
      </c>
      <c r="BE403" s="35">
        <v>0</v>
      </c>
      <c r="BF403" s="35">
        <f>O403</f>
        <v>0</v>
      </c>
      <c r="BH403" s="35">
        <f>G403*AO403</f>
        <v>0</v>
      </c>
      <c r="BI403" s="35">
        <f>G403*AP403</f>
        <v>0</v>
      </c>
      <c r="BJ403" s="35">
        <f>G403*H403</f>
        <v>0</v>
      </c>
      <c r="BK403" s="38" t="s">
        <v>69</v>
      </c>
      <c r="BL403" s="35"/>
      <c r="BW403" s="35">
        <f>I403</f>
        <v>21</v>
      </c>
      <c r="BX403" s="4" t="s">
        <v>1191</v>
      </c>
    </row>
    <row r="404" spans="1:76" x14ac:dyDescent="0.25">
      <c r="A404" s="2" t="s">
        <v>1192</v>
      </c>
      <c r="B404" s="3" t="s">
        <v>1022</v>
      </c>
      <c r="C404" s="3" t="s">
        <v>1193</v>
      </c>
      <c r="D404" s="70" t="s">
        <v>1194</v>
      </c>
      <c r="E404" s="71"/>
      <c r="F404" s="3" t="s">
        <v>1181</v>
      </c>
      <c r="G404" s="35">
        <v>3.8</v>
      </c>
      <c r="H404" s="68">
        <v>0</v>
      </c>
      <c r="I404" s="36">
        <v>21</v>
      </c>
      <c r="J404" s="35">
        <f>ROUND(G404*AO404,2)</f>
        <v>0</v>
      </c>
      <c r="K404" s="35">
        <f>ROUND(G404*AP404,2)</f>
        <v>0</v>
      </c>
      <c r="L404" s="35">
        <f>ROUND(G404*H404,2)</f>
        <v>0</v>
      </c>
      <c r="M404" s="35">
        <f>L404*(1+BW404/100)</f>
        <v>0</v>
      </c>
      <c r="N404" s="35">
        <v>0</v>
      </c>
      <c r="O404" s="35">
        <f>G404*N404</f>
        <v>0</v>
      </c>
      <c r="P404" s="37" t="s">
        <v>64</v>
      </c>
      <c r="Z404" s="35">
        <f>ROUND(IF(AQ404="5",BJ404,0),2)</f>
        <v>0</v>
      </c>
      <c r="AB404" s="35">
        <f>ROUND(IF(AQ404="1",BH404,0),2)</f>
        <v>0</v>
      </c>
      <c r="AC404" s="35">
        <f>ROUND(IF(AQ404="1",BI404,0),2)</f>
        <v>0</v>
      </c>
      <c r="AD404" s="35">
        <f>ROUND(IF(AQ404="7",BH404,0),2)</f>
        <v>0</v>
      </c>
      <c r="AE404" s="35">
        <f>ROUND(IF(AQ404="7",BI404,0),2)</f>
        <v>0</v>
      </c>
      <c r="AF404" s="35">
        <f>ROUND(IF(AQ404="2",BH404,0),2)</f>
        <v>0</v>
      </c>
      <c r="AG404" s="35">
        <f>ROUND(IF(AQ404="2",BI404,0),2)</f>
        <v>0</v>
      </c>
      <c r="AH404" s="35">
        <f>ROUND(IF(AQ404="0",BJ404,0),2)</f>
        <v>0</v>
      </c>
      <c r="AI404" s="12" t="s">
        <v>1022</v>
      </c>
      <c r="AJ404" s="35">
        <f>IF(AN404=0,L404,0)</f>
        <v>0</v>
      </c>
      <c r="AK404" s="35">
        <f>IF(AN404=15,L404,0)</f>
        <v>0</v>
      </c>
      <c r="AL404" s="35">
        <f>IF(AN404=21,L404,0)</f>
        <v>0</v>
      </c>
      <c r="AN404" s="35">
        <v>21</v>
      </c>
      <c r="AO404" s="35">
        <f>H404*0</f>
        <v>0</v>
      </c>
      <c r="AP404" s="35">
        <f>H404*(1-0)</f>
        <v>0</v>
      </c>
      <c r="AQ404" s="38" t="s">
        <v>79</v>
      </c>
      <c r="AV404" s="35">
        <f>ROUND(AW404+AX404,2)</f>
        <v>0</v>
      </c>
      <c r="AW404" s="35">
        <f>ROUND(G404*AO404,2)</f>
        <v>0</v>
      </c>
      <c r="AX404" s="35">
        <f>ROUND(G404*AP404,2)</f>
        <v>0</v>
      </c>
      <c r="AY404" s="38" t="s">
        <v>1182</v>
      </c>
      <c r="AZ404" s="38" t="s">
        <v>1131</v>
      </c>
      <c r="BA404" s="12" t="s">
        <v>1031</v>
      </c>
      <c r="BC404" s="35">
        <f>AW404+AX404</f>
        <v>0</v>
      </c>
      <c r="BD404" s="35">
        <f>H404/(100-BE404)*100</f>
        <v>0</v>
      </c>
      <c r="BE404" s="35">
        <v>0</v>
      </c>
      <c r="BF404" s="35">
        <f>O404</f>
        <v>0</v>
      </c>
      <c r="BH404" s="35">
        <f>G404*AO404</f>
        <v>0</v>
      </c>
      <c r="BI404" s="35">
        <f>G404*AP404</f>
        <v>0</v>
      </c>
      <c r="BJ404" s="35">
        <f>G404*H404</f>
        <v>0</v>
      </c>
      <c r="BK404" s="38" t="s">
        <v>69</v>
      </c>
      <c r="BL404" s="35"/>
      <c r="BW404" s="35">
        <f>I404</f>
        <v>21</v>
      </c>
      <c r="BX404" s="4" t="s">
        <v>1194</v>
      </c>
    </row>
    <row r="405" spans="1:76" x14ac:dyDescent="0.25">
      <c r="A405" s="31" t="s">
        <v>55</v>
      </c>
      <c r="B405" s="32" t="s">
        <v>1022</v>
      </c>
      <c r="C405" s="32" t="s">
        <v>156</v>
      </c>
      <c r="D405" s="128" t="s">
        <v>192</v>
      </c>
      <c r="E405" s="129"/>
      <c r="F405" s="33" t="s">
        <v>4</v>
      </c>
      <c r="G405" s="33" t="s">
        <v>4</v>
      </c>
      <c r="H405" s="33" t="s">
        <v>4</v>
      </c>
      <c r="I405" s="33" t="s">
        <v>4</v>
      </c>
      <c r="J405" s="1">
        <f>SUM(J406:J407)</f>
        <v>0</v>
      </c>
      <c r="K405" s="1">
        <f>SUM(K406:K407)</f>
        <v>0</v>
      </c>
      <c r="L405" s="1">
        <f>SUM(L406:L407)</f>
        <v>0</v>
      </c>
      <c r="M405" s="1">
        <f>SUM(M406:M407)</f>
        <v>0</v>
      </c>
      <c r="N405" s="12" t="s">
        <v>55</v>
      </c>
      <c r="O405" s="1">
        <f>SUM(O406:O407)</f>
        <v>8.2589999999999997E-2</v>
      </c>
      <c r="P405" s="34" t="s">
        <v>55</v>
      </c>
      <c r="AI405" s="12" t="s">
        <v>1022</v>
      </c>
      <c r="AS405" s="1">
        <f>SUM(AJ406:AJ407)</f>
        <v>0</v>
      </c>
      <c r="AT405" s="1">
        <f>SUM(AK406:AK407)</f>
        <v>0</v>
      </c>
      <c r="AU405" s="1">
        <f>SUM(AL406:AL407)</f>
        <v>0</v>
      </c>
    </row>
    <row r="406" spans="1:76" x14ac:dyDescent="0.25">
      <c r="A406" s="2" t="s">
        <v>1195</v>
      </c>
      <c r="B406" s="3" t="s">
        <v>1022</v>
      </c>
      <c r="C406" s="3" t="s">
        <v>1196</v>
      </c>
      <c r="D406" s="70" t="s">
        <v>1197</v>
      </c>
      <c r="E406" s="71"/>
      <c r="F406" s="3" t="s">
        <v>85</v>
      </c>
      <c r="G406" s="35">
        <v>1</v>
      </c>
      <c r="H406" s="68">
        <v>0</v>
      </c>
      <c r="I406" s="36">
        <v>21</v>
      </c>
      <c r="J406" s="35">
        <f>ROUND(G406*AO406,2)</f>
        <v>0</v>
      </c>
      <c r="K406" s="35">
        <f>ROUND(G406*AP406,2)</f>
        <v>0</v>
      </c>
      <c r="L406" s="35">
        <f>ROUND(G406*H406,2)</f>
        <v>0</v>
      </c>
      <c r="M406" s="35">
        <f>L406*(1+BW406/100)</f>
        <v>0</v>
      </c>
      <c r="N406" s="35">
        <v>0.08</v>
      </c>
      <c r="O406" s="35">
        <f>G406*N406</f>
        <v>0.08</v>
      </c>
      <c r="P406" s="37" t="s">
        <v>64</v>
      </c>
      <c r="Z406" s="35">
        <f>ROUND(IF(AQ406="5",BJ406,0),2)</f>
        <v>0</v>
      </c>
      <c r="AB406" s="35">
        <f>ROUND(IF(AQ406="1",BH406,0),2)</f>
        <v>0</v>
      </c>
      <c r="AC406" s="35">
        <f>ROUND(IF(AQ406="1",BI406,0),2)</f>
        <v>0</v>
      </c>
      <c r="AD406" s="35">
        <f>ROUND(IF(AQ406="7",BH406,0),2)</f>
        <v>0</v>
      </c>
      <c r="AE406" s="35">
        <f>ROUND(IF(AQ406="7",BI406,0),2)</f>
        <v>0</v>
      </c>
      <c r="AF406" s="35">
        <f>ROUND(IF(AQ406="2",BH406,0),2)</f>
        <v>0</v>
      </c>
      <c r="AG406" s="35">
        <f>ROUND(IF(AQ406="2",BI406,0),2)</f>
        <v>0</v>
      </c>
      <c r="AH406" s="35">
        <f>ROUND(IF(AQ406="0",BJ406,0),2)</f>
        <v>0</v>
      </c>
      <c r="AI406" s="12" t="s">
        <v>1022</v>
      </c>
      <c r="AJ406" s="35">
        <f>IF(AN406=0,L406,0)</f>
        <v>0</v>
      </c>
      <c r="AK406" s="35">
        <f>IF(AN406=15,L406,0)</f>
        <v>0</v>
      </c>
      <c r="AL406" s="35">
        <f>IF(AN406=21,L406,0)</f>
        <v>0</v>
      </c>
      <c r="AN406" s="35">
        <v>21</v>
      </c>
      <c r="AO406" s="35">
        <f>H406*1</f>
        <v>0</v>
      </c>
      <c r="AP406" s="35">
        <f>H406*(1-1)</f>
        <v>0</v>
      </c>
      <c r="AQ406" s="38" t="s">
        <v>196</v>
      </c>
      <c r="AV406" s="35">
        <f>ROUND(AW406+AX406,2)</f>
        <v>0</v>
      </c>
      <c r="AW406" s="35">
        <f>ROUND(G406*AO406,2)</f>
        <v>0</v>
      </c>
      <c r="AX406" s="35">
        <f>ROUND(G406*AP406,2)</f>
        <v>0</v>
      </c>
      <c r="AY406" s="38" t="s">
        <v>197</v>
      </c>
      <c r="AZ406" s="38" t="s">
        <v>1198</v>
      </c>
      <c r="BA406" s="12" t="s">
        <v>1031</v>
      </c>
      <c r="BC406" s="35">
        <f>AW406+AX406</f>
        <v>0</v>
      </c>
      <c r="BD406" s="35">
        <f>H406/(100-BE406)*100</f>
        <v>0</v>
      </c>
      <c r="BE406" s="35">
        <v>0</v>
      </c>
      <c r="BF406" s="35">
        <f>O406</f>
        <v>0.08</v>
      </c>
      <c r="BH406" s="35">
        <f>G406*AO406</f>
        <v>0</v>
      </c>
      <c r="BI406" s="35">
        <f>G406*AP406</f>
        <v>0</v>
      </c>
      <c r="BJ406" s="35">
        <f>G406*H406</f>
        <v>0</v>
      </c>
      <c r="BK406" s="38" t="s">
        <v>156</v>
      </c>
      <c r="BL406" s="35"/>
      <c r="BW406" s="35">
        <f>I406</f>
        <v>21</v>
      </c>
      <c r="BX406" s="4" t="s">
        <v>1197</v>
      </c>
    </row>
    <row r="407" spans="1:76" x14ac:dyDescent="0.25">
      <c r="A407" s="2" t="s">
        <v>1199</v>
      </c>
      <c r="B407" s="3" t="s">
        <v>1022</v>
      </c>
      <c r="C407" s="3" t="s">
        <v>1200</v>
      </c>
      <c r="D407" s="70" t="s">
        <v>1201</v>
      </c>
      <c r="E407" s="71"/>
      <c r="F407" s="3" t="s">
        <v>85</v>
      </c>
      <c r="G407" s="35">
        <v>1</v>
      </c>
      <c r="H407" s="68">
        <v>0</v>
      </c>
      <c r="I407" s="36">
        <v>21</v>
      </c>
      <c r="J407" s="35">
        <f>ROUND(G407*AO407,2)</f>
        <v>0</v>
      </c>
      <c r="K407" s="35">
        <f>ROUND(G407*AP407,2)</f>
        <v>0</v>
      </c>
      <c r="L407" s="35">
        <f>ROUND(G407*H407,2)</f>
        <v>0</v>
      </c>
      <c r="M407" s="35">
        <f>L407*(1+BW407/100)</f>
        <v>0</v>
      </c>
      <c r="N407" s="35">
        <v>2.5899999999999999E-3</v>
      </c>
      <c r="O407" s="35">
        <f>G407*N407</f>
        <v>2.5899999999999999E-3</v>
      </c>
      <c r="P407" s="37" t="s">
        <v>64</v>
      </c>
      <c r="Z407" s="35">
        <f>ROUND(IF(AQ407="5",BJ407,0),2)</f>
        <v>0</v>
      </c>
      <c r="AB407" s="35">
        <f>ROUND(IF(AQ407="1",BH407,0),2)</f>
        <v>0</v>
      </c>
      <c r="AC407" s="35">
        <f>ROUND(IF(AQ407="1",BI407,0),2)</f>
        <v>0</v>
      </c>
      <c r="AD407" s="35">
        <f>ROUND(IF(AQ407="7",BH407,0),2)</f>
        <v>0</v>
      </c>
      <c r="AE407" s="35">
        <f>ROUND(IF(AQ407="7",BI407,0),2)</f>
        <v>0</v>
      </c>
      <c r="AF407" s="35">
        <f>ROUND(IF(AQ407="2",BH407,0),2)</f>
        <v>0</v>
      </c>
      <c r="AG407" s="35">
        <f>ROUND(IF(AQ407="2",BI407,0),2)</f>
        <v>0</v>
      </c>
      <c r="AH407" s="35">
        <f>ROUND(IF(AQ407="0",BJ407,0),2)</f>
        <v>0</v>
      </c>
      <c r="AI407" s="12" t="s">
        <v>1022</v>
      </c>
      <c r="AJ407" s="35">
        <f>IF(AN407=0,L407,0)</f>
        <v>0</v>
      </c>
      <c r="AK407" s="35">
        <f>IF(AN407=15,L407,0)</f>
        <v>0</v>
      </c>
      <c r="AL407" s="35">
        <f>IF(AN407=21,L407,0)</f>
        <v>0</v>
      </c>
      <c r="AN407" s="35">
        <v>21</v>
      </c>
      <c r="AO407" s="35">
        <f>H407*1</f>
        <v>0</v>
      </c>
      <c r="AP407" s="35">
        <f>H407*(1-1)</f>
        <v>0</v>
      </c>
      <c r="AQ407" s="38" t="s">
        <v>196</v>
      </c>
      <c r="AV407" s="35">
        <f>ROUND(AW407+AX407,2)</f>
        <v>0</v>
      </c>
      <c r="AW407" s="35">
        <f>ROUND(G407*AO407,2)</f>
        <v>0</v>
      </c>
      <c r="AX407" s="35">
        <f>ROUND(G407*AP407,2)</f>
        <v>0</v>
      </c>
      <c r="AY407" s="38" t="s">
        <v>197</v>
      </c>
      <c r="AZ407" s="38" t="s">
        <v>1198</v>
      </c>
      <c r="BA407" s="12" t="s">
        <v>1031</v>
      </c>
      <c r="BC407" s="35">
        <f>AW407+AX407</f>
        <v>0</v>
      </c>
      <c r="BD407" s="35">
        <f>H407/(100-BE407)*100</f>
        <v>0</v>
      </c>
      <c r="BE407" s="35">
        <v>0</v>
      </c>
      <c r="BF407" s="35">
        <f>O407</f>
        <v>2.5899999999999999E-3</v>
      </c>
      <c r="BH407" s="35">
        <f>G407*AO407</f>
        <v>0</v>
      </c>
      <c r="BI407" s="35">
        <f>G407*AP407</f>
        <v>0</v>
      </c>
      <c r="BJ407" s="35">
        <f>G407*H407</f>
        <v>0</v>
      </c>
      <c r="BK407" s="38" t="s">
        <v>156</v>
      </c>
      <c r="BL407" s="35"/>
      <c r="BW407" s="35">
        <f>I407</f>
        <v>21</v>
      </c>
      <c r="BX407" s="4" t="s">
        <v>1201</v>
      </c>
    </row>
    <row r="408" spans="1:76" x14ac:dyDescent="0.25">
      <c r="A408" s="31" t="s">
        <v>55</v>
      </c>
      <c r="B408" s="32" t="s">
        <v>1202</v>
      </c>
      <c r="C408" s="32" t="s">
        <v>55</v>
      </c>
      <c r="D408" s="128" t="s">
        <v>1203</v>
      </c>
      <c r="E408" s="129"/>
      <c r="F408" s="33" t="s">
        <v>4</v>
      </c>
      <c r="G408" s="33" t="s">
        <v>4</v>
      </c>
      <c r="H408" s="33" t="s">
        <v>4</v>
      </c>
      <c r="I408" s="33" t="s">
        <v>4</v>
      </c>
      <c r="J408" s="1">
        <f>J409</f>
        <v>0</v>
      </c>
      <c r="K408" s="1">
        <f>K409</f>
        <v>0</v>
      </c>
      <c r="L408" s="1">
        <f>L409</f>
        <v>0</v>
      </c>
      <c r="M408" s="1">
        <f>M409</f>
        <v>0</v>
      </c>
      <c r="N408" s="12" t="s">
        <v>55</v>
      </c>
      <c r="O408" s="1">
        <f>O409</f>
        <v>0</v>
      </c>
      <c r="P408" s="34" t="s">
        <v>55</v>
      </c>
    </row>
    <row r="409" spans="1:76" x14ac:dyDescent="0.25">
      <c r="A409" s="31" t="s">
        <v>55</v>
      </c>
      <c r="B409" s="32" t="s">
        <v>1202</v>
      </c>
      <c r="C409" s="32" t="s">
        <v>1204</v>
      </c>
      <c r="D409" s="128" t="s">
        <v>1205</v>
      </c>
      <c r="E409" s="129"/>
      <c r="F409" s="33" t="s">
        <v>4</v>
      </c>
      <c r="G409" s="33" t="s">
        <v>4</v>
      </c>
      <c r="H409" s="33" t="s">
        <v>4</v>
      </c>
      <c r="I409" s="33" t="s">
        <v>4</v>
      </c>
      <c r="J409" s="1">
        <f>SUM(J410:J414)</f>
        <v>0</v>
      </c>
      <c r="K409" s="1">
        <f>SUM(K410:K414)</f>
        <v>0</v>
      </c>
      <c r="L409" s="1">
        <f>SUM(L410:L414)</f>
        <v>0</v>
      </c>
      <c r="M409" s="1">
        <f>SUM(M410:M414)</f>
        <v>0</v>
      </c>
      <c r="N409" s="12" t="s">
        <v>55</v>
      </c>
      <c r="O409" s="1">
        <f>SUM(O410:O414)</f>
        <v>0</v>
      </c>
      <c r="P409" s="34" t="s">
        <v>55</v>
      </c>
      <c r="AI409" s="12" t="s">
        <v>1202</v>
      </c>
      <c r="AS409" s="1">
        <f>SUM(AJ410:AJ414)</f>
        <v>0</v>
      </c>
      <c r="AT409" s="1">
        <f>SUM(AK410:AK414)</f>
        <v>0</v>
      </c>
      <c r="AU409" s="1">
        <f>SUM(AL410:AL414)</f>
        <v>0</v>
      </c>
    </row>
    <row r="410" spans="1:76" x14ac:dyDescent="0.25">
      <c r="A410" s="2" t="s">
        <v>1206</v>
      </c>
      <c r="B410" s="3" t="s">
        <v>1202</v>
      </c>
      <c r="C410" s="3" t="s">
        <v>1207</v>
      </c>
      <c r="D410" s="70" t="s">
        <v>1208</v>
      </c>
      <c r="E410" s="71"/>
      <c r="F410" s="3" t="s">
        <v>155</v>
      </c>
      <c r="G410" s="35">
        <v>1</v>
      </c>
      <c r="H410" s="68">
        <v>0</v>
      </c>
      <c r="I410" s="36">
        <v>21</v>
      </c>
      <c r="J410" s="35">
        <f>ROUND(G410*AO410,2)</f>
        <v>0</v>
      </c>
      <c r="K410" s="35">
        <f>ROUND(G410*AP410,2)</f>
        <v>0</v>
      </c>
      <c r="L410" s="35">
        <f>ROUND(G410*H410,2)</f>
        <v>0</v>
      </c>
      <c r="M410" s="35">
        <f>L410*(1+BW410/100)</f>
        <v>0</v>
      </c>
      <c r="N410" s="35">
        <v>0</v>
      </c>
      <c r="O410" s="35">
        <f>G410*N410</f>
        <v>0</v>
      </c>
      <c r="P410" s="37" t="s">
        <v>64</v>
      </c>
      <c r="Z410" s="35">
        <f>ROUND(IF(AQ410="5",BJ410,0),2)</f>
        <v>0</v>
      </c>
      <c r="AB410" s="35">
        <f>ROUND(IF(AQ410="1",BH410,0),2)</f>
        <v>0</v>
      </c>
      <c r="AC410" s="35">
        <f>ROUND(IF(AQ410="1",BI410,0),2)</f>
        <v>0</v>
      </c>
      <c r="AD410" s="35">
        <f>ROUND(IF(AQ410="7",BH410,0),2)</f>
        <v>0</v>
      </c>
      <c r="AE410" s="35">
        <f>ROUND(IF(AQ410="7",BI410,0),2)</f>
        <v>0</v>
      </c>
      <c r="AF410" s="35">
        <f>ROUND(IF(AQ410="2",BH410,0),2)</f>
        <v>0</v>
      </c>
      <c r="AG410" s="35">
        <f>ROUND(IF(AQ410="2",BI410,0),2)</f>
        <v>0</v>
      </c>
      <c r="AH410" s="35">
        <f>ROUND(IF(AQ410="0",BJ410,0),2)</f>
        <v>0</v>
      </c>
      <c r="AI410" s="12" t="s">
        <v>1202</v>
      </c>
      <c r="AJ410" s="35">
        <f>IF(AN410=0,L410,0)</f>
        <v>0</v>
      </c>
      <c r="AK410" s="35">
        <f>IF(AN410=15,L410,0)</f>
        <v>0</v>
      </c>
      <c r="AL410" s="35">
        <f>IF(AN410=21,L410,0)</f>
        <v>0</v>
      </c>
      <c r="AN410" s="35">
        <v>21</v>
      </c>
      <c r="AO410" s="35">
        <f>H410*0</f>
        <v>0</v>
      </c>
      <c r="AP410" s="35">
        <f>H410*(1-0)</f>
        <v>0</v>
      </c>
      <c r="AQ410" s="38" t="s">
        <v>60</v>
      </c>
      <c r="AV410" s="35">
        <f>ROUND(AW410+AX410,2)</f>
        <v>0</v>
      </c>
      <c r="AW410" s="35">
        <f>ROUND(G410*AO410,2)</f>
        <v>0</v>
      </c>
      <c r="AX410" s="35">
        <f>ROUND(G410*AP410,2)</f>
        <v>0</v>
      </c>
      <c r="AY410" s="38" t="s">
        <v>1209</v>
      </c>
      <c r="AZ410" s="38" t="s">
        <v>1210</v>
      </c>
      <c r="BA410" s="12" t="s">
        <v>1211</v>
      </c>
      <c r="BC410" s="35">
        <f>AW410+AX410</f>
        <v>0</v>
      </c>
      <c r="BD410" s="35">
        <f>H410/(100-BE410)*100</f>
        <v>0</v>
      </c>
      <c r="BE410" s="35">
        <v>0</v>
      </c>
      <c r="BF410" s="35">
        <f>O410</f>
        <v>0</v>
      </c>
      <c r="BH410" s="35">
        <f>G410*AO410</f>
        <v>0</v>
      </c>
      <c r="BI410" s="35">
        <f>G410*AP410</f>
        <v>0</v>
      </c>
      <c r="BJ410" s="35">
        <f>G410*H410</f>
        <v>0</v>
      </c>
      <c r="BK410" s="38" t="s">
        <v>69</v>
      </c>
      <c r="BL410" s="35"/>
      <c r="BW410" s="35">
        <f>I410</f>
        <v>21</v>
      </c>
      <c r="BX410" s="4" t="s">
        <v>1208</v>
      </c>
    </row>
    <row r="411" spans="1:76" x14ac:dyDescent="0.25">
      <c r="A411" s="2" t="s">
        <v>1212</v>
      </c>
      <c r="B411" s="3" t="s">
        <v>1202</v>
      </c>
      <c r="C411" s="3" t="s">
        <v>1213</v>
      </c>
      <c r="D411" s="70" t="s">
        <v>1214</v>
      </c>
      <c r="E411" s="71"/>
      <c r="F411" s="3" t="s">
        <v>155</v>
      </c>
      <c r="G411" s="35">
        <v>1</v>
      </c>
      <c r="H411" s="68">
        <v>0</v>
      </c>
      <c r="I411" s="36">
        <v>21</v>
      </c>
      <c r="J411" s="35">
        <f>ROUND(G411*AO411,2)</f>
        <v>0</v>
      </c>
      <c r="K411" s="35">
        <f>ROUND(G411*AP411,2)</f>
        <v>0</v>
      </c>
      <c r="L411" s="35">
        <f>ROUND(G411*H411,2)</f>
        <v>0</v>
      </c>
      <c r="M411" s="35">
        <f>L411*(1+BW411/100)</f>
        <v>0</v>
      </c>
      <c r="N411" s="35">
        <v>0</v>
      </c>
      <c r="O411" s="35">
        <f>G411*N411</f>
        <v>0</v>
      </c>
      <c r="P411" s="37" t="s">
        <v>64</v>
      </c>
      <c r="Z411" s="35">
        <f>ROUND(IF(AQ411="5",BJ411,0),2)</f>
        <v>0</v>
      </c>
      <c r="AB411" s="35">
        <f>ROUND(IF(AQ411="1",BH411,0),2)</f>
        <v>0</v>
      </c>
      <c r="AC411" s="35">
        <f>ROUND(IF(AQ411="1",BI411,0),2)</f>
        <v>0</v>
      </c>
      <c r="AD411" s="35">
        <f>ROUND(IF(AQ411="7",BH411,0),2)</f>
        <v>0</v>
      </c>
      <c r="AE411" s="35">
        <f>ROUND(IF(AQ411="7",BI411,0),2)</f>
        <v>0</v>
      </c>
      <c r="AF411" s="35">
        <f>ROUND(IF(AQ411="2",BH411,0),2)</f>
        <v>0</v>
      </c>
      <c r="AG411" s="35">
        <f>ROUND(IF(AQ411="2",BI411,0),2)</f>
        <v>0</v>
      </c>
      <c r="AH411" s="35">
        <f>ROUND(IF(AQ411="0",BJ411,0),2)</f>
        <v>0</v>
      </c>
      <c r="AI411" s="12" t="s">
        <v>1202</v>
      </c>
      <c r="AJ411" s="35">
        <f>IF(AN411=0,L411,0)</f>
        <v>0</v>
      </c>
      <c r="AK411" s="35">
        <f>IF(AN411=15,L411,0)</f>
        <v>0</v>
      </c>
      <c r="AL411" s="35">
        <f>IF(AN411=21,L411,0)</f>
        <v>0</v>
      </c>
      <c r="AN411" s="35">
        <v>21</v>
      </c>
      <c r="AO411" s="35">
        <f>H411*0</f>
        <v>0</v>
      </c>
      <c r="AP411" s="35">
        <f>H411*(1-0)</f>
        <v>0</v>
      </c>
      <c r="AQ411" s="38" t="s">
        <v>60</v>
      </c>
      <c r="AV411" s="35">
        <f>ROUND(AW411+AX411,2)</f>
        <v>0</v>
      </c>
      <c r="AW411" s="35">
        <f>ROUND(G411*AO411,2)</f>
        <v>0</v>
      </c>
      <c r="AX411" s="35">
        <f>ROUND(G411*AP411,2)</f>
        <v>0</v>
      </c>
      <c r="AY411" s="38" t="s">
        <v>1209</v>
      </c>
      <c r="AZ411" s="38" t="s">
        <v>1210</v>
      </c>
      <c r="BA411" s="12" t="s">
        <v>1211</v>
      </c>
      <c r="BC411" s="35">
        <f>AW411+AX411</f>
        <v>0</v>
      </c>
      <c r="BD411" s="35">
        <f>H411/(100-BE411)*100</f>
        <v>0</v>
      </c>
      <c r="BE411" s="35">
        <v>0</v>
      </c>
      <c r="BF411" s="35">
        <f>O411</f>
        <v>0</v>
      </c>
      <c r="BH411" s="35">
        <f>G411*AO411</f>
        <v>0</v>
      </c>
      <c r="BI411" s="35">
        <f>G411*AP411</f>
        <v>0</v>
      </c>
      <c r="BJ411" s="35">
        <f>G411*H411</f>
        <v>0</v>
      </c>
      <c r="BK411" s="38" t="s">
        <v>69</v>
      </c>
      <c r="BL411" s="35"/>
      <c r="BW411" s="35">
        <f>I411</f>
        <v>21</v>
      </c>
      <c r="BX411" s="4" t="s">
        <v>1214</v>
      </c>
    </row>
    <row r="412" spans="1:76" x14ac:dyDescent="0.25">
      <c r="A412" s="2" t="s">
        <v>1215</v>
      </c>
      <c r="B412" s="3" t="s">
        <v>1202</v>
      </c>
      <c r="C412" s="3" t="s">
        <v>1216</v>
      </c>
      <c r="D412" s="70" t="s">
        <v>1217</v>
      </c>
      <c r="E412" s="71"/>
      <c r="F412" s="3" t="s">
        <v>155</v>
      </c>
      <c r="G412" s="35">
        <v>1</v>
      </c>
      <c r="H412" s="68">
        <v>0</v>
      </c>
      <c r="I412" s="36">
        <v>21</v>
      </c>
      <c r="J412" s="35">
        <f>ROUND(G412*AO412,2)</f>
        <v>0</v>
      </c>
      <c r="K412" s="35">
        <f>ROUND(G412*AP412,2)</f>
        <v>0</v>
      </c>
      <c r="L412" s="35">
        <f>ROUND(G412*H412,2)</f>
        <v>0</v>
      </c>
      <c r="M412" s="35">
        <f>L412*(1+BW412/100)</f>
        <v>0</v>
      </c>
      <c r="N412" s="35">
        <v>0</v>
      </c>
      <c r="O412" s="35">
        <f>G412*N412</f>
        <v>0</v>
      </c>
      <c r="P412" s="37" t="s">
        <v>64</v>
      </c>
      <c r="Z412" s="35">
        <f>ROUND(IF(AQ412="5",BJ412,0),2)</f>
        <v>0</v>
      </c>
      <c r="AB412" s="35">
        <f>ROUND(IF(AQ412="1",BH412,0),2)</f>
        <v>0</v>
      </c>
      <c r="AC412" s="35">
        <f>ROUND(IF(AQ412="1",BI412,0),2)</f>
        <v>0</v>
      </c>
      <c r="AD412" s="35">
        <f>ROUND(IF(AQ412="7",BH412,0),2)</f>
        <v>0</v>
      </c>
      <c r="AE412" s="35">
        <f>ROUND(IF(AQ412="7",BI412,0),2)</f>
        <v>0</v>
      </c>
      <c r="AF412" s="35">
        <f>ROUND(IF(AQ412="2",BH412,0),2)</f>
        <v>0</v>
      </c>
      <c r="AG412" s="35">
        <f>ROUND(IF(AQ412="2",BI412,0),2)</f>
        <v>0</v>
      </c>
      <c r="AH412" s="35">
        <f>ROUND(IF(AQ412="0",BJ412,0),2)</f>
        <v>0</v>
      </c>
      <c r="AI412" s="12" t="s">
        <v>1202</v>
      </c>
      <c r="AJ412" s="35">
        <f>IF(AN412=0,L412,0)</f>
        <v>0</v>
      </c>
      <c r="AK412" s="35">
        <f>IF(AN412=15,L412,0)</f>
        <v>0</v>
      </c>
      <c r="AL412" s="35">
        <f>IF(AN412=21,L412,0)</f>
        <v>0</v>
      </c>
      <c r="AN412" s="35">
        <v>21</v>
      </c>
      <c r="AO412" s="35">
        <f>H412*0</f>
        <v>0</v>
      </c>
      <c r="AP412" s="35">
        <f>H412*(1-0)</f>
        <v>0</v>
      </c>
      <c r="AQ412" s="38" t="s">
        <v>60</v>
      </c>
      <c r="AV412" s="35">
        <f>ROUND(AW412+AX412,2)</f>
        <v>0</v>
      </c>
      <c r="AW412" s="35">
        <f>ROUND(G412*AO412,2)</f>
        <v>0</v>
      </c>
      <c r="AX412" s="35">
        <f>ROUND(G412*AP412,2)</f>
        <v>0</v>
      </c>
      <c r="AY412" s="38" t="s">
        <v>1209</v>
      </c>
      <c r="AZ412" s="38" t="s">
        <v>1210</v>
      </c>
      <c r="BA412" s="12" t="s">
        <v>1211</v>
      </c>
      <c r="BC412" s="35">
        <f>AW412+AX412</f>
        <v>0</v>
      </c>
      <c r="BD412" s="35">
        <f>H412/(100-BE412)*100</f>
        <v>0</v>
      </c>
      <c r="BE412" s="35">
        <v>0</v>
      </c>
      <c r="BF412" s="35">
        <f>O412</f>
        <v>0</v>
      </c>
      <c r="BH412" s="35">
        <f>G412*AO412</f>
        <v>0</v>
      </c>
      <c r="BI412" s="35">
        <f>G412*AP412</f>
        <v>0</v>
      </c>
      <c r="BJ412" s="35">
        <f>G412*H412</f>
        <v>0</v>
      </c>
      <c r="BK412" s="38" t="s">
        <v>69</v>
      </c>
      <c r="BL412" s="35"/>
      <c r="BW412" s="35">
        <f>I412</f>
        <v>21</v>
      </c>
      <c r="BX412" s="4" t="s">
        <v>1217</v>
      </c>
    </row>
    <row r="413" spans="1:76" ht="25.5" x14ac:dyDescent="0.25">
      <c r="A413" s="2" t="s">
        <v>1218</v>
      </c>
      <c r="B413" s="3" t="s">
        <v>1202</v>
      </c>
      <c r="C413" s="3" t="s">
        <v>1219</v>
      </c>
      <c r="D413" s="70" t="s">
        <v>1220</v>
      </c>
      <c r="E413" s="71"/>
      <c r="F413" s="3" t="s">
        <v>155</v>
      </c>
      <c r="G413" s="35">
        <v>1</v>
      </c>
      <c r="H413" s="68">
        <v>0</v>
      </c>
      <c r="I413" s="36">
        <v>21</v>
      </c>
      <c r="J413" s="35">
        <f>ROUND(G413*AO413,2)</f>
        <v>0</v>
      </c>
      <c r="K413" s="35">
        <f>ROUND(G413*AP413,2)</f>
        <v>0</v>
      </c>
      <c r="L413" s="35">
        <f>ROUND(G413*H413,2)</f>
        <v>0</v>
      </c>
      <c r="M413" s="35">
        <f>L413*(1+BW413/100)</f>
        <v>0</v>
      </c>
      <c r="N413" s="35">
        <v>0</v>
      </c>
      <c r="O413" s="35">
        <f>G413*N413</f>
        <v>0</v>
      </c>
      <c r="P413" s="37" t="s">
        <v>64</v>
      </c>
      <c r="Z413" s="35">
        <f>ROUND(IF(AQ413="5",BJ413,0),2)</f>
        <v>0</v>
      </c>
      <c r="AB413" s="35">
        <f>ROUND(IF(AQ413="1",BH413,0),2)</f>
        <v>0</v>
      </c>
      <c r="AC413" s="35">
        <f>ROUND(IF(AQ413="1",BI413,0),2)</f>
        <v>0</v>
      </c>
      <c r="AD413" s="35">
        <f>ROUND(IF(AQ413="7",BH413,0),2)</f>
        <v>0</v>
      </c>
      <c r="AE413" s="35">
        <f>ROUND(IF(AQ413="7",BI413,0),2)</f>
        <v>0</v>
      </c>
      <c r="AF413" s="35">
        <f>ROUND(IF(AQ413="2",BH413,0),2)</f>
        <v>0</v>
      </c>
      <c r="AG413" s="35">
        <f>ROUND(IF(AQ413="2",BI413,0),2)</f>
        <v>0</v>
      </c>
      <c r="AH413" s="35">
        <f>ROUND(IF(AQ413="0",BJ413,0),2)</f>
        <v>0</v>
      </c>
      <c r="AI413" s="12" t="s">
        <v>1202</v>
      </c>
      <c r="AJ413" s="35">
        <f>IF(AN413=0,L413,0)</f>
        <v>0</v>
      </c>
      <c r="AK413" s="35">
        <f>IF(AN413=15,L413,0)</f>
        <v>0</v>
      </c>
      <c r="AL413" s="35">
        <f>IF(AN413=21,L413,0)</f>
        <v>0</v>
      </c>
      <c r="AN413" s="35">
        <v>21</v>
      </c>
      <c r="AO413" s="35">
        <f>H413*0</f>
        <v>0</v>
      </c>
      <c r="AP413" s="35">
        <f>H413*(1-0)</f>
        <v>0</v>
      </c>
      <c r="AQ413" s="38" t="s">
        <v>60</v>
      </c>
      <c r="AV413" s="35">
        <f>ROUND(AW413+AX413,2)</f>
        <v>0</v>
      </c>
      <c r="AW413" s="35">
        <f>ROUND(G413*AO413,2)</f>
        <v>0</v>
      </c>
      <c r="AX413" s="35">
        <f>ROUND(G413*AP413,2)</f>
        <v>0</v>
      </c>
      <c r="AY413" s="38" t="s">
        <v>1209</v>
      </c>
      <c r="AZ413" s="38" t="s">
        <v>1210</v>
      </c>
      <c r="BA413" s="12" t="s">
        <v>1211</v>
      </c>
      <c r="BC413" s="35">
        <f>AW413+AX413</f>
        <v>0</v>
      </c>
      <c r="BD413" s="35">
        <f>H413/(100-BE413)*100</f>
        <v>0</v>
      </c>
      <c r="BE413" s="35">
        <v>0</v>
      </c>
      <c r="BF413" s="35">
        <f>O413</f>
        <v>0</v>
      </c>
      <c r="BH413" s="35">
        <f>G413*AO413</f>
        <v>0</v>
      </c>
      <c r="BI413" s="35">
        <f>G413*AP413</f>
        <v>0</v>
      </c>
      <c r="BJ413" s="35">
        <f>G413*H413</f>
        <v>0</v>
      </c>
      <c r="BK413" s="38" t="s">
        <v>69</v>
      </c>
      <c r="BL413" s="35"/>
      <c r="BW413" s="35">
        <f>I413</f>
        <v>21</v>
      </c>
      <c r="BX413" s="4" t="s">
        <v>1220</v>
      </c>
    </row>
    <row r="414" spans="1:76" x14ac:dyDescent="0.25">
      <c r="A414" s="39" t="s">
        <v>1221</v>
      </c>
      <c r="B414" s="40" t="s">
        <v>1202</v>
      </c>
      <c r="C414" s="40" t="s">
        <v>1222</v>
      </c>
      <c r="D414" s="126" t="s">
        <v>1223</v>
      </c>
      <c r="E414" s="107"/>
      <c r="F414" s="40" t="s">
        <v>155</v>
      </c>
      <c r="G414" s="41">
        <v>1</v>
      </c>
      <c r="H414" s="69">
        <v>0</v>
      </c>
      <c r="I414" s="42">
        <v>21</v>
      </c>
      <c r="J414" s="41">
        <f>ROUND(G414*AO414,2)</f>
        <v>0</v>
      </c>
      <c r="K414" s="41">
        <f>ROUND(G414*AP414,2)</f>
        <v>0</v>
      </c>
      <c r="L414" s="41">
        <f>ROUND(G414*H414,2)</f>
        <v>0</v>
      </c>
      <c r="M414" s="41">
        <f>L414*(1+BW414/100)</f>
        <v>0</v>
      </c>
      <c r="N414" s="41">
        <v>0</v>
      </c>
      <c r="O414" s="41">
        <f>G414*N414</f>
        <v>0</v>
      </c>
      <c r="P414" s="43" t="s">
        <v>64</v>
      </c>
      <c r="Z414" s="35">
        <f>ROUND(IF(AQ414="5",BJ414,0),2)</f>
        <v>0</v>
      </c>
      <c r="AB414" s="35">
        <f>ROUND(IF(AQ414="1",BH414,0),2)</f>
        <v>0</v>
      </c>
      <c r="AC414" s="35">
        <f>ROUND(IF(AQ414="1",BI414,0),2)</f>
        <v>0</v>
      </c>
      <c r="AD414" s="35">
        <f>ROUND(IF(AQ414="7",BH414,0),2)</f>
        <v>0</v>
      </c>
      <c r="AE414" s="35">
        <f>ROUND(IF(AQ414="7",BI414,0),2)</f>
        <v>0</v>
      </c>
      <c r="AF414" s="35">
        <f>ROUND(IF(AQ414="2",BH414,0),2)</f>
        <v>0</v>
      </c>
      <c r="AG414" s="35">
        <f>ROUND(IF(AQ414="2",BI414,0),2)</f>
        <v>0</v>
      </c>
      <c r="AH414" s="35">
        <f>ROUND(IF(AQ414="0",BJ414,0),2)</f>
        <v>0</v>
      </c>
      <c r="AI414" s="12" t="s">
        <v>1202</v>
      </c>
      <c r="AJ414" s="35">
        <f>IF(AN414=0,L414,0)</f>
        <v>0</v>
      </c>
      <c r="AK414" s="35">
        <f>IF(AN414=15,L414,0)</f>
        <v>0</v>
      </c>
      <c r="AL414" s="35">
        <f>IF(AN414=21,L414,0)</f>
        <v>0</v>
      </c>
      <c r="AN414" s="35">
        <v>21</v>
      </c>
      <c r="AO414" s="35">
        <f>H414*0</f>
        <v>0</v>
      </c>
      <c r="AP414" s="35">
        <f>H414*(1-0)</f>
        <v>0</v>
      </c>
      <c r="AQ414" s="38" t="s">
        <v>60</v>
      </c>
      <c r="AV414" s="35">
        <f>ROUND(AW414+AX414,2)</f>
        <v>0</v>
      </c>
      <c r="AW414" s="35">
        <f>ROUND(G414*AO414,2)</f>
        <v>0</v>
      </c>
      <c r="AX414" s="35">
        <f>ROUND(G414*AP414,2)</f>
        <v>0</v>
      </c>
      <c r="AY414" s="38" t="s">
        <v>1209</v>
      </c>
      <c r="AZ414" s="38" t="s">
        <v>1210</v>
      </c>
      <c r="BA414" s="12" t="s">
        <v>1211</v>
      </c>
      <c r="BC414" s="35">
        <f>AW414+AX414</f>
        <v>0</v>
      </c>
      <c r="BD414" s="35">
        <f>H414/(100-BE414)*100</f>
        <v>0</v>
      </c>
      <c r="BE414" s="35">
        <v>0</v>
      </c>
      <c r="BF414" s="35">
        <f>O414</f>
        <v>0</v>
      </c>
      <c r="BH414" s="35">
        <f>G414*AO414</f>
        <v>0</v>
      </c>
      <c r="BI414" s="35">
        <f>G414*AP414</f>
        <v>0</v>
      </c>
      <c r="BJ414" s="35">
        <f>G414*H414</f>
        <v>0</v>
      </c>
      <c r="BK414" s="38" t="s">
        <v>69</v>
      </c>
      <c r="BL414" s="35"/>
      <c r="BW414" s="35">
        <f>I414</f>
        <v>21</v>
      </c>
      <c r="BX414" s="4" t="s">
        <v>1223</v>
      </c>
    </row>
    <row r="415" spans="1:76" x14ac:dyDescent="0.25">
      <c r="J415" s="127" t="s">
        <v>1224</v>
      </c>
      <c r="K415" s="127"/>
      <c r="L415" s="44">
        <f>ROUND(L13+L43+L45+L48+L51+L53+L62+L87+L91+L108+L122+L140+L146+L156+L209+L211+L220+L222+L224+L226+L284+L295+L299+L329+L332+L337+L339+L342+L345+L347+L349+L351+L354+L358+L360+L362+L369+L371+L373+L377+L379+L382+L384+L386+L389+L396+L399+L405+L409,2)</f>
        <v>0</v>
      </c>
      <c r="M415" s="44">
        <f>ROUND(M13+M43+M45+M48+M51+M53+M62+M87+M91+M108+M122+M140+M146+M156+M209+M211+M220+M222+M224+M226+M284+M295+M299+M329+M332+M337+M339+M342+M345+M347+M349+M351+M354+M358+M360+M362+M369+M371+M373+M377+M379+M382+M384+M386+M389+M396+M399+M405+M409,2)</f>
        <v>0</v>
      </c>
    </row>
    <row r="416" spans="1:76" x14ac:dyDescent="0.25">
      <c r="A416" s="45" t="s">
        <v>1225</v>
      </c>
    </row>
    <row r="417" spans="1:16" ht="12.75" customHeight="1" x14ac:dyDescent="0.25">
      <c r="A417" s="70" t="s">
        <v>55</v>
      </c>
      <c r="B417" s="71"/>
      <c r="C417" s="71"/>
      <c r="D417" s="71"/>
      <c r="E417" s="71"/>
      <c r="F417" s="71"/>
      <c r="G417" s="71"/>
      <c r="H417" s="71"/>
      <c r="I417" s="71"/>
      <c r="J417" s="71"/>
      <c r="K417" s="71"/>
      <c r="L417" s="71"/>
      <c r="M417" s="71"/>
      <c r="N417" s="71"/>
      <c r="O417" s="71"/>
      <c r="P417" s="71"/>
    </row>
  </sheetData>
  <sheetProtection algorithmName="SHA-512" hashValue="6fKR26V6bJAZhPL2n3Mrk+Yfzni+bcqvwHnAzjLQTcp7omj8b2kSYwuncGj7HOERUO5Vur9C9LMb+3cHw4THUg==" saltValue="P+KlGEFaWrbanPQRzPr7ZA==" spinCount="100000" sheet="1" objects="1" scenarios="1"/>
  <mergeCells count="434">
    <mergeCell ref="A1:P1"/>
    <mergeCell ref="A2:C3"/>
    <mergeCell ref="A4:C5"/>
    <mergeCell ref="A6:C7"/>
    <mergeCell ref="A8:C9"/>
    <mergeCell ref="F2:G3"/>
    <mergeCell ref="F4:G5"/>
    <mergeCell ref="F6:G7"/>
    <mergeCell ref="F8:G9"/>
    <mergeCell ref="I2:J3"/>
    <mergeCell ref="I4:J5"/>
    <mergeCell ref="I6:J7"/>
    <mergeCell ref="I8:J9"/>
    <mergeCell ref="D2:E3"/>
    <mergeCell ref="D4:E5"/>
    <mergeCell ref="D6:E7"/>
    <mergeCell ref="D11:E11"/>
    <mergeCell ref="J10:L10"/>
    <mergeCell ref="N10:O10"/>
    <mergeCell ref="D12:E12"/>
    <mergeCell ref="D13:E13"/>
    <mergeCell ref="K2:P3"/>
    <mergeCell ref="K4:P5"/>
    <mergeCell ref="K6:P7"/>
    <mergeCell ref="K8:P9"/>
    <mergeCell ref="D10:E10"/>
    <mergeCell ref="D8:E9"/>
    <mergeCell ref="H2:H3"/>
    <mergeCell ref="H4:H5"/>
    <mergeCell ref="H6:H7"/>
    <mergeCell ref="H8:H9"/>
    <mergeCell ref="D19:E19"/>
    <mergeCell ref="D20:E20"/>
    <mergeCell ref="D21:E21"/>
    <mergeCell ref="D22:E22"/>
    <mergeCell ref="D23:E23"/>
    <mergeCell ref="D14:E14"/>
    <mergeCell ref="D15:E15"/>
    <mergeCell ref="D16:E16"/>
    <mergeCell ref="D17:E17"/>
    <mergeCell ref="D18:E18"/>
    <mergeCell ref="D29:E29"/>
    <mergeCell ref="D30:E30"/>
    <mergeCell ref="D31:E31"/>
    <mergeCell ref="D32:E32"/>
    <mergeCell ref="D33:E33"/>
    <mergeCell ref="D24:E24"/>
    <mergeCell ref="D25:E25"/>
    <mergeCell ref="D26:E26"/>
    <mergeCell ref="D27:E27"/>
    <mergeCell ref="D28:E28"/>
    <mergeCell ref="D39:E39"/>
    <mergeCell ref="D40:E40"/>
    <mergeCell ref="D41:E41"/>
    <mergeCell ref="D42:E42"/>
    <mergeCell ref="D43:E43"/>
    <mergeCell ref="D34:E34"/>
    <mergeCell ref="D35:E35"/>
    <mergeCell ref="D36:E36"/>
    <mergeCell ref="D37:E37"/>
    <mergeCell ref="D38:E38"/>
    <mergeCell ref="D49:E49"/>
    <mergeCell ref="D50:E50"/>
    <mergeCell ref="D51:E51"/>
    <mergeCell ref="D52:E52"/>
    <mergeCell ref="D53:E53"/>
    <mergeCell ref="D44:E44"/>
    <mergeCell ref="D45:E45"/>
    <mergeCell ref="D46:E46"/>
    <mergeCell ref="D47:E47"/>
    <mergeCell ref="D48:E48"/>
    <mergeCell ref="D59:E59"/>
    <mergeCell ref="D60:E60"/>
    <mergeCell ref="D61:E61"/>
    <mergeCell ref="D62:E62"/>
    <mergeCell ref="D63:E63"/>
    <mergeCell ref="D54:E54"/>
    <mergeCell ref="D55:E55"/>
    <mergeCell ref="D56:E56"/>
    <mergeCell ref="D57:E57"/>
    <mergeCell ref="D58:E58"/>
    <mergeCell ref="D69:E69"/>
    <mergeCell ref="D70:E70"/>
    <mergeCell ref="D71:E71"/>
    <mergeCell ref="D72:E72"/>
    <mergeCell ref="D73:E73"/>
    <mergeCell ref="D64:E64"/>
    <mergeCell ref="D65:E65"/>
    <mergeCell ref="D66:E66"/>
    <mergeCell ref="D67:E67"/>
    <mergeCell ref="D68:E68"/>
    <mergeCell ref="D79:E79"/>
    <mergeCell ref="D80:E80"/>
    <mergeCell ref="D81:E81"/>
    <mergeCell ref="D82:E82"/>
    <mergeCell ref="D83:E83"/>
    <mergeCell ref="D74:E74"/>
    <mergeCell ref="D75:E75"/>
    <mergeCell ref="D76:E76"/>
    <mergeCell ref="D77:E77"/>
    <mergeCell ref="D78:E78"/>
    <mergeCell ref="D89:E89"/>
    <mergeCell ref="D90:E90"/>
    <mergeCell ref="D91:E91"/>
    <mergeCell ref="D92:E92"/>
    <mergeCell ref="D93:E93"/>
    <mergeCell ref="D84:E84"/>
    <mergeCell ref="D85:E85"/>
    <mergeCell ref="D86:E86"/>
    <mergeCell ref="D87:E87"/>
    <mergeCell ref="D88:E88"/>
    <mergeCell ref="D99:E99"/>
    <mergeCell ref="D100:E100"/>
    <mergeCell ref="D101:E101"/>
    <mergeCell ref="D102:E102"/>
    <mergeCell ref="D103:E103"/>
    <mergeCell ref="D94:E94"/>
    <mergeCell ref="D95:E95"/>
    <mergeCell ref="D96:E96"/>
    <mergeCell ref="D97:E97"/>
    <mergeCell ref="D98:E98"/>
    <mergeCell ref="D109:E109"/>
    <mergeCell ref="D110:E110"/>
    <mergeCell ref="D111:E111"/>
    <mergeCell ref="D112:E112"/>
    <mergeCell ref="D113:E113"/>
    <mergeCell ref="D104:E104"/>
    <mergeCell ref="D105:E105"/>
    <mergeCell ref="D106:E106"/>
    <mergeCell ref="D107:E107"/>
    <mergeCell ref="D108:E108"/>
    <mergeCell ref="D119:E119"/>
    <mergeCell ref="D120:E120"/>
    <mergeCell ref="D121:E121"/>
    <mergeCell ref="D122:E122"/>
    <mergeCell ref="D123:E123"/>
    <mergeCell ref="D114:E114"/>
    <mergeCell ref="D115:E115"/>
    <mergeCell ref="D116:E116"/>
    <mergeCell ref="D117:E117"/>
    <mergeCell ref="D118:E118"/>
    <mergeCell ref="D129:E129"/>
    <mergeCell ref="D130:E130"/>
    <mergeCell ref="D131:E131"/>
    <mergeCell ref="D132:E132"/>
    <mergeCell ref="D133:E133"/>
    <mergeCell ref="D124:E124"/>
    <mergeCell ref="D125:E125"/>
    <mergeCell ref="D126:E126"/>
    <mergeCell ref="D127:E127"/>
    <mergeCell ref="D128:E128"/>
    <mergeCell ref="D139:E139"/>
    <mergeCell ref="D140:E140"/>
    <mergeCell ref="D141:E141"/>
    <mergeCell ref="D142:E142"/>
    <mergeCell ref="D143:E143"/>
    <mergeCell ref="D134:E134"/>
    <mergeCell ref="D135:E135"/>
    <mergeCell ref="D136:E136"/>
    <mergeCell ref="D137:E137"/>
    <mergeCell ref="D138:E138"/>
    <mergeCell ref="D149:E149"/>
    <mergeCell ref="D150:E150"/>
    <mergeCell ref="D151:E151"/>
    <mergeCell ref="D152:E152"/>
    <mergeCell ref="D153:E153"/>
    <mergeCell ref="D144:E144"/>
    <mergeCell ref="D145:E145"/>
    <mergeCell ref="D146:E146"/>
    <mergeCell ref="D147:E147"/>
    <mergeCell ref="D148:E148"/>
    <mergeCell ref="D159:E159"/>
    <mergeCell ref="D160:E160"/>
    <mergeCell ref="D161:E161"/>
    <mergeCell ref="D162:E162"/>
    <mergeCell ref="D163:E163"/>
    <mergeCell ref="D154:E154"/>
    <mergeCell ref="D155:E155"/>
    <mergeCell ref="D156:E156"/>
    <mergeCell ref="D157:E157"/>
    <mergeCell ref="D158:E158"/>
    <mergeCell ref="D169:E169"/>
    <mergeCell ref="D170:E170"/>
    <mergeCell ref="D171:E171"/>
    <mergeCell ref="D172:E172"/>
    <mergeCell ref="D173:E173"/>
    <mergeCell ref="D164:E164"/>
    <mergeCell ref="D165:E165"/>
    <mergeCell ref="D166:E166"/>
    <mergeCell ref="D167:E167"/>
    <mergeCell ref="D168:E168"/>
    <mergeCell ref="D179:E179"/>
    <mergeCell ref="D180:E180"/>
    <mergeCell ref="D181:E181"/>
    <mergeCell ref="D182:E182"/>
    <mergeCell ref="D183:E183"/>
    <mergeCell ref="D174:E174"/>
    <mergeCell ref="D175:E175"/>
    <mergeCell ref="D176:E176"/>
    <mergeCell ref="D177:E177"/>
    <mergeCell ref="D178:E178"/>
    <mergeCell ref="D189:E189"/>
    <mergeCell ref="D190:E190"/>
    <mergeCell ref="D191:E191"/>
    <mergeCell ref="D192:E192"/>
    <mergeCell ref="D193:E193"/>
    <mergeCell ref="D184:E184"/>
    <mergeCell ref="D185:E185"/>
    <mergeCell ref="D186:E186"/>
    <mergeCell ref="D187:E187"/>
    <mergeCell ref="D188:E188"/>
    <mergeCell ref="D199:E199"/>
    <mergeCell ref="D200:E200"/>
    <mergeCell ref="D201:E201"/>
    <mergeCell ref="D202:E202"/>
    <mergeCell ref="D203:E203"/>
    <mergeCell ref="D194:E194"/>
    <mergeCell ref="D195:E195"/>
    <mergeCell ref="D196:E196"/>
    <mergeCell ref="D197:E197"/>
    <mergeCell ref="D198:E198"/>
    <mergeCell ref="D209:E209"/>
    <mergeCell ref="D210:E210"/>
    <mergeCell ref="D211:E211"/>
    <mergeCell ref="D212:E212"/>
    <mergeCell ref="D213:E213"/>
    <mergeCell ref="D204:E204"/>
    <mergeCell ref="D205:E205"/>
    <mergeCell ref="D206:E206"/>
    <mergeCell ref="D207:E207"/>
    <mergeCell ref="D208:E208"/>
    <mergeCell ref="D219:E219"/>
    <mergeCell ref="D220:E220"/>
    <mergeCell ref="D221:E221"/>
    <mergeCell ref="D222:E222"/>
    <mergeCell ref="D223:E223"/>
    <mergeCell ref="D214:E214"/>
    <mergeCell ref="D215:E215"/>
    <mergeCell ref="D216:E216"/>
    <mergeCell ref="D217:E217"/>
    <mergeCell ref="D218:E218"/>
    <mergeCell ref="D229:E229"/>
    <mergeCell ref="D230:E230"/>
    <mergeCell ref="D231:E231"/>
    <mergeCell ref="D232:E232"/>
    <mergeCell ref="D233:E233"/>
    <mergeCell ref="D224:E224"/>
    <mergeCell ref="D225:E225"/>
    <mergeCell ref="D226:E226"/>
    <mergeCell ref="D227:E227"/>
    <mergeCell ref="D228:E228"/>
    <mergeCell ref="D239:E239"/>
    <mergeCell ref="D240:E240"/>
    <mergeCell ref="D241:E241"/>
    <mergeCell ref="D242:E242"/>
    <mergeCell ref="D243:E243"/>
    <mergeCell ref="D234:E234"/>
    <mergeCell ref="D235:E235"/>
    <mergeCell ref="D236:E236"/>
    <mergeCell ref="D237:E237"/>
    <mergeCell ref="D238:E238"/>
    <mergeCell ref="D249:E249"/>
    <mergeCell ref="D250:E250"/>
    <mergeCell ref="D251:E251"/>
    <mergeCell ref="D252:E252"/>
    <mergeCell ref="D253:E253"/>
    <mergeCell ref="D244:E244"/>
    <mergeCell ref="D245:E245"/>
    <mergeCell ref="D246:E246"/>
    <mergeCell ref="D247:E247"/>
    <mergeCell ref="D248:E248"/>
    <mergeCell ref="D259:E259"/>
    <mergeCell ref="D260:E260"/>
    <mergeCell ref="D261:E261"/>
    <mergeCell ref="D262:E262"/>
    <mergeCell ref="D263:E263"/>
    <mergeCell ref="D254:E254"/>
    <mergeCell ref="D255:E255"/>
    <mergeCell ref="D256:E256"/>
    <mergeCell ref="D257:E257"/>
    <mergeCell ref="D258:E258"/>
    <mergeCell ref="D269:E269"/>
    <mergeCell ref="D270:E270"/>
    <mergeCell ref="D271:E271"/>
    <mergeCell ref="D272:E272"/>
    <mergeCell ref="D273:E273"/>
    <mergeCell ref="D264:E264"/>
    <mergeCell ref="D265:E265"/>
    <mergeCell ref="D266:E266"/>
    <mergeCell ref="D267:E267"/>
    <mergeCell ref="D268:E268"/>
    <mergeCell ref="D279:E279"/>
    <mergeCell ref="D280:E280"/>
    <mergeCell ref="D281:E281"/>
    <mergeCell ref="D282:E282"/>
    <mergeCell ref="D283:E283"/>
    <mergeCell ref="D274:E274"/>
    <mergeCell ref="D275:E275"/>
    <mergeCell ref="D276:E276"/>
    <mergeCell ref="D277:E277"/>
    <mergeCell ref="D278:E278"/>
    <mergeCell ref="D289:E289"/>
    <mergeCell ref="D290:E290"/>
    <mergeCell ref="D291:E291"/>
    <mergeCell ref="D292:E292"/>
    <mergeCell ref="D293:E293"/>
    <mergeCell ref="D284:E284"/>
    <mergeCell ref="D285:E285"/>
    <mergeCell ref="D286:E286"/>
    <mergeCell ref="D287:E287"/>
    <mergeCell ref="D288:E288"/>
    <mergeCell ref="D299:E299"/>
    <mergeCell ref="D300:E300"/>
    <mergeCell ref="D301:E301"/>
    <mergeCell ref="D302:E302"/>
    <mergeCell ref="D303:E303"/>
    <mergeCell ref="D294:E294"/>
    <mergeCell ref="D295:E295"/>
    <mergeCell ref="D296:E296"/>
    <mergeCell ref="D297:E297"/>
    <mergeCell ref="D298:E298"/>
    <mergeCell ref="D309:E309"/>
    <mergeCell ref="D310:E310"/>
    <mergeCell ref="D311:E311"/>
    <mergeCell ref="D312:E312"/>
    <mergeCell ref="D313:E313"/>
    <mergeCell ref="D304:E304"/>
    <mergeCell ref="D305:E305"/>
    <mergeCell ref="D306:E306"/>
    <mergeCell ref="D307:E307"/>
    <mergeCell ref="D308:E308"/>
    <mergeCell ref="D319:E319"/>
    <mergeCell ref="D320:E320"/>
    <mergeCell ref="D321:E321"/>
    <mergeCell ref="D322:E322"/>
    <mergeCell ref="D323:E323"/>
    <mergeCell ref="D314:E314"/>
    <mergeCell ref="D315:E315"/>
    <mergeCell ref="D316:E316"/>
    <mergeCell ref="D317:E317"/>
    <mergeCell ref="D318:E318"/>
    <mergeCell ref="D329:E329"/>
    <mergeCell ref="D330:E330"/>
    <mergeCell ref="D331:E331"/>
    <mergeCell ref="D332:E332"/>
    <mergeCell ref="D333:E333"/>
    <mergeCell ref="D324:E324"/>
    <mergeCell ref="D325:E325"/>
    <mergeCell ref="D326:E326"/>
    <mergeCell ref="D327:E327"/>
    <mergeCell ref="D328:E328"/>
    <mergeCell ref="D339:E339"/>
    <mergeCell ref="D340:E340"/>
    <mergeCell ref="D341:E341"/>
    <mergeCell ref="D342:E342"/>
    <mergeCell ref="D343:E343"/>
    <mergeCell ref="D334:E334"/>
    <mergeCell ref="D335:E335"/>
    <mergeCell ref="D336:E336"/>
    <mergeCell ref="D337:E337"/>
    <mergeCell ref="D338:E338"/>
    <mergeCell ref="D349:E349"/>
    <mergeCell ref="D350:E350"/>
    <mergeCell ref="D351:E351"/>
    <mergeCell ref="D352:E352"/>
    <mergeCell ref="D353:E353"/>
    <mergeCell ref="D344:E344"/>
    <mergeCell ref="D345:E345"/>
    <mergeCell ref="D346:E346"/>
    <mergeCell ref="D347:E347"/>
    <mergeCell ref="D348:E348"/>
    <mergeCell ref="D359:E359"/>
    <mergeCell ref="D360:E360"/>
    <mergeCell ref="D361:E361"/>
    <mergeCell ref="D362:E362"/>
    <mergeCell ref="D363:E363"/>
    <mergeCell ref="D354:E354"/>
    <mergeCell ref="D355:E355"/>
    <mergeCell ref="D356:E356"/>
    <mergeCell ref="D357:E357"/>
    <mergeCell ref="D358:E358"/>
    <mergeCell ref="D369:E369"/>
    <mergeCell ref="D370:E370"/>
    <mergeCell ref="D371:E371"/>
    <mergeCell ref="D372:E372"/>
    <mergeCell ref="D373:E373"/>
    <mergeCell ref="D364:E364"/>
    <mergeCell ref="D365:E365"/>
    <mergeCell ref="D366:E366"/>
    <mergeCell ref="D367:E367"/>
    <mergeCell ref="D368:E368"/>
    <mergeCell ref="D379:E379"/>
    <mergeCell ref="D380:E380"/>
    <mergeCell ref="D381:E381"/>
    <mergeCell ref="D382:E382"/>
    <mergeCell ref="D383:E383"/>
    <mergeCell ref="D374:E374"/>
    <mergeCell ref="D375:E375"/>
    <mergeCell ref="D376:E376"/>
    <mergeCell ref="D377:E377"/>
    <mergeCell ref="D378:E378"/>
    <mergeCell ref="D389:E389"/>
    <mergeCell ref="D390:E390"/>
    <mergeCell ref="D391:E391"/>
    <mergeCell ref="D392:E392"/>
    <mergeCell ref="D393:E393"/>
    <mergeCell ref="D384:E384"/>
    <mergeCell ref="D385:E385"/>
    <mergeCell ref="D386:E386"/>
    <mergeCell ref="D387:E387"/>
    <mergeCell ref="D388:E388"/>
    <mergeCell ref="D399:E399"/>
    <mergeCell ref="D400:E400"/>
    <mergeCell ref="D401:E401"/>
    <mergeCell ref="D402:E402"/>
    <mergeCell ref="D403:E403"/>
    <mergeCell ref="D394:E394"/>
    <mergeCell ref="D395:E395"/>
    <mergeCell ref="D396:E396"/>
    <mergeCell ref="D397:E397"/>
    <mergeCell ref="D398:E398"/>
    <mergeCell ref="D414:E414"/>
    <mergeCell ref="J415:K415"/>
    <mergeCell ref="A417:P417"/>
    <mergeCell ref="D409:E409"/>
    <mergeCell ref="D410:E410"/>
    <mergeCell ref="D411:E411"/>
    <mergeCell ref="D412:E412"/>
    <mergeCell ref="D413:E413"/>
    <mergeCell ref="D404:E404"/>
    <mergeCell ref="D405:E405"/>
    <mergeCell ref="D406:E406"/>
    <mergeCell ref="D407:E407"/>
    <mergeCell ref="D408:E408"/>
  </mergeCells>
  <printOptions horizontalCentered="1"/>
  <pageMargins left="0.39370078740157483" right="0.39370078740157483" top="0.59055118110236227" bottom="0.59055118110236227" header="0" footer="0"/>
  <pageSetup paperSize="9" scale="5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6"/>
  <sheetViews>
    <sheetView workbookViewId="0">
      <selection activeCell="A36" sqref="A36:E36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2.85546875" customWidth="1"/>
    <col min="4" max="4" width="10" customWidth="1"/>
    <col min="5" max="5" width="14" customWidth="1"/>
    <col min="6" max="6" width="22.85546875" customWidth="1"/>
    <col min="7" max="7" width="9.140625" customWidth="1"/>
    <col min="8" max="8" width="17.140625" customWidth="1"/>
    <col min="9" max="9" width="22.85546875" customWidth="1"/>
  </cols>
  <sheetData>
    <row r="1" spans="1:9" ht="54.75" customHeight="1" x14ac:dyDescent="0.25">
      <c r="A1" s="111" t="s">
        <v>1270</v>
      </c>
      <c r="B1" s="112"/>
      <c r="C1" s="112"/>
      <c r="D1" s="112"/>
      <c r="E1" s="112"/>
      <c r="F1" s="112"/>
      <c r="G1" s="112"/>
      <c r="H1" s="112"/>
      <c r="I1" s="112"/>
    </row>
    <row r="2" spans="1:9" x14ac:dyDescent="0.25">
      <c r="A2" s="113" t="s">
        <v>1</v>
      </c>
      <c r="B2" s="114"/>
      <c r="C2" s="123" t="str">
        <f>'Stavební rozpočet'!D2</f>
        <v>Energetické úspory a využití OZE na budově ZŠ a Gymnázia Konice</v>
      </c>
      <c r="D2" s="124"/>
      <c r="E2" s="110" t="s">
        <v>5</v>
      </c>
      <c r="F2" s="110" t="str">
        <f>'Stavební rozpočet'!K2</f>
        <v> </v>
      </c>
      <c r="G2" s="114"/>
      <c r="H2" s="110" t="s">
        <v>1227</v>
      </c>
      <c r="I2" s="118" t="s">
        <v>55</v>
      </c>
    </row>
    <row r="3" spans="1:9" ht="25.5" customHeight="1" x14ac:dyDescent="0.25">
      <c r="A3" s="115"/>
      <c r="B3" s="71"/>
      <c r="C3" s="125"/>
      <c r="D3" s="125"/>
      <c r="E3" s="71"/>
      <c r="F3" s="71"/>
      <c r="G3" s="71"/>
      <c r="H3" s="71"/>
      <c r="I3" s="119"/>
    </row>
    <row r="4" spans="1:9" x14ac:dyDescent="0.25">
      <c r="A4" s="108" t="s">
        <v>7</v>
      </c>
      <c r="B4" s="71"/>
      <c r="C4" s="70" t="str">
        <f>'Stavební rozpočet'!D4</f>
        <v>D1 - Rekonstrukce zdroje tepla</v>
      </c>
      <c r="D4" s="71"/>
      <c r="E4" s="70" t="s">
        <v>10</v>
      </c>
      <c r="F4" s="70" t="str">
        <f>'Stavební rozpočet'!K4</f>
        <v>HEGAs, s.r.o., Kaštanová 182, 739 61 Třinec</v>
      </c>
      <c r="G4" s="71"/>
      <c r="H4" s="70" t="s">
        <v>1227</v>
      </c>
      <c r="I4" s="119" t="s">
        <v>1228</v>
      </c>
    </row>
    <row r="5" spans="1:9" ht="15" customHeight="1" x14ac:dyDescent="0.25">
      <c r="A5" s="115"/>
      <c r="B5" s="71"/>
      <c r="C5" s="71"/>
      <c r="D5" s="71"/>
      <c r="E5" s="71"/>
      <c r="F5" s="71"/>
      <c r="G5" s="71"/>
      <c r="H5" s="71"/>
      <c r="I5" s="119"/>
    </row>
    <row r="6" spans="1:9" x14ac:dyDescent="0.25">
      <c r="A6" s="108" t="s">
        <v>12</v>
      </c>
      <c r="B6" s="71"/>
      <c r="C6" s="70" t="str">
        <f>'Stavební rozpočet'!D6</f>
        <v>ZŠ a Gymnázium města Konice</v>
      </c>
      <c r="D6" s="71"/>
      <c r="E6" s="70" t="s">
        <v>15</v>
      </c>
      <c r="F6" s="70" t="str">
        <f>'Stavební rozpočet'!K6</f>
        <v> </v>
      </c>
      <c r="G6" s="71"/>
      <c r="H6" s="70" t="s">
        <v>1227</v>
      </c>
      <c r="I6" s="119" t="s">
        <v>55</v>
      </c>
    </row>
    <row r="7" spans="1:9" ht="15" customHeight="1" x14ac:dyDescent="0.25">
      <c r="A7" s="115"/>
      <c r="B7" s="71"/>
      <c r="C7" s="71"/>
      <c r="D7" s="71"/>
      <c r="E7" s="71"/>
      <c r="F7" s="71"/>
      <c r="G7" s="71"/>
      <c r="H7" s="71"/>
      <c r="I7" s="119"/>
    </row>
    <row r="8" spans="1:9" x14ac:dyDescent="0.25">
      <c r="A8" s="108" t="s">
        <v>9</v>
      </c>
      <c r="B8" s="71"/>
      <c r="C8" s="70" t="str">
        <f>'Stavební rozpočet'!H4</f>
        <v xml:space="preserve"> </v>
      </c>
      <c r="D8" s="71"/>
      <c r="E8" s="70" t="s">
        <v>14</v>
      </c>
      <c r="F8" s="70" t="str">
        <f>'Stavební rozpočet'!H6</f>
        <v xml:space="preserve"> </v>
      </c>
      <c r="G8" s="71"/>
      <c r="H8" s="71" t="s">
        <v>1229</v>
      </c>
      <c r="I8" s="122">
        <v>347</v>
      </c>
    </row>
    <row r="9" spans="1:9" x14ac:dyDescent="0.25">
      <c r="A9" s="115"/>
      <c r="B9" s="71"/>
      <c r="C9" s="71"/>
      <c r="D9" s="71"/>
      <c r="E9" s="71"/>
      <c r="F9" s="71"/>
      <c r="G9" s="71"/>
      <c r="H9" s="71"/>
      <c r="I9" s="119"/>
    </row>
    <row r="10" spans="1:9" x14ac:dyDescent="0.25">
      <c r="A10" s="108" t="s">
        <v>16</v>
      </c>
      <c r="B10" s="71"/>
      <c r="C10" s="70" t="str">
        <f>'Stavební rozpočet'!D8</f>
        <v xml:space="preserve"> </v>
      </c>
      <c r="D10" s="71"/>
      <c r="E10" s="70" t="s">
        <v>19</v>
      </c>
      <c r="F10" s="70" t="str">
        <f>'Stavební rozpočet'!K8</f>
        <v>Ing. Kawulok</v>
      </c>
      <c r="G10" s="71"/>
      <c r="H10" s="71" t="s">
        <v>1230</v>
      </c>
      <c r="I10" s="102" t="str">
        <f>'Stavební rozpočet'!H8</f>
        <v>23.04.2025</v>
      </c>
    </row>
    <row r="11" spans="1:9" x14ac:dyDescent="0.25">
      <c r="A11" s="109"/>
      <c r="B11" s="107"/>
      <c r="C11" s="107"/>
      <c r="D11" s="107"/>
      <c r="E11" s="107"/>
      <c r="F11" s="107"/>
      <c r="G11" s="107"/>
      <c r="H11" s="107"/>
      <c r="I11" s="103"/>
    </row>
    <row r="13" spans="1:9" ht="15.75" x14ac:dyDescent="0.25">
      <c r="A13" s="153" t="s">
        <v>1271</v>
      </c>
      <c r="B13" s="153"/>
      <c r="C13" s="153"/>
      <c r="D13" s="153"/>
      <c r="E13" s="153"/>
    </row>
    <row r="14" spans="1:9" x14ac:dyDescent="0.25">
      <c r="A14" s="154" t="s">
        <v>1272</v>
      </c>
      <c r="B14" s="155"/>
      <c r="C14" s="155"/>
      <c r="D14" s="155"/>
      <c r="E14" s="156"/>
      <c r="F14" s="60" t="s">
        <v>1273</v>
      </c>
      <c r="G14" s="60" t="s">
        <v>190</v>
      </c>
      <c r="H14" s="60" t="s">
        <v>1274</v>
      </c>
      <c r="I14" s="60" t="s">
        <v>1273</v>
      </c>
    </row>
    <row r="15" spans="1:9" x14ac:dyDescent="0.25">
      <c r="A15" s="160" t="s">
        <v>1240</v>
      </c>
      <c r="B15" s="161"/>
      <c r="C15" s="161"/>
      <c r="D15" s="161"/>
      <c r="E15" s="162"/>
      <c r="F15" s="61">
        <v>0</v>
      </c>
      <c r="G15" s="62" t="s">
        <v>55</v>
      </c>
      <c r="H15" s="62" t="s">
        <v>55</v>
      </c>
      <c r="I15" s="61">
        <f>F15</f>
        <v>0</v>
      </c>
    </row>
    <row r="16" spans="1:9" x14ac:dyDescent="0.25">
      <c r="A16" s="160" t="s">
        <v>1242</v>
      </c>
      <c r="B16" s="161"/>
      <c r="C16" s="161"/>
      <c r="D16" s="161"/>
      <c r="E16" s="162"/>
      <c r="F16" s="61">
        <v>0</v>
      </c>
      <c r="G16" s="62" t="s">
        <v>55</v>
      </c>
      <c r="H16" s="62" t="s">
        <v>55</v>
      </c>
      <c r="I16" s="61">
        <f>F16</f>
        <v>0</v>
      </c>
    </row>
    <row r="17" spans="1:9" x14ac:dyDescent="0.25">
      <c r="A17" s="157" t="s">
        <v>1245</v>
      </c>
      <c r="B17" s="158"/>
      <c r="C17" s="158"/>
      <c r="D17" s="158"/>
      <c r="E17" s="159"/>
      <c r="F17" s="63">
        <v>0</v>
      </c>
      <c r="G17" s="64" t="s">
        <v>55</v>
      </c>
      <c r="H17" s="64" t="s">
        <v>55</v>
      </c>
      <c r="I17" s="63">
        <f>F17</f>
        <v>0</v>
      </c>
    </row>
    <row r="18" spans="1:9" x14ac:dyDescent="0.25">
      <c r="A18" s="144" t="s">
        <v>1275</v>
      </c>
      <c r="B18" s="145"/>
      <c r="C18" s="145"/>
      <c r="D18" s="145"/>
      <c r="E18" s="146"/>
      <c r="F18" s="65" t="s">
        <v>55</v>
      </c>
      <c r="G18" s="66" t="s">
        <v>55</v>
      </c>
      <c r="H18" s="66" t="s">
        <v>55</v>
      </c>
      <c r="I18" s="67">
        <f>SUM(I15:I17)</f>
        <v>0</v>
      </c>
    </row>
    <row r="20" spans="1:9" x14ac:dyDescent="0.25">
      <c r="A20" s="154" t="s">
        <v>1237</v>
      </c>
      <c r="B20" s="155"/>
      <c r="C20" s="155"/>
      <c r="D20" s="155"/>
      <c r="E20" s="156"/>
      <c r="F20" s="60" t="s">
        <v>1273</v>
      </c>
      <c r="G20" s="60" t="s">
        <v>190</v>
      </c>
      <c r="H20" s="60" t="s">
        <v>1274</v>
      </c>
      <c r="I20" s="60" t="s">
        <v>1273</v>
      </c>
    </row>
    <row r="21" spans="1:9" x14ac:dyDescent="0.25">
      <c r="A21" s="160" t="s">
        <v>1241</v>
      </c>
      <c r="B21" s="161"/>
      <c r="C21" s="161"/>
      <c r="D21" s="161"/>
      <c r="E21" s="162"/>
      <c r="F21" s="62" t="s">
        <v>55</v>
      </c>
      <c r="G21" s="61">
        <v>1.5</v>
      </c>
      <c r="H21" s="61">
        <f>'Krycí list rozpočtu'!C22</f>
        <v>0</v>
      </c>
      <c r="I21" s="61">
        <f>ROUND((G21/100)*H21,2)</f>
        <v>0</v>
      </c>
    </row>
    <row r="22" spans="1:9" x14ac:dyDescent="0.25">
      <c r="A22" s="160" t="s">
        <v>1243</v>
      </c>
      <c r="B22" s="161"/>
      <c r="C22" s="161"/>
      <c r="D22" s="161"/>
      <c r="E22" s="162"/>
      <c r="F22" s="61">
        <v>0</v>
      </c>
      <c r="G22" s="62" t="s">
        <v>55</v>
      </c>
      <c r="H22" s="62" t="s">
        <v>55</v>
      </c>
      <c r="I22" s="61">
        <f>F22</f>
        <v>0</v>
      </c>
    </row>
    <row r="23" spans="1:9" x14ac:dyDescent="0.25">
      <c r="A23" s="160" t="s">
        <v>1246</v>
      </c>
      <c r="B23" s="161"/>
      <c r="C23" s="161"/>
      <c r="D23" s="161"/>
      <c r="E23" s="162"/>
      <c r="F23" s="61">
        <v>0</v>
      </c>
      <c r="G23" s="62" t="s">
        <v>55</v>
      </c>
      <c r="H23" s="62" t="s">
        <v>55</v>
      </c>
      <c r="I23" s="61">
        <f>F23</f>
        <v>0</v>
      </c>
    </row>
    <row r="24" spans="1:9" x14ac:dyDescent="0.25">
      <c r="A24" s="160" t="s">
        <v>1247</v>
      </c>
      <c r="B24" s="161"/>
      <c r="C24" s="161"/>
      <c r="D24" s="161"/>
      <c r="E24" s="162"/>
      <c r="F24" s="61">
        <v>0</v>
      </c>
      <c r="G24" s="62" t="s">
        <v>55</v>
      </c>
      <c r="H24" s="62" t="s">
        <v>55</v>
      </c>
      <c r="I24" s="61">
        <f>F24</f>
        <v>0</v>
      </c>
    </row>
    <row r="25" spans="1:9" x14ac:dyDescent="0.25">
      <c r="A25" s="160" t="s">
        <v>1249</v>
      </c>
      <c r="B25" s="161"/>
      <c r="C25" s="161"/>
      <c r="D25" s="161"/>
      <c r="E25" s="162"/>
      <c r="F25" s="61">
        <v>0</v>
      </c>
      <c r="G25" s="62" t="s">
        <v>55</v>
      </c>
      <c r="H25" s="62" t="s">
        <v>55</v>
      </c>
      <c r="I25" s="61">
        <f>F25</f>
        <v>0</v>
      </c>
    </row>
    <row r="26" spans="1:9" x14ac:dyDescent="0.25">
      <c r="A26" s="157" t="s">
        <v>1250</v>
      </c>
      <c r="B26" s="158"/>
      <c r="C26" s="158"/>
      <c r="D26" s="158"/>
      <c r="E26" s="159"/>
      <c r="F26" s="63">
        <v>0</v>
      </c>
      <c r="G26" s="64" t="s">
        <v>55</v>
      </c>
      <c r="H26" s="64" t="s">
        <v>55</v>
      </c>
      <c r="I26" s="63">
        <f>F26</f>
        <v>0</v>
      </c>
    </row>
    <row r="27" spans="1:9" x14ac:dyDescent="0.25">
      <c r="A27" s="144" t="s">
        <v>1276</v>
      </c>
      <c r="B27" s="145"/>
      <c r="C27" s="145"/>
      <c r="D27" s="145"/>
      <c r="E27" s="146"/>
      <c r="F27" s="65" t="s">
        <v>55</v>
      </c>
      <c r="G27" s="66" t="s">
        <v>55</v>
      </c>
      <c r="H27" s="66" t="s">
        <v>55</v>
      </c>
      <c r="I27" s="67">
        <f>SUM(I21:I26)</f>
        <v>0</v>
      </c>
    </row>
    <row r="29" spans="1:9" ht="15.75" x14ac:dyDescent="0.25">
      <c r="A29" s="147" t="s">
        <v>1277</v>
      </c>
      <c r="B29" s="148"/>
      <c r="C29" s="148"/>
      <c r="D29" s="148"/>
      <c r="E29" s="149"/>
      <c r="F29" s="150">
        <f>I18+I27</f>
        <v>0</v>
      </c>
      <c r="G29" s="151"/>
      <c r="H29" s="151"/>
      <c r="I29" s="152"/>
    </row>
    <row r="33" spans="1:9" ht="15.75" x14ac:dyDescent="0.25">
      <c r="A33" s="153" t="s">
        <v>1278</v>
      </c>
      <c r="B33" s="153"/>
      <c r="C33" s="153"/>
      <c r="D33" s="153"/>
      <c r="E33" s="153"/>
    </row>
    <row r="34" spans="1:9" x14ac:dyDescent="0.25">
      <c r="A34" s="154" t="s">
        <v>1279</v>
      </c>
      <c r="B34" s="155"/>
      <c r="C34" s="155"/>
      <c r="D34" s="155"/>
      <c r="E34" s="156"/>
      <c r="F34" s="60" t="s">
        <v>1273</v>
      </c>
      <c r="G34" s="60" t="s">
        <v>190</v>
      </c>
      <c r="H34" s="60" t="s">
        <v>1274</v>
      </c>
      <c r="I34" s="60" t="s">
        <v>1273</v>
      </c>
    </row>
    <row r="35" spans="1:9" x14ac:dyDescent="0.25">
      <c r="A35" s="157" t="s">
        <v>55</v>
      </c>
      <c r="B35" s="158"/>
      <c r="C35" s="158"/>
      <c r="D35" s="158"/>
      <c r="E35" s="159"/>
      <c r="F35" s="63">
        <v>0</v>
      </c>
      <c r="G35" s="64" t="s">
        <v>55</v>
      </c>
      <c r="H35" s="64" t="s">
        <v>55</v>
      </c>
      <c r="I35" s="63">
        <f>F35</f>
        <v>0</v>
      </c>
    </row>
    <row r="36" spans="1:9" x14ac:dyDescent="0.25">
      <c r="A36" s="144" t="s">
        <v>1280</v>
      </c>
      <c r="B36" s="145"/>
      <c r="C36" s="145"/>
      <c r="D36" s="145"/>
      <c r="E36" s="146"/>
      <c r="F36" s="65" t="s">
        <v>55</v>
      </c>
      <c r="G36" s="66" t="s">
        <v>55</v>
      </c>
      <c r="H36" s="66" t="s">
        <v>55</v>
      </c>
      <c r="I36" s="67">
        <f>SUM(I35:I35)</f>
        <v>0</v>
      </c>
    </row>
  </sheetData>
  <mergeCells count="51">
    <mergeCell ref="A1:I1"/>
    <mergeCell ref="A2:B3"/>
    <mergeCell ref="A4:B5"/>
    <mergeCell ref="A6:B7"/>
    <mergeCell ref="A8:B9"/>
    <mergeCell ref="H2:H3"/>
    <mergeCell ref="H4:H5"/>
    <mergeCell ref="H6:H7"/>
    <mergeCell ref="H8:H9"/>
    <mergeCell ref="I2:I3"/>
    <mergeCell ref="I4:I5"/>
    <mergeCell ref="I6:I7"/>
    <mergeCell ref="I8:I9"/>
    <mergeCell ref="E2:E3"/>
    <mergeCell ref="E4:E5"/>
    <mergeCell ref="E6:E7"/>
    <mergeCell ref="E8:E9"/>
    <mergeCell ref="E10:E11"/>
    <mergeCell ref="F2:G3"/>
    <mergeCell ref="F4:G5"/>
    <mergeCell ref="F6:G7"/>
    <mergeCell ref="F8:G9"/>
    <mergeCell ref="F10:G11"/>
    <mergeCell ref="C2:D3"/>
    <mergeCell ref="C4:D5"/>
    <mergeCell ref="C6:D7"/>
    <mergeCell ref="C8:D9"/>
    <mergeCell ref="C10:D11"/>
    <mergeCell ref="I10:I11"/>
    <mergeCell ref="A13:E13"/>
    <mergeCell ref="A14:E14"/>
    <mergeCell ref="A15:E15"/>
    <mergeCell ref="A16:E16"/>
    <mergeCell ref="H10:H11"/>
    <mergeCell ref="A10:B11"/>
    <mergeCell ref="A17:E17"/>
    <mergeCell ref="A18:E18"/>
    <mergeCell ref="A20:E20"/>
    <mergeCell ref="A21:E21"/>
    <mergeCell ref="A22:E22"/>
    <mergeCell ref="A23:E23"/>
    <mergeCell ref="A24:E24"/>
    <mergeCell ref="A25:E25"/>
    <mergeCell ref="A26:E26"/>
    <mergeCell ref="A27:E27"/>
    <mergeCell ref="A36:E36"/>
    <mergeCell ref="A29:E29"/>
    <mergeCell ref="F29:I29"/>
    <mergeCell ref="A33:E33"/>
    <mergeCell ref="A34:E34"/>
    <mergeCell ref="A35:E35"/>
  </mergeCells>
  <pageMargins left="0.393999993801117" right="0.393999993801117" top="0.59100002050399802" bottom="0.59100002050399802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Krycí list rozpočtu</vt:lpstr>
      <vt:lpstr>Stavební rozpočet</vt:lpstr>
      <vt:lpstr>VORN</vt:lpstr>
      <vt:lpstr>vorn_sum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Ivona Peštálová</cp:lastModifiedBy>
  <cp:lastPrinted>2025-05-12T08:39:55Z</cp:lastPrinted>
  <dcterms:created xsi:type="dcterms:W3CDTF">2021-06-10T20:06:38Z</dcterms:created>
  <dcterms:modified xsi:type="dcterms:W3CDTF">2025-06-12T07:03:36Z</dcterms:modified>
</cp:coreProperties>
</file>