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6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_PROJEKTY 2020\2020-003 Zámeček Brandýs nad Orlicí\DPS - ENERGETICKÉ ÚSPORY\_rozpočet\____ÚPRAVY VŘ 2024-06\"/>
    </mc:Choice>
  </mc:AlternateContent>
  <xr:revisionPtr revIDLastSave="0" documentId="13_ncr:1_{972561E7-F2B6-4410-B6FC-9C59942C9212}" xr6:coauthVersionLast="47" xr6:coauthVersionMax="47" xr10:uidLastSave="{00000000-0000-0000-0000-000000000000}"/>
  <bookViews>
    <workbookView xWindow="-120" yWindow="-120" windowWidth="29040" windowHeight="15840" activeTab="4" xr2:uid="{00000000-000D-0000-FFFF-FFFF00000000}"/>
  </bookViews>
  <sheets>
    <sheet name="Pokyny pro vyplnění" sheetId="11" r:id="rId1"/>
    <sheet name="Stavba" sheetId="1" r:id="rId2"/>
    <sheet name="VzorPolozky" sheetId="10" state="hidden" r:id="rId3"/>
    <sheet name="01 04 Pol" sheetId="12" r:id="rId4"/>
    <sheet name="příloha č.1 - zdroj a systém" sheetId="13" r:id="rId5"/>
    <sheet name="příloha č.2 - MAR" sheetId="14" r:id="rId6"/>
    <sheet name="příloha č.3 - primár TČ" sheetId="15" r:id="rId7"/>
  </sheets>
  <externalReferences>
    <externalReference r:id="rId8"/>
    <externalReference r:id="rId9"/>
  </externalReferences>
  <definedNames>
    <definedName name="CelkemDPHVypocet" localSheetId="1">Stavba!$H$42</definedName>
    <definedName name="CenaCelkem">Stavba!$G$29</definedName>
    <definedName name="CenaCelkemBezDPH">Stavba!$G$28</definedName>
    <definedName name="CenaCelkemVypocet" localSheetId="1">Stavba!$I$42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'01 04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'01 04 Pol'!$A$1:$Y$26</definedName>
    <definedName name="_xlnm.Print_Area" localSheetId="1">Stavba!$A$1:$J$53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Stavba!$F$42</definedName>
    <definedName name="ZakladDPHZakl">Stavba!$G$25</definedName>
    <definedName name="ZakladDPHZaklVypocet" localSheetId="1">Stavba!$G$42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81029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E17" i="14" l="1"/>
  <c r="E16" i="14"/>
  <c r="E15" i="14"/>
  <c r="E14" i="14"/>
  <c r="E13" i="14"/>
  <c r="E11" i="14"/>
  <c r="E10" i="14"/>
  <c r="G42" i="14"/>
  <c r="G41" i="14"/>
  <c r="G40" i="14"/>
  <c r="G39" i="14"/>
  <c r="G38" i="14"/>
  <c r="G48" i="14"/>
  <c r="G59" i="14"/>
  <c r="H78" i="14"/>
  <c r="H77" i="14"/>
  <c r="H76" i="14"/>
  <c r="H75" i="14"/>
  <c r="H74" i="14"/>
  <c r="H73" i="14"/>
  <c r="H72" i="14"/>
  <c r="H71" i="14"/>
  <c r="H70" i="14"/>
  <c r="H65" i="14"/>
  <c r="F105" i="14"/>
  <c r="E91" i="14"/>
  <c r="E90" i="14"/>
  <c r="E89" i="14"/>
  <c r="E88" i="14"/>
  <c r="E87" i="14"/>
  <c r="E86" i="14"/>
  <c r="E85" i="14"/>
  <c r="B84" i="14"/>
  <c r="E84" i="14" s="1"/>
  <c r="H82" i="14"/>
  <c r="H81" i="14"/>
  <c r="H69" i="14"/>
  <c r="H68" i="14"/>
  <c r="H67" i="14"/>
  <c r="H66" i="14"/>
  <c r="E66" i="14"/>
  <c r="H64" i="14"/>
  <c r="G61" i="14"/>
  <c r="G60" i="14"/>
  <c r="G58" i="14"/>
  <c r="G53" i="14"/>
  <c r="G52" i="14"/>
  <c r="G51" i="14"/>
  <c r="G50" i="14"/>
  <c r="G49" i="14"/>
  <c r="G47" i="14"/>
  <c r="G46" i="14"/>
  <c r="G45" i="14"/>
  <c r="G43" i="14"/>
  <c r="G37" i="14"/>
  <c r="G32" i="14"/>
  <c r="G28" i="14"/>
  <c r="G27" i="14"/>
  <c r="G26" i="14"/>
  <c r="G25" i="14"/>
  <c r="G24" i="14"/>
  <c r="G23" i="14"/>
  <c r="G22" i="14"/>
  <c r="G21" i="14"/>
  <c r="E12" i="14"/>
  <c r="E7" i="14"/>
  <c r="E18" i="14" l="1"/>
  <c r="G29" i="14"/>
  <c r="G54" i="14"/>
  <c r="G62" i="14"/>
  <c r="H79" i="14"/>
  <c r="H83" i="14"/>
  <c r="H84" i="14" s="1"/>
  <c r="F109" i="14" l="1"/>
  <c r="BW38" i="15"/>
  <c r="BJ38" i="15"/>
  <c r="BD38" i="15"/>
  <c r="AW38" i="15"/>
  <c r="AP38" i="15"/>
  <c r="AX38" i="15" s="1"/>
  <c r="AO38" i="15"/>
  <c r="BH38" i="15" s="1"/>
  <c r="AK38" i="15"/>
  <c r="AJ38" i="15"/>
  <c r="AH38" i="15"/>
  <c r="AG38" i="15"/>
  <c r="AF38" i="15"/>
  <c r="AE38" i="15"/>
  <c r="AD38" i="15"/>
  <c r="AC38" i="15"/>
  <c r="AB38" i="15"/>
  <c r="Z38" i="15"/>
  <c r="O38" i="15"/>
  <c r="BF38" i="15" s="1"/>
  <c r="L38" i="15"/>
  <c r="M38" i="15" s="1"/>
  <c r="J38" i="15"/>
  <c r="BW37" i="15"/>
  <c r="BJ37" i="15"/>
  <c r="AH37" i="15" s="1"/>
  <c r="BF37" i="15"/>
  <c r="BD37" i="15"/>
  <c r="AP37" i="15"/>
  <c r="BI37" i="15" s="1"/>
  <c r="AO37" i="15"/>
  <c r="BH37" i="15" s="1"/>
  <c r="AK37" i="15"/>
  <c r="AJ37" i="15"/>
  <c r="AG37" i="15"/>
  <c r="AF37" i="15"/>
  <c r="AE37" i="15"/>
  <c r="AD37" i="15"/>
  <c r="AC37" i="15"/>
  <c r="AB37" i="15"/>
  <c r="Z37" i="15"/>
  <c r="O37" i="15"/>
  <c r="L37" i="15"/>
  <c r="AL37" i="15" s="1"/>
  <c r="K37" i="15"/>
  <c r="BW35" i="15"/>
  <c r="BJ35" i="15"/>
  <c r="BD35" i="15"/>
  <c r="AP35" i="15"/>
  <c r="AX35" i="15" s="1"/>
  <c r="AO35" i="15"/>
  <c r="BH35" i="15" s="1"/>
  <c r="AK35" i="15"/>
  <c r="AJ35" i="15"/>
  <c r="AH35" i="15"/>
  <c r="AG35" i="15"/>
  <c r="AF35" i="15"/>
  <c r="AE35" i="15"/>
  <c r="AD35" i="15"/>
  <c r="AC35" i="15"/>
  <c r="AB35" i="15"/>
  <c r="Z35" i="15"/>
  <c r="O35" i="15"/>
  <c r="BF35" i="15" s="1"/>
  <c r="L35" i="15"/>
  <c r="AL35" i="15" s="1"/>
  <c r="K35" i="15"/>
  <c r="J35" i="15"/>
  <c r="BW34" i="15"/>
  <c r="BJ34" i="15"/>
  <c r="AH34" i="15" s="1"/>
  <c r="BF34" i="15"/>
  <c r="BD34" i="15"/>
  <c r="AP34" i="15"/>
  <c r="BI34" i="15" s="1"/>
  <c r="AO34" i="15"/>
  <c r="BH34" i="15" s="1"/>
  <c r="AK34" i="15"/>
  <c r="AJ34" i="15"/>
  <c r="AG34" i="15"/>
  <c r="AF34" i="15"/>
  <c r="AE34" i="15"/>
  <c r="AD34" i="15"/>
  <c r="AC34" i="15"/>
  <c r="AB34" i="15"/>
  <c r="Z34" i="15"/>
  <c r="O34" i="15"/>
  <c r="L34" i="15"/>
  <c r="AL34" i="15" s="1"/>
  <c r="K34" i="15"/>
  <c r="BW33" i="15"/>
  <c r="BJ33" i="15"/>
  <c r="BD33" i="15"/>
  <c r="AP33" i="15"/>
  <c r="AX33" i="15" s="1"/>
  <c r="AO33" i="15"/>
  <c r="BH33" i="15" s="1"/>
  <c r="AL33" i="15"/>
  <c r="AK33" i="15"/>
  <c r="AJ33" i="15"/>
  <c r="AH33" i="15"/>
  <c r="AG33" i="15"/>
  <c r="AF33" i="15"/>
  <c r="AE33" i="15"/>
  <c r="AD33" i="15"/>
  <c r="AC33" i="15"/>
  <c r="AB33" i="15"/>
  <c r="Z33" i="15"/>
  <c r="O33" i="15"/>
  <c r="BF33" i="15" s="1"/>
  <c r="M33" i="15"/>
  <c r="L33" i="15"/>
  <c r="K33" i="15"/>
  <c r="J33" i="15"/>
  <c r="BW31" i="15"/>
  <c r="BJ31" i="15"/>
  <c r="AH31" i="15" s="1"/>
  <c r="BF31" i="15"/>
  <c r="BD31" i="15"/>
  <c r="AP31" i="15"/>
  <c r="BI31" i="15" s="1"/>
  <c r="AO31" i="15"/>
  <c r="BH31" i="15" s="1"/>
  <c r="AK31" i="15"/>
  <c r="AJ31" i="15"/>
  <c r="AG31" i="15"/>
  <c r="AF31" i="15"/>
  <c r="AE31" i="15"/>
  <c r="AD31" i="15"/>
  <c r="AC31" i="15"/>
  <c r="AB31" i="15"/>
  <c r="Z31" i="15"/>
  <c r="O31" i="15"/>
  <c r="L31" i="15"/>
  <c r="AL31" i="15" s="1"/>
  <c r="K31" i="15"/>
  <c r="J31" i="15"/>
  <c r="BW30" i="15"/>
  <c r="BJ30" i="15"/>
  <c r="BD30" i="15"/>
  <c r="AW30" i="15"/>
  <c r="AP30" i="15"/>
  <c r="AX30" i="15" s="1"/>
  <c r="AO30" i="15"/>
  <c r="BH30" i="15" s="1"/>
  <c r="AK30" i="15"/>
  <c r="AJ30" i="15"/>
  <c r="AH30" i="15"/>
  <c r="AG30" i="15"/>
  <c r="AF30" i="15"/>
  <c r="AE30" i="15"/>
  <c r="AD30" i="15"/>
  <c r="AC30" i="15"/>
  <c r="AB30" i="15"/>
  <c r="Z30" i="15"/>
  <c r="O30" i="15"/>
  <c r="BF30" i="15" s="1"/>
  <c r="L30" i="15"/>
  <c r="K30" i="15"/>
  <c r="J30" i="15"/>
  <c r="BW28" i="15"/>
  <c r="BJ28" i="15"/>
  <c r="AH28" i="15" s="1"/>
  <c r="BF28" i="15"/>
  <c r="BD28" i="15"/>
  <c r="AP28" i="15"/>
  <c r="BI28" i="15" s="1"/>
  <c r="AO28" i="15"/>
  <c r="BH28" i="15" s="1"/>
  <c r="AK28" i="15"/>
  <c r="AJ28" i="15"/>
  <c r="AG28" i="15"/>
  <c r="AF28" i="15"/>
  <c r="AE28" i="15"/>
  <c r="AD28" i="15"/>
  <c r="AC28" i="15"/>
  <c r="AB28" i="15"/>
  <c r="Z28" i="15"/>
  <c r="O28" i="15"/>
  <c r="L28" i="15"/>
  <c r="AL28" i="15" s="1"/>
  <c r="BW27" i="15"/>
  <c r="BJ27" i="15"/>
  <c r="BD27" i="15"/>
  <c r="AP27" i="15"/>
  <c r="AX27" i="15" s="1"/>
  <c r="AO27" i="15"/>
  <c r="BH27" i="15" s="1"/>
  <c r="AK27" i="15"/>
  <c r="AJ27" i="15"/>
  <c r="AH27" i="15"/>
  <c r="AG27" i="15"/>
  <c r="AF27" i="15"/>
  <c r="AE27" i="15"/>
  <c r="AD27" i="15"/>
  <c r="AC27" i="15"/>
  <c r="AB27" i="15"/>
  <c r="Z27" i="15"/>
  <c r="O27" i="15"/>
  <c r="O25" i="15" s="1"/>
  <c r="M27" i="15"/>
  <c r="L27" i="15"/>
  <c r="AL27" i="15" s="1"/>
  <c r="K27" i="15"/>
  <c r="J27" i="15"/>
  <c r="BW26" i="15"/>
  <c r="BJ26" i="15"/>
  <c r="AH26" i="15" s="1"/>
  <c r="BF26" i="15"/>
  <c r="BD26" i="15"/>
  <c r="AP26" i="15"/>
  <c r="BI26" i="15" s="1"/>
  <c r="AO26" i="15"/>
  <c r="BH26" i="15" s="1"/>
  <c r="AK26" i="15"/>
  <c r="AJ26" i="15"/>
  <c r="AG26" i="15"/>
  <c r="AF26" i="15"/>
  <c r="AE26" i="15"/>
  <c r="AD26" i="15"/>
  <c r="AC26" i="15"/>
  <c r="AB26" i="15"/>
  <c r="Z26" i="15"/>
  <c r="O26" i="15"/>
  <c r="L26" i="15"/>
  <c r="AL26" i="15" s="1"/>
  <c r="J26" i="15"/>
  <c r="AS25" i="15"/>
  <c r="BW24" i="15"/>
  <c r="BJ24" i="15"/>
  <c r="BD24" i="15"/>
  <c r="AP24" i="15"/>
  <c r="AX24" i="15" s="1"/>
  <c r="AO24" i="15"/>
  <c r="BH24" i="15" s="1"/>
  <c r="AB24" i="15" s="1"/>
  <c r="AL24" i="15"/>
  <c r="AK24" i="15"/>
  <c r="AT21" i="15" s="1"/>
  <c r="AJ24" i="15"/>
  <c r="AH24" i="15"/>
  <c r="AG24" i="15"/>
  <c r="AF24" i="15"/>
  <c r="AE24" i="15"/>
  <c r="AD24" i="15"/>
  <c r="Z24" i="15"/>
  <c r="O24" i="15"/>
  <c r="O21" i="15" s="1"/>
  <c r="L24" i="15"/>
  <c r="J24" i="15"/>
  <c r="BW22" i="15"/>
  <c r="BJ22" i="15"/>
  <c r="BF22" i="15"/>
  <c r="BD22" i="15"/>
  <c r="AP22" i="15"/>
  <c r="BI22" i="15" s="1"/>
  <c r="AC22" i="15" s="1"/>
  <c r="AO22" i="15"/>
  <c r="BH22" i="15" s="1"/>
  <c r="AB22" i="15" s="1"/>
  <c r="AK22" i="15"/>
  <c r="AJ22" i="15"/>
  <c r="AH22" i="15"/>
  <c r="AG22" i="15"/>
  <c r="AF22" i="15"/>
  <c r="AE22" i="15"/>
  <c r="AD22" i="15"/>
  <c r="Z22" i="15"/>
  <c r="O22" i="15"/>
  <c r="L22" i="15"/>
  <c r="AL22" i="15" s="1"/>
  <c r="K22" i="15"/>
  <c r="AS21" i="15"/>
  <c r="BW20" i="15"/>
  <c r="BJ20" i="15"/>
  <c r="BD20" i="15"/>
  <c r="AP20" i="15"/>
  <c r="AX20" i="15" s="1"/>
  <c r="AO20" i="15"/>
  <c r="BH20" i="15" s="1"/>
  <c r="AD20" i="15" s="1"/>
  <c r="AK20" i="15"/>
  <c r="AJ20" i="15"/>
  <c r="AH20" i="15"/>
  <c r="AG20" i="15"/>
  <c r="AF20" i="15"/>
  <c r="AC20" i="15"/>
  <c r="AB20" i="15"/>
  <c r="Z20" i="15"/>
  <c r="O20" i="15"/>
  <c r="O18" i="15" s="1"/>
  <c r="L20" i="15"/>
  <c r="AL20" i="15" s="1"/>
  <c r="K20" i="15"/>
  <c r="K18" i="15" s="1"/>
  <c r="BW19" i="15"/>
  <c r="BJ19" i="15"/>
  <c r="BF19" i="15"/>
  <c r="BD19" i="15"/>
  <c r="AP19" i="15"/>
  <c r="BI19" i="15" s="1"/>
  <c r="AE19" i="15" s="1"/>
  <c r="AO19" i="15"/>
  <c r="BH19" i="15" s="1"/>
  <c r="AD19" i="15" s="1"/>
  <c r="AK19" i="15"/>
  <c r="AJ19" i="15"/>
  <c r="AH19" i="15"/>
  <c r="AG19" i="15"/>
  <c r="AF19" i="15"/>
  <c r="AC19" i="15"/>
  <c r="AB19" i="15"/>
  <c r="Z19" i="15"/>
  <c r="O19" i="15"/>
  <c r="L19" i="15"/>
  <c r="AL19" i="15" s="1"/>
  <c r="K19" i="15"/>
  <c r="J19" i="15"/>
  <c r="AS18" i="15"/>
  <c r="BW17" i="15"/>
  <c r="BJ17" i="15"/>
  <c r="BD17" i="15"/>
  <c r="AP17" i="15"/>
  <c r="AX17" i="15" s="1"/>
  <c r="AO17" i="15"/>
  <c r="BH17" i="15" s="1"/>
  <c r="AD17" i="15" s="1"/>
  <c r="AK17" i="15"/>
  <c r="AJ17" i="15"/>
  <c r="AH17" i="15"/>
  <c r="AG17" i="15"/>
  <c r="AF17" i="15"/>
  <c r="AC17" i="15"/>
  <c r="AB17" i="15"/>
  <c r="Z17" i="15"/>
  <c r="O17" i="15"/>
  <c r="BF17" i="15" s="1"/>
  <c r="L17" i="15"/>
  <c r="AL17" i="15" s="1"/>
  <c r="AU16" i="15" s="1"/>
  <c r="K17" i="15"/>
  <c r="AT16" i="15"/>
  <c r="AS16" i="15"/>
  <c r="O16" i="15"/>
  <c r="L16" i="15"/>
  <c r="K16" i="15"/>
  <c r="BW15" i="15"/>
  <c r="BJ15" i="15"/>
  <c r="BF15" i="15"/>
  <c r="BD15" i="15"/>
  <c r="AP15" i="15"/>
  <c r="BI15" i="15" s="1"/>
  <c r="AC15" i="15" s="1"/>
  <c r="AO15" i="15"/>
  <c r="BH15" i="15" s="1"/>
  <c r="AB15" i="15" s="1"/>
  <c r="AK15" i="15"/>
  <c r="AT14" i="15" s="1"/>
  <c r="AJ15" i="15"/>
  <c r="AS14" i="15" s="1"/>
  <c r="AH15" i="15"/>
  <c r="AG15" i="15"/>
  <c r="AF15" i="15"/>
  <c r="AE15" i="15"/>
  <c r="AD15" i="15"/>
  <c r="Z15" i="15"/>
  <c r="O15" i="15"/>
  <c r="L15" i="15"/>
  <c r="AL15" i="15" s="1"/>
  <c r="AU14" i="15" s="1"/>
  <c r="K15" i="15"/>
  <c r="J15" i="15"/>
  <c r="J14" i="15" s="1"/>
  <c r="O14" i="15"/>
  <c r="K14" i="15"/>
  <c r="BW13" i="15"/>
  <c r="BJ13" i="15"/>
  <c r="BD13" i="15"/>
  <c r="AP13" i="15"/>
  <c r="AX13" i="15" s="1"/>
  <c r="AO13" i="15"/>
  <c r="BH13" i="15" s="1"/>
  <c r="AB13" i="15" s="1"/>
  <c r="AL13" i="15"/>
  <c r="AU12" i="15" s="1"/>
  <c r="AK13" i="15"/>
  <c r="AT12" i="15" s="1"/>
  <c r="AJ13" i="15"/>
  <c r="AH13" i="15"/>
  <c r="AG13" i="15"/>
  <c r="AF13" i="15"/>
  <c r="AE13" i="15"/>
  <c r="AD13" i="15"/>
  <c r="Z13" i="15"/>
  <c r="O13" i="15"/>
  <c r="BF13" i="15" s="1"/>
  <c r="M13" i="15"/>
  <c r="M12" i="15" s="1"/>
  <c r="L13" i="15"/>
  <c r="K13" i="15"/>
  <c r="K12" i="15" s="1"/>
  <c r="J13" i="15"/>
  <c r="AS12" i="15"/>
  <c r="O12" i="15"/>
  <c r="L12" i="15"/>
  <c r="J12" i="15"/>
  <c r="AU1" i="15"/>
  <c r="AT1" i="15"/>
  <c r="AS1" i="15"/>
  <c r="AL38" i="15" l="1"/>
  <c r="K38" i="15"/>
  <c r="J37" i="15"/>
  <c r="L25" i="15"/>
  <c r="AW33" i="15"/>
  <c r="AW35" i="15"/>
  <c r="BC35" i="15" s="1"/>
  <c r="M35" i="15"/>
  <c r="J34" i="15"/>
  <c r="M30" i="15"/>
  <c r="AL30" i="15"/>
  <c r="J28" i="15"/>
  <c r="J25" i="15" s="1"/>
  <c r="K28" i="15"/>
  <c r="AW27" i="15"/>
  <c r="BC27" i="15" s="1"/>
  <c r="K26" i="15"/>
  <c r="AT25" i="15"/>
  <c r="K25" i="15"/>
  <c r="J22" i="15"/>
  <c r="J21" i="15"/>
  <c r="L21" i="15"/>
  <c r="AU21" i="15"/>
  <c r="AW24" i="15"/>
  <c r="K24" i="15"/>
  <c r="K21" i="15" s="1"/>
  <c r="M24" i="15"/>
  <c r="J17" i="15"/>
  <c r="J16" i="15" s="1"/>
  <c r="AW17" i="15"/>
  <c r="BC17" i="15" s="1"/>
  <c r="AU18" i="15"/>
  <c r="J20" i="15"/>
  <c r="AW20" i="15"/>
  <c r="BC20" i="15" s="1"/>
  <c r="J18" i="15"/>
  <c r="M17" i="15"/>
  <c r="M16" i="15" s="1"/>
  <c r="M20" i="15"/>
  <c r="L18" i="15"/>
  <c r="AT18" i="15"/>
  <c r="AW13" i="15"/>
  <c r="BC13" i="15" s="1"/>
  <c r="BC30" i="15"/>
  <c r="BC33" i="15"/>
  <c r="BC24" i="15"/>
  <c r="BC38" i="15"/>
  <c r="AU25" i="15"/>
  <c r="L14" i="15"/>
  <c r="L39" i="15" s="1"/>
  <c r="M15" i="15"/>
  <c r="M14" i="15" s="1"/>
  <c r="AW15" i="15"/>
  <c r="M19" i="15"/>
  <c r="AW19" i="15"/>
  <c r="BF20" i="15"/>
  <c r="M22" i="15"/>
  <c r="AW22" i="15"/>
  <c r="BF24" i="15"/>
  <c r="M26" i="15"/>
  <c r="AW26" i="15"/>
  <c r="BF27" i="15"/>
  <c r="M28" i="15"/>
  <c r="AW28" i="15"/>
  <c r="M31" i="15"/>
  <c r="AW31" i="15"/>
  <c r="M34" i="15"/>
  <c r="AW34" i="15"/>
  <c r="M37" i="15"/>
  <c r="AW37" i="15"/>
  <c r="AX15" i="15"/>
  <c r="AX19" i="15"/>
  <c r="AX22" i="15"/>
  <c r="AX26" i="15"/>
  <c r="AX28" i="15"/>
  <c r="AX31" i="15"/>
  <c r="AX34" i="15"/>
  <c r="AX37" i="15"/>
  <c r="BI17" i="15"/>
  <c r="AE17" i="15" s="1"/>
  <c r="BI20" i="15"/>
  <c r="AE20" i="15" s="1"/>
  <c r="BI24" i="15"/>
  <c r="AC24" i="15" s="1"/>
  <c r="BI27" i="15"/>
  <c r="BI30" i="15"/>
  <c r="BI33" i="15"/>
  <c r="BI35" i="15"/>
  <c r="BI38" i="15"/>
  <c r="AV13" i="15"/>
  <c r="AV17" i="15"/>
  <c r="AV20" i="15"/>
  <c r="AV24" i="15"/>
  <c r="AV27" i="15"/>
  <c r="AV30" i="15"/>
  <c r="AV33" i="15"/>
  <c r="AV35" i="15"/>
  <c r="AV38" i="15"/>
  <c r="BI13" i="15"/>
  <c r="AC13" i="15" s="1"/>
  <c r="M21" i="15" l="1"/>
  <c r="M18" i="15"/>
  <c r="BC31" i="15"/>
  <c r="AV31" i="15"/>
  <c r="BC22" i="15"/>
  <c r="AV22" i="15"/>
  <c r="BC19" i="15"/>
  <c r="AV19" i="15"/>
  <c r="BC28" i="15"/>
  <c r="AV28" i="15"/>
  <c r="BC37" i="15"/>
  <c r="AV37" i="15"/>
  <c r="BC26" i="15"/>
  <c r="AV26" i="15"/>
  <c r="BC15" i="15"/>
  <c r="AV15" i="15"/>
  <c r="BC34" i="15"/>
  <c r="AV34" i="15"/>
  <c r="M25" i="15"/>
  <c r="M39" i="15" l="1"/>
  <c r="BK316" i="13"/>
  <c r="BI316" i="13"/>
  <c r="BH316" i="13"/>
  <c r="BG316" i="13"/>
  <c r="BF316" i="13"/>
  <c r="BE316" i="13"/>
  <c r="T316" i="13"/>
  <c r="T315" i="13" s="1"/>
  <c r="T314" i="13" s="1"/>
  <c r="R316" i="13"/>
  <c r="R315" i="13" s="1"/>
  <c r="R314" i="13" s="1"/>
  <c r="P316" i="13"/>
  <c r="J316" i="13"/>
  <c r="BK315" i="13"/>
  <c r="P315" i="13"/>
  <c r="P314" i="13" s="1"/>
  <c r="J315" i="13"/>
  <c r="BK314" i="13"/>
  <c r="J314" i="13" s="1"/>
  <c r="J70" i="13" s="1"/>
  <c r="BK313" i="13"/>
  <c r="BI313" i="13"/>
  <c r="BH313" i="13"/>
  <c r="BG313" i="13"/>
  <c r="BF313" i="13"/>
  <c r="T313" i="13"/>
  <c r="R313" i="13"/>
  <c r="P313" i="13"/>
  <c r="J313" i="13"/>
  <c r="BE313" i="13" s="1"/>
  <c r="BK312" i="13"/>
  <c r="BI312" i="13"/>
  <c r="BH312" i="13"/>
  <c r="BG312" i="13"/>
  <c r="BF312" i="13"/>
  <c r="T312" i="13"/>
  <c r="R312" i="13"/>
  <c r="P312" i="13"/>
  <c r="J312" i="13"/>
  <c r="BE312" i="13" s="1"/>
  <c r="BK311" i="13"/>
  <c r="BK310" i="13" s="1"/>
  <c r="J310" i="13" s="1"/>
  <c r="J69" i="13" s="1"/>
  <c r="BI311" i="13"/>
  <c r="BH311" i="13"/>
  <c r="BG311" i="13"/>
  <c r="BF311" i="13"/>
  <c r="T311" i="13"/>
  <c r="T310" i="13" s="1"/>
  <c r="R311" i="13"/>
  <c r="R310" i="13" s="1"/>
  <c r="P311" i="13"/>
  <c r="P310" i="13" s="1"/>
  <c r="J311" i="13"/>
  <c r="BE311" i="13" s="1"/>
  <c r="BK309" i="13"/>
  <c r="BK308" i="13" s="1"/>
  <c r="J308" i="13" s="1"/>
  <c r="J68" i="13" s="1"/>
  <c r="BI309" i="13"/>
  <c r="BH309" i="13"/>
  <c r="BG309" i="13"/>
  <c r="BF309" i="13"/>
  <c r="BE309" i="13"/>
  <c r="T309" i="13"/>
  <c r="T308" i="13" s="1"/>
  <c r="R309" i="13"/>
  <c r="R308" i="13" s="1"/>
  <c r="P309" i="13"/>
  <c r="P308" i="13" s="1"/>
  <c r="J309" i="13"/>
  <c r="BK306" i="13"/>
  <c r="BI306" i="13"/>
  <c r="BH306" i="13"/>
  <c r="BG306" i="13"/>
  <c r="BF306" i="13"/>
  <c r="T306" i="13"/>
  <c r="R306" i="13"/>
  <c r="P306" i="13"/>
  <c r="J306" i="13"/>
  <c r="BE306" i="13" s="1"/>
  <c r="BK305" i="13"/>
  <c r="BI305" i="13"/>
  <c r="BH305" i="13"/>
  <c r="BG305" i="13"/>
  <c r="BF305" i="13"/>
  <c r="T305" i="13"/>
  <c r="R305" i="13"/>
  <c r="P305" i="13"/>
  <c r="J305" i="13"/>
  <c r="BE305" i="13" s="1"/>
  <c r="BK304" i="13"/>
  <c r="BI304" i="13"/>
  <c r="BH304" i="13"/>
  <c r="BG304" i="13"/>
  <c r="BF304" i="13"/>
  <c r="T304" i="13"/>
  <c r="R304" i="13"/>
  <c r="P304" i="13"/>
  <c r="J304" i="13"/>
  <c r="BE304" i="13" s="1"/>
  <c r="BK303" i="13"/>
  <c r="BI303" i="13"/>
  <c r="BH303" i="13"/>
  <c r="BG303" i="13"/>
  <c r="BF303" i="13"/>
  <c r="T303" i="13"/>
  <c r="R303" i="13"/>
  <c r="P303" i="13"/>
  <c r="J303" i="13"/>
  <c r="BE303" i="13" s="1"/>
  <c r="BK301" i="13"/>
  <c r="BI301" i="13"/>
  <c r="BH301" i="13"/>
  <c r="BG301" i="13"/>
  <c r="BF301" i="13"/>
  <c r="T301" i="13"/>
  <c r="R301" i="13"/>
  <c r="P301" i="13"/>
  <c r="J301" i="13"/>
  <c r="BE301" i="13" s="1"/>
  <c r="BK299" i="13"/>
  <c r="BI299" i="13"/>
  <c r="BH299" i="13"/>
  <c r="BG299" i="13"/>
  <c r="BF299" i="13"/>
  <c r="T299" i="13"/>
  <c r="R299" i="13"/>
  <c r="P299" i="13"/>
  <c r="J299" i="13"/>
  <c r="BE299" i="13" s="1"/>
  <c r="BK297" i="13"/>
  <c r="BI297" i="13"/>
  <c r="BH297" i="13"/>
  <c r="BG297" i="13"/>
  <c r="BF297" i="13"/>
  <c r="T297" i="13"/>
  <c r="R297" i="13"/>
  <c r="P297" i="13"/>
  <c r="J297" i="13"/>
  <c r="BE297" i="13" s="1"/>
  <c r="BK295" i="13"/>
  <c r="BI295" i="13"/>
  <c r="BH295" i="13"/>
  <c r="BG295" i="13"/>
  <c r="BF295" i="13"/>
  <c r="BE295" i="13"/>
  <c r="T295" i="13"/>
  <c r="R295" i="13"/>
  <c r="P295" i="13"/>
  <c r="J295" i="13"/>
  <c r="BK294" i="13"/>
  <c r="BI294" i="13"/>
  <c r="BH294" i="13"/>
  <c r="BG294" i="13"/>
  <c r="BF294" i="13"/>
  <c r="T294" i="13"/>
  <c r="R294" i="13"/>
  <c r="P294" i="13"/>
  <c r="J294" i="13"/>
  <c r="BE294" i="13" s="1"/>
  <c r="BK292" i="13"/>
  <c r="BI292" i="13"/>
  <c r="BH292" i="13"/>
  <c r="BG292" i="13"/>
  <c r="BF292" i="13"/>
  <c r="T292" i="13"/>
  <c r="R292" i="13"/>
  <c r="P292" i="13"/>
  <c r="J292" i="13"/>
  <c r="BE292" i="13" s="1"/>
  <c r="BK290" i="13"/>
  <c r="BI290" i="13"/>
  <c r="BH290" i="13"/>
  <c r="BG290" i="13"/>
  <c r="BF290" i="13"/>
  <c r="T290" i="13"/>
  <c r="R290" i="13"/>
  <c r="P290" i="13"/>
  <c r="J290" i="13"/>
  <c r="BE290" i="13" s="1"/>
  <c r="BK288" i="13"/>
  <c r="BI288" i="13"/>
  <c r="BH288" i="13"/>
  <c r="BG288" i="13"/>
  <c r="BF288" i="13"/>
  <c r="BE288" i="13"/>
  <c r="T288" i="13"/>
  <c r="R288" i="13"/>
  <c r="P288" i="13"/>
  <c r="J288" i="13"/>
  <c r="BK286" i="13"/>
  <c r="BI286" i="13"/>
  <c r="BH286" i="13"/>
  <c r="BG286" i="13"/>
  <c r="BF286" i="13"/>
  <c r="T286" i="13"/>
  <c r="R286" i="13"/>
  <c r="P286" i="13"/>
  <c r="J286" i="13"/>
  <c r="BE286" i="13" s="1"/>
  <c r="BK285" i="13"/>
  <c r="BI285" i="13"/>
  <c r="BH285" i="13"/>
  <c r="BG285" i="13"/>
  <c r="BF285" i="13"/>
  <c r="T285" i="13"/>
  <c r="R285" i="13"/>
  <c r="P285" i="13"/>
  <c r="J285" i="13"/>
  <c r="BE285" i="13" s="1"/>
  <c r="BK283" i="13"/>
  <c r="BI283" i="13"/>
  <c r="BH283" i="13"/>
  <c r="BG283" i="13"/>
  <c r="BF283" i="13"/>
  <c r="T283" i="13"/>
  <c r="R283" i="13"/>
  <c r="P283" i="13"/>
  <c r="J283" i="13"/>
  <c r="BE283" i="13" s="1"/>
  <c r="BK282" i="13"/>
  <c r="BI282" i="13"/>
  <c r="BH282" i="13"/>
  <c r="BG282" i="13"/>
  <c r="BF282" i="13"/>
  <c r="T282" i="13"/>
  <c r="R282" i="13"/>
  <c r="P282" i="13"/>
  <c r="J282" i="13"/>
  <c r="BE282" i="13" s="1"/>
  <c r="BK281" i="13"/>
  <c r="BI281" i="13"/>
  <c r="BH281" i="13"/>
  <c r="BG281" i="13"/>
  <c r="BF281" i="13"/>
  <c r="T281" i="13"/>
  <c r="R281" i="13"/>
  <c r="P281" i="13"/>
  <c r="J281" i="13"/>
  <c r="BE281" i="13" s="1"/>
  <c r="BK280" i="13"/>
  <c r="BI280" i="13"/>
  <c r="BH280" i="13"/>
  <c r="BG280" i="13"/>
  <c r="BF280" i="13"/>
  <c r="T280" i="13"/>
  <c r="R280" i="13"/>
  <c r="P280" i="13"/>
  <c r="J280" i="13"/>
  <c r="BE280" i="13" s="1"/>
  <c r="BK279" i="13"/>
  <c r="BI279" i="13"/>
  <c r="BH279" i="13"/>
  <c r="BG279" i="13"/>
  <c r="BF279" i="13"/>
  <c r="BE279" i="13"/>
  <c r="T279" i="13"/>
  <c r="R279" i="13"/>
  <c r="P279" i="13"/>
  <c r="J279" i="13"/>
  <c r="BK278" i="13"/>
  <c r="BI278" i="13"/>
  <c r="BH278" i="13"/>
  <c r="BG278" i="13"/>
  <c r="BF278" i="13"/>
  <c r="BE278" i="13"/>
  <c r="T278" i="13"/>
  <c r="R278" i="13"/>
  <c r="P278" i="13"/>
  <c r="J278" i="13"/>
  <c r="BK277" i="13"/>
  <c r="BI277" i="13"/>
  <c r="BH277" i="13"/>
  <c r="BG277" i="13"/>
  <c r="BF277" i="13"/>
  <c r="T277" i="13"/>
  <c r="R277" i="13"/>
  <c r="P277" i="13"/>
  <c r="J277" i="13"/>
  <c r="BE277" i="13" s="1"/>
  <c r="BK276" i="13"/>
  <c r="BI276" i="13"/>
  <c r="BH276" i="13"/>
  <c r="BG276" i="13"/>
  <c r="BF276" i="13"/>
  <c r="T276" i="13"/>
  <c r="R276" i="13"/>
  <c r="P276" i="13"/>
  <c r="J276" i="13"/>
  <c r="BE276" i="13" s="1"/>
  <c r="BK275" i="13"/>
  <c r="BI275" i="13"/>
  <c r="BH275" i="13"/>
  <c r="BG275" i="13"/>
  <c r="BF275" i="13"/>
  <c r="T275" i="13"/>
  <c r="R275" i="13"/>
  <c r="P275" i="13"/>
  <c r="J275" i="13"/>
  <c r="BE275" i="13" s="1"/>
  <c r="BK274" i="13"/>
  <c r="BI274" i="13"/>
  <c r="BH274" i="13"/>
  <c r="BG274" i="13"/>
  <c r="BF274" i="13"/>
  <c r="BE274" i="13"/>
  <c r="T274" i="13"/>
  <c r="R274" i="13"/>
  <c r="P274" i="13"/>
  <c r="J274" i="13"/>
  <c r="BK273" i="13"/>
  <c r="BI273" i="13"/>
  <c r="BH273" i="13"/>
  <c r="BG273" i="13"/>
  <c r="BF273" i="13"/>
  <c r="T273" i="13"/>
  <c r="R273" i="13"/>
  <c r="P273" i="13"/>
  <c r="J273" i="13"/>
  <c r="BE273" i="13" s="1"/>
  <c r="BK271" i="13"/>
  <c r="BI271" i="13"/>
  <c r="BH271" i="13"/>
  <c r="BG271" i="13"/>
  <c r="BF271" i="13"/>
  <c r="T271" i="13"/>
  <c r="R271" i="13"/>
  <c r="P271" i="13"/>
  <c r="J271" i="13"/>
  <c r="BE271" i="13" s="1"/>
  <c r="BK269" i="13"/>
  <c r="BI269" i="13"/>
  <c r="BH269" i="13"/>
  <c r="BG269" i="13"/>
  <c r="BF269" i="13"/>
  <c r="T269" i="13"/>
  <c r="R269" i="13"/>
  <c r="P269" i="13"/>
  <c r="J269" i="13"/>
  <c r="BE269" i="13" s="1"/>
  <c r="BK268" i="13"/>
  <c r="BI268" i="13"/>
  <c r="BH268" i="13"/>
  <c r="BG268" i="13"/>
  <c r="BF268" i="13"/>
  <c r="BE268" i="13"/>
  <c r="T268" i="13"/>
  <c r="R268" i="13"/>
  <c r="P268" i="13"/>
  <c r="J268" i="13"/>
  <c r="BK266" i="13"/>
  <c r="BI266" i="13"/>
  <c r="BH266" i="13"/>
  <c r="BG266" i="13"/>
  <c r="BF266" i="13"/>
  <c r="T266" i="13"/>
  <c r="R266" i="13"/>
  <c r="P266" i="13"/>
  <c r="J266" i="13"/>
  <c r="BE266" i="13" s="1"/>
  <c r="BK265" i="13"/>
  <c r="BI265" i="13"/>
  <c r="BH265" i="13"/>
  <c r="BG265" i="13"/>
  <c r="BF265" i="13"/>
  <c r="T265" i="13"/>
  <c r="R265" i="13"/>
  <c r="P265" i="13"/>
  <c r="J265" i="13"/>
  <c r="BE265" i="13" s="1"/>
  <c r="BK264" i="13"/>
  <c r="BI264" i="13"/>
  <c r="BH264" i="13"/>
  <c r="BG264" i="13"/>
  <c r="BF264" i="13"/>
  <c r="T264" i="13"/>
  <c r="R264" i="13"/>
  <c r="P264" i="13"/>
  <c r="J264" i="13"/>
  <c r="BE264" i="13" s="1"/>
  <c r="BK263" i="13"/>
  <c r="BI263" i="13"/>
  <c r="BH263" i="13"/>
  <c r="BG263" i="13"/>
  <c r="BF263" i="13"/>
  <c r="T263" i="13"/>
  <c r="R263" i="13"/>
  <c r="P263" i="13"/>
  <c r="J263" i="13"/>
  <c r="BE263" i="13" s="1"/>
  <c r="BK262" i="13"/>
  <c r="BI262" i="13"/>
  <c r="BH262" i="13"/>
  <c r="BG262" i="13"/>
  <c r="BF262" i="13"/>
  <c r="T262" i="13"/>
  <c r="R262" i="13"/>
  <c r="P262" i="13"/>
  <c r="J262" i="13"/>
  <c r="BE262" i="13" s="1"/>
  <c r="BK261" i="13"/>
  <c r="BI261" i="13"/>
  <c r="BH261" i="13"/>
  <c r="BG261" i="13"/>
  <c r="BF261" i="13"/>
  <c r="T261" i="13"/>
  <c r="R261" i="13"/>
  <c r="P261" i="13"/>
  <c r="J261" i="13"/>
  <c r="BE261" i="13" s="1"/>
  <c r="BK259" i="13"/>
  <c r="BI259" i="13"/>
  <c r="BH259" i="13"/>
  <c r="BG259" i="13"/>
  <c r="BF259" i="13"/>
  <c r="BE259" i="13"/>
  <c r="T259" i="13"/>
  <c r="R259" i="13"/>
  <c r="P259" i="13"/>
  <c r="J259" i="13"/>
  <c r="BK257" i="13"/>
  <c r="BI257" i="13"/>
  <c r="BH257" i="13"/>
  <c r="BG257" i="13"/>
  <c r="BF257" i="13"/>
  <c r="BE257" i="13"/>
  <c r="T257" i="13"/>
  <c r="R257" i="13"/>
  <c r="P257" i="13"/>
  <c r="J257" i="13"/>
  <c r="BK255" i="13"/>
  <c r="BI255" i="13"/>
  <c r="BH255" i="13"/>
  <c r="BG255" i="13"/>
  <c r="BF255" i="13"/>
  <c r="T255" i="13"/>
  <c r="R255" i="13"/>
  <c r="P255" i="13"/>
  <c r="J255" i="13"/>
  <c r="BE255" i="13" s="1"/>
  <c r="BK253" i="13"/>
  <c r="BI253" i="13"/>
  <c r="BH253" i="13"/>
  <c r="BG253" i="13"/>
  <c r="BF253" i="13"/>
  <c r="T253" i="13"/>
  <c r="R253" i="13"/>
  <c r="P253" i="13"/>
  <c r="J253" i="13"/>
  <c r="BE253" i="13" s="1"/>
  <c r="BK251" i="13"/>
  <c r="BI251" i="13"/>
  <c r="BH251" i="13"/>
  <c r="BG251" i="13"/>
  <c r="BF251" i="13"/>
  <c r="T251" i="13"/>
  <c r="R251" i="13"/>
  <c r="P251" i="13"/>
  <c r="J251" i="13"/>
  <c r="BE251" i="13" s="1"/>
  <c r="BK249" i="13"/>
  <c r="BI249" i="13"/>
  <c r="BH249" i="13"/>
  <c r="BG249" i="13"/>
  <c r="BF249" i="13"/>
  <c r="BE249" i="13"/>
  <c r="T249" i="13"/>
  <c r="R249" i="13"/>
  <c r="P249" i="13"/>
  <c r="J249" i="13"/>
  <c r="BK247" i="13"/>
  <c r="BK242" i="13" s="1"/>
  <c r="J242" i="13" s="1"/>
  <c r="J67" i="13" s="1"/>
  <c r="BI247" i="13"/>
  <c r="BH247" i="13"/>
  <c r="BG247" i="13"/>
  <c r="BF247" i="13"/>
  <c r="T247" i="13"/>
  <c r="R247" i="13"/>
  <c r="P247" i="13"/>
  <c r="J247" i="13"/>
  <c r="BE247" i="13" s="1"/>
  <c r="BK245" i="13"/>
  <c r="BI245" i="13"/>
  <c r="BH245" i="13"/>
  <c r="BG245" i="13"/>
  <c r="BF245" i="13"/>
  <c r="T245" i="13"/>
  <c r="R245" i="13"/>
  <c r="R242" i="13" s="1"/>
  <c r="P245" i="13"/>
  <c r="J245" i="13"/>
  <c r="BE245" i="13" s="1"/>
  <c r="BK243" i="13"/>
  <c r="BI243" i="13"/>
  <c r="BH243" i="13"/>
  <c r="BG243" i="13"/>
  <c r="BF243" i="13"/>
  <c r="T243" i="13"/>
  <c r="T242" i="13" s="1"/>
  <c r="R243" i="13"/>
  <c r="P243" i="13"/>
  <c r="J243" i="13"/>
  <c r="BE243" i="13" s="1"/>
  <c r="P242" i="13"/>
  <c r="BK240" i="13"/>
  <c r="BI240" i="13"/>
  <c r="BH240" i="13"/>
  <c r="BG240" i="13"/>
  <c r="BF240" i="13"/>
  <c r="T240" i="13"/>
  <c r="R240" i="13"/>
  <c r="P240" i="13"/>
  <c r="J240" i="13"/>
  <c r="BE240" i="13" s="1"/>
  <c r="BK238" i="13"/>
  <c r="BI238" i="13"/>
  <c r="BH238" i="13"/>
  <c r="BG238" i="13"/>
  <c r="BF238" i="13"/>
  <c r="T238" i="13"/>
  <c r="R238" i="13"/>
  <c r="P238" i="13"/>
  <c r="J238" i="13"/>
  <c r="BE238" i="13" s="1"/>
  <c r="BK236" i="13"/>
  <c r="BI236" i="13"/>
  <c r="BH236" i="13"/>
  <c r="BG236" i="13"/>
  <c r="BF236" i="13"/>
  <c r="T236" i="13"/>
  <c r="R236" i="13"/>
  <c r="P236" i="13"/>
  <c r="J236" i="13"/>
  <c r="BE236" i="13" s="1"/>
  <c r="BK234" i="13"/>
  <c r="BI234" i="13"/>
  <c r="BH234" i="13"/>
  <c r="BG234" i="13"/>
  <c r="BF234" i="13"/>
  <c r="BE234" i="13"/>
  <c r="T234" i="13"/>
  <c r="R234" i="13"/>
  <c r="P234" i="13"/>
  <c r="J234" i="13"/>
  <c r="BK232" i="13"/>
  <c r="BI232" i="13"/>
  <c r="BH232" i="13"/>
  <c r="BG232" i="13"/>
  <c r="BF232" i="13"/>
  <c r="BE232" i="13"/>
  <c r="T232" i="13"/>
  <c r="R232" i="13"/>
  <c r="P232" i="13"/>
  <c r="J232" i="13"/>
  <c r="BK230" i="13"/>
  <c r="BI230" i="13"/>
  <c r="BH230" i="13"/>
  <c r="BG230" i="13"/>
  <c r="BF230" i="13"/>
  <c r="T230" i="13"/>
  <c r="R230" i="13"/>
  <c r="P230" i="13"/>
  <c r="J230" i="13"/>
  <c r="BE230" i="13" s="1"/>
  <c r="BK228" i="13"/>
  <c r="BI228" i="13"/>
  <c r="BH228" i="13"/>
  <c r="BG228" i="13"/>
  <c r="BF228" i="13"/>
  <c r="T228" i="13"/>
  <c r="R228" i="13"/>
  <c r="P228" i="13"/>
  <c r="J228" i="13"/>
  <c r="BE228" i="13" s="1"/>
  <c r="BK226" i="13"/>
  <c r="BI226" i="13"/>
  <c r="BH226" i="13"/>
  <c r="BG226" i="13"/>
  <c r="BF226" i="13"/>
  <c r="T226" i="13"/>
  <c r="R226" i="13"/>
  <c r="P226" i="13"/>
  <c r="J226" i="13"/>
  <c r="BE226" i="13" s="1"/>
  <c r="BK224" i="13"/>
  <c r="BI224" i="13"/>
  <c r="BH224" i="13"/>
  <c r="BG224" i="13"/>
  <c r="BF224" i="13"/>
  <c r="BE224" i="13"/>
  <c r="T224" i="13"/>
  <c r="R224" i="13"/>
  <c r="P224" i="13"/>
  <c r="J224" i="13"/>
  <c r="BK222" i="13"/>
  <c r="BI222" i="13"/>
  <c r="BH222" i="13"/>
  <c r="BG222" i="13"/>
  <c r="BF222" i="13"/>
  <c r="T222" i="13"/>
  <c r="R222" i="13"/>
  <c r="P222" i="13"/>
  <c r="J222" i="13"/>
  <c r="BE222" i="13" s="1"/>
  <c r="BK220" i="13"/>
  <c r="BI220" i="13"/>
  <c r="BH220" i="13"/>
  <c r="BG220" i="13"/>
  <c r="BF220" i="13"/>
  <c r="T220" i="13"/>
  <c r="R220" i="13"/>
  <c r="P220" i="13"/>
  <c r="J220" i="13"/>
  <c r="BE220" i="13" s="1"/>
  <c r="BK218" i="13"/>
  <c r="BI218" i="13"/>
  <c r="BH218" i="13"/>
  <c r="BG218" i="13"/>
  <c r="BF218" i="13"/>
  <c r="T218" i="13"/>
  <c r="R218" i="13"/>
  <c r="P218" i="13"/>
  <c r="J218" i="13"/>
  <c r="BE218" i="13" s="1"/>
  <c r="BK216" i="13"/>
  <c r="BI216" i="13"/>
  <c r="BH216" i="13"/>
  <c r="BG216" i="13"/>
  <c r="BF216" i="13"/>
  <c r="T216" i="13"/>
  <c r="R216" i="13"/>
  <c r="P216" i="13"/>
  <c r="J216" i="13"/>
  <c r="BE216" i="13" s="1"/>
  <c r="BK214" i="13"/>
  <c r="BI214" i="13"/>
  <c r="BH214" i="13"/>
  <c r="BG214" i="13"/>
  <c r="BF214" i="13"/>
  <c r="T214" i="13"/>
  <c r="R214" i="13"/>
  <c r="P214" i="13"/>
  <c r="J214" i="13"/>
  <c r="BE214" i="13" s="1"/>
  <c r="BK212" i="13"/>
  <c r="BI212" i="13"/>
  <c r="BH212" i="13"/>
  <c r="BG212" i="13"/>
  <c r="BF212" i="13"/>
  <c r="T212" i="13"/>
  <c r="R212" i="13"/>
  <c r="P212" i="13"/>
  <c r="J212" i="13"/>
  <c r="BE212" i="13" s="1"/>
  <c r="BK211" i="13"/>
  <c r="BI211" i="13"/>
  <c r="BH211" i="13"/>
  <c r="BG211" i="13"/>
  <c r="BF211" i="13"/>
  <c r="BE211" i="13"/>
  <c r="T211" i="13"/>
  <c r="R211" i="13"/>
  <c r="P211" i="13"/>
  <c r="J211" i="13"/>
  <c r="BK210" i="13"/>
  <c r="BI210" i="13"/>
  <c r="BH210" i="13"/>
  <c r="BG210" i="13"/>
  <c r="BF210" i="13"/>
  <c r="T210" i="13"/>
  <c r="R210" i="13"/>
  <c r="P210" i="13"/>
  <c r="J210" i="13"/>
  <c r="BE210" i="13" s="1"/>
  <c r="BK208" i="13"/>
  <c r="BI208" i="13"/>
  <c r="BH208" i="13"/>
  <c r="BG208" i="13"/>
  <c r="BF208" i="13"/>
  <c r="T208" i="13"/>
  <c r="R208" i="13"/>
  <c r="P208" i="13"/>
  <c r="J208" i="13"/>
  <c r="BE208" i="13" s="1"/>
  <c r="BK207" i="13"/>
  <c r="BI207" i="13"/>
  <c r="BH207" i="13"/>
  <c r="BG207" i="13"/>
  <c r="BF207" i="13"/>
  <c r="T207" i="13"/>
  <c r="R207" i="13"/>
  <c r="P207" i="13"/>
  <c r="J207" i="13"/>
  <c r="BE207" i="13" s="1"/>
  <c r="BK205" i="13"/>
  <c r="BI205" i="13"/>
  <c r="BH205" i="13"/>
  <c r="BG205" i="13"/>
  <c r="BF205" i="13"/>
  <c r="BE205" i="13"/>
  <c r="T205" i="13"/>
  <c r="R205" i="13"/>
  <c r="P205" i="13"/>
  <c r="J205" i="13"/>
  <c r="BK204" i="13"/>
  <c r="BI204" i="13"/>
  <c r="BH204" i="13"/>
  <c r="BG204" i="13"/>
  <c r="BF204" i="13"/>
  <c r="BE204" i="13"/>
  <c r="T204" i="13"/>
  <c r="R204" i="13"/>
  <c r="P204" i="13"/>
  <c r="J204" i="13"/>
  <c r="BK203" i="13"/>
  <c r="BI203" i="13"/>
  <c r="BH203" i="13"/>
  <c r="BG203" i="13"/>
  <c r="BF203" i="13"/>
  <c r="T203" i="13"/>
  <c r="R203" i="13"/>
  <c r="P203" i="13"/>
  <c r="J203" i="13"/>
  <c r="BE203" i="13" s="1"/>
  <c r="BK202" i="13"/>
  <c r="BI202" i="13"/>
  <c r="BH202" i="13"/>
  <c r="BG202" i="13"/>
  <c r="BF202" i="13"/>
  <c r="T202" i="13"/>
  <c r="R202" i="13"/>
  <c r="P202" i="13"/>
  <c r="J202" i="13"/>
  <c r="BE202" i="13" s="1"/>
  <c r="BK201" i="13"/>
  <c r="BI201" i="13"/>
  <c r="BH201" i="13"/>
  <c r="BG201" i="13"/>
  <c r="BF201" i="13"/>
  <c r="T201" i="13"/>
  <c r="R201" i="13"/>
  <c r="P201" i="13"/>
  <c r="P198" i="13" s="1"/>
  <c r="J201" i="13"/>
  <c r="BE201" i="13" s="1"/>
  <c r="BK199" i="13"/>
  <c r="BI199" i="13"/>
  <c r="BH199" i="13"/>
  <c r="BG199" i="13"/>
  <c r="BF199" i="13"/>
  <c r="BE199" i="13"/>
  <c r="T199" i="13"/>
  <c r="T198" i="13" s="1"/>
  <c r="R199" i="13"/>
  <c r="R198" i="13" s="1"/>
  <c r="P199" i="13"/>
  <c r="J199" i="13"/>
  <c r="BK196" i="13"/>
  <c r="BI196" i="13"/>
  <c r="BH196" i="13"/>
  <c r="BG196" i="13"/>
  <c r="BF196" i="13"/>
  <c r="T196" i="13"/>
  <c r="R196" i="13"/>
  <c r="P196" i="13"/>
  <c r="J196" i="13"/>
  <c r="BE196" i="13" s="1"/>
  <c r="BK195" i="13"/>
  <c r="BI195" i="13"/>
  <c r="BH195" i="13"/>
  <c r="BG195" i="13"/>
  <c r="BF195" i="13"/>
  <c r="BE195" i="13"/>
  <c r="T195" i="13"/>
  <c r="R195" i="13"/>
  <c r="P195" i="13"/>
  <c r="J195" i="13"/>
  <c r="BK194" i="13"/>
  <c r="BI194" i="13"/>
  <c r="BH194" i="13"/>
  <c r="BG194" i="13"/>
  <c r="BF194" i="13"/>
  <c r="T194" i="13"/>
  <c r="R194" i="13"/>
  <c r="P194" i="13"/>
  <c r="J194" i="13"/>
  <c r="BE194" i="13" s="1"/>
  <c r="BK192" i="13"/>
  <c r="BI192" i="13"/>
  <c r="BH192" i="13"/>
  <c r="BG192" i="13"/>
  <c r="BF192" i="13"/>
  <c r="T192" i="13"/>
  <c r="R192" i="13"/>
  <c r="P192" i="13"/>
  <c r="J192" i="13"/>
  <c r="BE192" i="13" s="1"/>
  <c r="BK190" i="13"/>
  <c r="BI190" i="13"/>
  <c r="BH190" i="13"/>
  <c r="BG190" i="13"/>
  <c r="BF190" i="13"/>
  <c r="T190" i="13"/>
  <c r="R190" i="13"/>
  <c r="P190" i="13"/>
  <c r="J190" i="13"/>
  <c r="BE190" i="13" s="1"/>
  <c r="BK188" i="13"/>
  <c r="BI188" i="13"/>
  <c r="BH188" i="13"/>
  <c r="BG188" i="13"/>
  <c r="BF188" i="13"/>
  <c r="T188" i="13"/>
  <c r="R188" i="13"/>
  <c r="P188" i="13"/>
  <c r="J188" i="13"/>
  <c r="BE188" i="13" s="1"/>
  <c r="BK186" i="13"/>
  <c r="BI186" i="13"/>
  <c r="BH186" i="13"/>
  <c r="BG186" i="13"/>
  <c r="BF186" i="13"/>
  <c r="BE186" i="13"/>
  <c r="T186" i="13"/>
  <c r="R186" i="13"/>
  <c r="P186" i="13"/>
  <c r="J186" i="13"/>
  <c r="BK184" i="13"/>
  <c r="BI184" i="13"/>
  <c r="BH184" i="13"/>
  <c r="BG184" i="13"/>
  <c r="BF184" i="13"/>
  <c r="T184" i="13"/>
  <c r="R184" i="13"/>
  <c r="P184" i="13"/>
  <c r="J184" i="13"/>
  <c r="BE184" i="13" s="1"/>
  <c r="BK182" i="13"/>
  <c r="BI182" i="13"/>
  <c r="BH182" i="13"/>
  <c r="BG182" i="13"/>
  <c r="BF182" i="13"/>
  <c r="T182" i="13"/>
  <c r="R182" i="13"/>
  <c r="P182" i="13"/>
  <c r="J182" i="13"/>
  <c r="BE182" i="13" s="1"/>
  <c r="BK180" i="13"/>
  <c r="BI180" i="13"/>
  <c r="BH180" i="13"/>
  <c r="BG180" i="13"/>
  <c r="BF180" i="13"/>
  <c r="T180" i="13"/>
  <c r="R180" i="13"/>
  <c r="P180" i="13"/>
  <c r="J180" i="13"/>
  <c r="BE180" i="13" s="1"/>
  <c r="BK178" i="13"/>
  <c r="BI178" i="13"/>
  <c r="BH178" i="13"/>
  <c r="BG178" i="13"/>
  <c r="BF178" i="13"/>
  <c r="BE178" i="13"/>
  <c r="T178" i="13"/>
  <c r="R178" i="13"/>
  <c r="P178" i="13"/>
  <c r="J178" i="13"/>
  <c r="BK176" i="13"/>
  <c r="BI176" i="13"/>
  <c r="BH176" i="13"/>
  <c r="BG176" i="13"/>
  <c r="BF176" i="13"/>
  <c r="T176" i="13"/>
  <c r="R176" i="13"/>
  <c r="P176" i="13"/>
  <c r="J176" i="13"/>
  <c r="BE176" i="13" s="1"/>
  <c r="BK174" i="13"/>
  <c r="BI174" i="13"/>
  <c r="BH174" i="13"/>
  <c r="BG174" i="13"/>
  <c r="BF174" i="13"/>
  <c r="T174" i="13"/>
  <c r="R174" i="13"/>
  <c r="P174" i="13"/>
  <c r="J174" i="13"/>
  <c r="BE174" i="13" s="1"/>
  <c r="BK172" i="13"/>
  <c r="BI172" i="13"/>
  <c r="BH172" i="13"/>
  <c r="BG172" i="13"/>
  <c r="BF172" i="13"/>
  <c r="T172" i="13"/>
  <c r="R172" i="13"/>
  <c r="P172" i="13"/>
  <c r="J172" i="13"/>
  <c r="BE172" i="13" s="1"/>
  <c r="BK170" i="13"/>
  <c r="BI170" i="13"/>
  <c r="BH170" i="13"/>
  <c r="BG170" i="13"/>
  <c r="BF170" i="13"/>
  <c r="T170" i="13"/>
  <c r="R170" i="13"/>
  <c r="P170" i="13"/>
  <c r="J170" i="13"/>
  <c r="BE170" i="13" s="1"/>
  <c r="BK168" i="13"/>
  <c r="BI168" i="13"/>
  <c r="BH168" i="13"/>
  <c r="BG168" i="13"/>
  <c r="BF168" i="13"/>
  <c r="T168" i="13"/>
  <c r="R168" i="13"/>
  <c r="P168" i="13"/>
  <c r="J168" i="13"/>
  <c r="BE168" i="13" s="1"/>
  <c r="BK166" i="13"/>
  <c r="BI166" i="13"/>
  <c r="BH166" i="13"/>
  <c r="BG166" i="13"/>
  <c r="BF166" i="13"/>
  <c r="T166" i="13"/>
  <c r="T165" i="13" s="1"/>
  <c r="R166" i="13"/>
  <c r="R165" i="13" s="1"/>
  <c r="P166" i="13"/>
  <c r="P165" i="13" s="1"/>
  <c r="J166" i="13"/>
  <c r="BE166" i="13" s="1"/>
  <c r="BK163" i="13"/>
  <c r="BI163" i="13"/>
  <c r="BH163" i="13"/>
  <c r="BG163" i="13"/>
  <c r="BF163" i="13"/>
  <c r="T163" i="13"/>
  <c r="R163" i="13"/>
  <c r="P163" i="13"/>
  <c r="J163" i="13"/>
  <c r="BE163" i="13" s="1"/>
  <c r="BK162" i="13"/>
  <c r="BI162" i="13"/>
  <c r="BH162" i="13"/>
  <c r="BG162" i="13"/>
  <c r="BF162" i="13"/>
  <c r="BE162" i="13"/>
  <c r="T162" i="13"/>
  <c r="R162" i="13"/>
  <c r="P162" i="13"/>
  <c r="J162" i="13"/>
  <c r="BK161" i="13"/>
  <c r="BI161" i="13"/>
  <c r="BH161" i="13"/>
  <c r="BG161" i="13"/>
  <c r="BF161" i="13"/>
  <c r="T161" i="13"/>
  <c r="R161" i="13"/>
  <c r="P161" i="13"/>
  <c r="J161" i="13"/>
  <c r="BE161" i="13" s="1"/>
  <c r="BK160" i="13"/>
  <c r="BI160" i="13"/>
  <c r="BH160" i="13"/>
  <c r="BG160" i="13"/>
  <c r="BF160" i="13"/>
  <c r="T160" i="13"/>
  <c r="R160" i="13"/>
  <c r="P160" i="13"/>
  <c r="J160" i="13"/>
  <c r="BE160" i="13" s="1"/>
  <c r="BK159" i="13"/>
  <c r="BI159" i="13"/>
  <c r="BH159" i="13"/>
  <c r="BG159" i="13"/>
  <c r="BF159" i="13"/>
  <c r="T159" i="13"/>
  <c r="R159" i="13"/>
  <c r="P159" i="13"/>
  <c r="J159" i="13"/>
  <c r="BE159" i="13" s="1"/>
  <c r="BK158" i="13"/>
  <c r="BI158" i="13"/>
  <c r="BH158" i="13"/>
  <c r="BG158" i="13"/>
  <c r="BF158" i="13"/>
  <c r="BE158" i="13"/>
  <c r="T158" i="13"/>
  <c r="R158" i="13"/>
  <c r="P158" i="13"/>
  <c r="J158" i="13"/>
  <c r="BK157" i="13"/>
  <c r="BI157" i="13"/>
  <c r="BH157" i="13"/>
  <c r="BG157" i="13"/>
  <c r="BF157" i="13"/>
  <c r="T157" i="13"/>
  <c r="R157" i="13"/>
  <c r="P157" i="13"/>
  <c r="J157" i="13"/>
  <c r="BE157" i="13" s="1"/>
  <c r="BK156" i="13"/>
  <c r="BI156" i="13"/>
  <c r="BH156" i="13"/>
  <c r="BG156" i="13"/>
  <c r="BF156" i="13"/>
  <c r="T156" i="13"/>
  <c r="R156" i="13"/>
  <c r="P156" i="13"/>
  <c r="J156" i="13"/>
  <c r="BE156" i="13" s="1"/>
  <c r="BK155" i="13"/>
  <c r="BI155" i="13"/>
  <c r="BH155" i="13"/>
  <c r="BG155" i="13"/>
  <c r="BF155" i="13"/>
  <c r="T155" i="13"/>
  <c r="R155" i="13"/>
  <c r="P155" i="13"/>
  <c r="J155" i="13"/>
  <c r="BE155" i="13" s="1"/>
  <c r="BK154" i="13"/>
  <c r="BI154" i="13"/>
  <c r="BH154" i="13"/>
  <c r="BG154" i="13"/>
  <c r="BF154" i="13"/>
  <c r="BE154" i="13"/>
  <c r="T154" i="13"/>
  <c r="R154" i="13"/>
  <c r="P154" i="13"/>
  <c r="J154" i="13"/>
  <c r="BK153" i="13"/>
  <c r="BI153" i="13"/>
  <c r="BH153" i="13"/>
  <c r="BG153" i="13"/>
  <c r="BF153" i="13"/>
  <c r="T153" i="13"/>
  <c r="R153" i="13"/>
  <c r="P153" i="13"/>
  <c r="J153" i="13"/>
  <c r="BE153" i="13" s="1"/>
  <c r="BK152" i="13"/>
  <c r="BI152" i="13"/>
  <c r="BH152" i="13"/>
  <c r="BG152" i="13"/>
  <c r="BF152" i="13"/>
  <c r="T152" i="13"/>
  <c r="R152" i="13"/>
  <c r="P152" i="13"/>
  <c r="J152" i="13"/>
  <c r="BE152" i="13" s="1"/>
  <c r="BK151" i="13"/>
  <c r="BI151" i="13"/>
  <c r="BH151" i="13"/>
  <c r="BG151" i="13"/>
  <c r="BF151" i="13"/>
  <c r="BE151" i="13"/>
  <c r="T151" i="13"/>
  <c r="R151" i="13"/>
  <c r="P151" i="13"/>
  <c r="J151" i="13"/>
  <c r="BK149" i="13"/>
  <c r="BI149" i="13"/>
  <c r="BH149" i="13"/>
  <c r="BG149" i="13"/>
  <c r="BF149" i="13"/>
  <c r="T149" i="13"/>
  <c r="R149" i="13"/>
  <c r="P149" i="13"/>
  <c r="J149" i="13"/>
  <c r="BE149" i="13" s="1"/>
  <c r="BK147" i="13"/>
  <c r="BI147" i="13"/>
  <c r="BH147" i="13"/>
  <c r="BG147" i="13"/>
  <c r="BF147" i="13"/>
  <c r="T147" i="13"/>
  <c r="R147" i="13"/>
  <c r="P147" i="13"/>
  <c r="J147" i="13"/>
  <c r="BE147" i="13" s="1"/>
  <c r="BK145" i="13"/>
  <c r="BI145" i="13"/>
  <c r="BH145" i="13"/>
  <c r="BG145" i="13"/>
  <c r="BF145" i="13"/>
  <c r="T145" i="13"/>
  <c r="R145" i="13"/>
  <c r="P145" i="13"/>
  <c r="J145" i="13"/>
  <c r="BE145" i="13" s="1"/>
  <c r="BK144" i="13"/>
  <c r="BI144" i="13"/>
  <c r="BH144" i="13"/>
  <c r="BG144" i="13"/>
  <c r="BF144" i="13"/>
  <c r="T144" i="13"/>
  <c r="R144" i="13"/>
  <c r="P144" i="13"/>
  <c r="P141" i="13" s="1"/>
  <c r="J144" i="13"/>
  <c r="BE144" i="13" s="1"/>
  <c r="BK142" i="13"/>
  <c r="BI142" i="13"/>
  <c r="BH142" i="13"/>
  <c r="BG142" i="13"/>
  <c r="BF142" i="13"/>
  <c r="BE142" i="13"/>
  <c r="T142" i="13"/>
  <c r="T141" i="13" s="1"/>
  <c r="R142" i="13"/>
  <c r="R141" i="13" s="1"/>
  <c r="P142" i="13"/>
  <c r="J142" i="13"/>
  <c r="BK139" i="13"/>
  <c r="BI139" i="13"/>
  <c r="BH139" i="13"/>
  <c r="BG139" i="13"/>
  <c r="BF139" i="13"/>
  <c r="T139" i="13"/>
  <c r="R139" i="13"/>
  <c r="P139" i="13"/>
  <c r="J139" i="13"/>
  <c r="BE139" i="13" s="1"/>
  <c r="BK138" i="13"/>
  <c r="BI138" i="13"/>
  <c r="BH138" i="13"/>
  <c r="BG138" i="13"/>
  <c r="BF138" i="13"/>
  <c r="BE138" i="13"/>
  <c r="T138" i="13"/>
  <c r="R138" i="13"/>
  <c r="P138" i="13"/>
  <c r="J138" i="13"/>
  <c r="BK137" i="13"/>
  <c r="BI137" i="13"/>
  <c r="BH137" i="13"/>
  <c r="BG137" i="13"/>
  <c r="BF137" i="13"/>
  <c r="BE137" i="13"/>
  <c r="T137" i="13"/>
  <c r="R137" i="13"/>
  <c r="P137" i="13"/>
  <c r="J137" i="13"/>
  <c r="BK135" i="13"/>
  <c r="BI135" i="13"/>
  <c r="BH135" i="13"/>
  <c r="BG135" i="13"/>
  <c r="BF135" i="13"/>
  <c r="T135" i="13"/>
  <c r="R135" i="13"/>
  <c r="P135" i="13"/>
  <c r="J135" i="13"/>
  <c r="BE135" i="13" s="1"/>
  <c r="BK133" i="13"/>
  <c r="BI133" i="13"/>
  <c r="BH133" i="13"/>
  <c r="BG133" i="13"/>
  <c r="BF133" i="13"/>
  <c r="T133" i="13"/>
  <c r="R133" i="13"/>
  <c r="P133" i="13"/>
  <c r="J133" i="13"/>
  <c r="BE133" i="13" s="1"/>
  <c r="BK132" i="13"/>
  <c r="BI132" i="13"/>
  <c r="BH132" i="13"/>
  <c r="BG132" i="13"/>
  <c r="BF132" i="13"/>
  <c r="T132" i="13"/>
  <c r="R132" i="13"/>
  <c r="P132" i="13"/>
  <c r="J132" i="13"/>
  <c r="BE132" i="13" s="1"/>
  <c r="BK131" i="13"/>
  <c r="BI131" i="13"/>
  <c r="BH131" i="13"/>
  <c r="BG131" i="13"/>
  <c r="BF131" i="13"/>
  <c r="BE131" i="13"/>
  <c r="T131" i="13"/>
  <c r="R131" i="13"/>
  <c r="P131" i="13"/>
  <c r="J131" i="13"/>
  <c r="BK130" i="13"/>
  <c r="BI130" i="13"/>
  <c r="BH130" i="13"/>
  <c r="BG130" i="13"/>
  <c r="BF130" i="13"/>
  <c r="T130" i="13"/>
  <c r="R130" i="13"/>
  <c r="P130" i="13"/>
  <c r="J130" i="13"/>
  <c r="BE130" i="13" s="1"/>
  <c r="BK129" i="13"/>
  <c r="BI129" i="13"/>
  <c r="BH129" i="13"/>
  <c r="BG129" i="13"/>
  <c r="BF129" i="13"/>
  <c r="T129" i="13"/>
  <c r="R129" i="13"/>
  <c r="R123" i="13" s="1"/>
  <c r="P129" i="13"/>
  <c r="J129" i="13"/>
  <c r="BE129" i="13" s="1"/>
  <c r="BK127" i="13"/>
  <c r="BI127" i="13"/>
  <c r="BH127" i="13"/>
  <c r="BG127" i="13"/>
  <c r="BF127" i="13"/>
  <c r="T127" i="13"/>
  <c r="R127" i="13"/>
  <c r="P127" i="13"/>
  <c r="J127" i="13"/>
  <c r="BE127" i="13" s="1"/>
  <c r="BK125" i="13"/>
  <c r="BI125" i="13"/>
  <c r="BH125" i="13"/>
  <c r="BG125" i="13"/>
  <c r="BF125" i="13"/>
  <c r="T125" i="13"/>
  <c r="R125" i="13"/>
  <c r="P125" i="13"/>
  <c r="J125" i="13"/>
  <c r="BE125" i="13" s="1"/>
  <c r="BK124" i="13"/>
  <c r="BI124" i="13"/>
  <c r="BH124" i="13"/>
  <c r="BG124" i="13"/>
  <c r="BF124" i="13"/>
  <c r="T124" i="13"/>
  <c r="T123" i="13" s="1"/>
  <c r="R124" i="13"/>
  <c r="P124" i="13"/>
  <c r="P123" i="13" s="1"/>
  <c r="J124" i="13"/>
  <c r="BE124" i="13" s="1"/>
  <c r="BK121" i="13"/>
  <c r="BI121" i="13"/>
  <c r="BH121" i="13"/>
  <c r="BG121" i="13"/>
  <c r="BF121" i="13"/>
  <c r="T121" i="13"/>
  <c r="R121" i="13"/>
  <c r="P121" i="13"/>
  <c r="J121" i="13"/>
  <c r="BE121" i="13" s="1"/>
  <c r="BK120" i="13"/>
  <c r="BI120" i="13"/>
  <c r="BH120" i="13"/>
  <c r="BG120" i="13"/>
  <c r="BF120" i="13"/>
  <c r="BE120" i="13"/>
  <c r="T120" i="13"/>
  <c r="R120" i="13"/>
  <c r="P120" i="13"/>
  <c r="J120" i="13"/>
  <c r="BK119" i="13"/>
  <c r="BI119" i="13"/>
  <c r="BH119" i="13"/>
  <c r="BG119" i="13"/>
  <c r="BF119" i="13"/>
  <c r="T119" i="13"/>
  <c r="R119" i="13"/>
  <c r="P119" i="13"/>
  <c r="J119" i="13"/>
  <c r="BE119" i="13" s="1"/>
  <c r="BK118" i="13"/>
  <c r="BI118" i="13"/>
  <c r="BH118" i="13"/>
  <c r="BG118" i="13"/>
  <c r="BF118" i="13"/>
  <c r="T118" i="13"/>
  <c r="R118" i="13"/>
  <c r="P118" i="13"/>
  <c r="J118" i="13"/>
  <c r="BE118" i="13" s="1"/>
  <c r="BK116" i="13"/>
  <c r="BI116" i="13"/>
  <c r="BH116" i="13"/>
  <c r="BG116" i="13"/>
  <c r="BF116" i="13"/>
  <c r="T116" i="13"/>
  <c r="R116" i="13"/>
  <c r="P116" i="13"/>
  <c r="J116" i="13"/>
  <c r="BE116" i="13" s="1"/>
  <c r="BK114" i="13"/>
  <c r="BI114" i="13"/>
  <c r="BH114" i="13"/>
  <c r="BG114" i="13"/>
  <c r="BF114" i="13"/>
  <c r="BE114" i="13"/>
  <c r="T114" i="13"/>
  <c r="R114" i="13"/>
  <c r="P114" i="13"/>
  <c r="J114" i="13"/>
  <c r="BK112" i="13"/>
  <c r="BI112" i="13"/>
  <c r="BH112" i="13"/>
  <c r="BG112" i="13"/>
  <c r="BF112" i="13"/>
  <c r="BE112" i="13"/>
  <c r="T112" i="13"/>
  <c r="T105" i="13" s="1"/>
  <c r="R112" i="13"/>
  <c r="P112" i="13"/>
  <c r="J112" i="13"/>
  <c r="BK110" i="13"/>
  <c r="BI110" i="13"/>
  <c r="BH110" i="13"/>
  <c r="BG110" i="13"/>
  <c r="BF110" i="13"/>
  <c r="T110" i="13"/>
  <c r="R110" i="13"/>
  <c r="P110" i="13"/>
  <c r="J110" i="13"/>
  <c r="BE110" i="13" s="1"/>
  <c r="BK108" i="13"/>
  <c r="BI108" i="13"/>
  <c r="BH108" i="13"/>
  <c r="BG108" i="13"/>
  <c r="BF108" i="13"/>
  <c r="T108" i="13"/>
  <c r="R108" i="13"/>
  <c r="P108" i="13"/>
  <c r="J108" i="13"/>
  <c r="BE108" i="13" s="1"/>
  <c r="BK106" i="13"/>
  <c r="BI106" i="13"/>
  <c r="BH106" i="13"/>
  <c r="BG106" i="13"/>
  <c r="BF106" i="13"/>
  <c r="T106" i="13"/>
  <c r="R106" i="13"/>
  <c r="R105" i="13" s="1"/>
  <c r="P106" i="13"/>
  <c r="P105" i="13" s="1"/>
  <c r="J106" i="13"/>
  <c r="BE106" i="13" s="1"/>
  <c r="BK103" i="13"/>
  <c r="BI103" i="13"/>
  <c r="BH103" i="13"/>
  <c r="BG103" i="13"/>
  <c r="BF103" i="13"/>
  <c r="T103" i="13"/>
  <c r="R103" i="13"/>
  <c r="P103" i="13"/>
  <c r="J103" i="13"/>
  <c r="BE103" i="13" s="1"/>
  <c r="BK102" i="13"/>
  <c r="BI102" i="13"/>
  <c r="BH102" i="13"/>
  <c r="BG102" i="13"/>
  <c r="BF102" i="13"/>
  <c r="T102" i="13"/>
  <c r="R102" i="13"/>
  <c r="P102" i="13"/>
  <c r="J102" i="13"/>
  <c r="BE102" i="13" s="1"/>
  <c r="BK101" i="13"/>
  <c r="BI101" i="13"/>
  <c r="BH101" i="13"/>
  <c r="BG101" i="13"/>
  <c r="BF101" i="13"/>
  <c r="BE101" i="13"/>
  <c r="T101" i="13"/>
  <c r="R101" i="13"/>
  <c r="P101" i="13"/>
  <c r="J101" i="13"/>
  <c r="BK100" i="13"/>
  <c r="BI100" i="13"/>
  <c r="BH100" i="13"/>
  <c r="BG100" i="13"/>
  <c r="BF100" i="13"/>
  <c r="T100" i="13"/>
  <c r="R100" i="13"/>
  <c r="P100" i="13"/>
  <c r="J100" i="13"/>
  <c r="BE100" i="13" s="1"/>
  <c r="BK99" i="13"/>
  <c r="BI99" i="13"/>
  <c r="BH99" i="13"/>
  <c r="BG99" i="13"/>
  <c r="BF99" i="13"/>
  <c r="T99" i="13"/>
  <c r="R99" i="13"/>
  <c r="P99" i="13"/>
  <c r="J99" i="13"/>
  <c r="BE99" i="13" s="1"/>
  <c r="BK98" i="13"/>
  <c r="BI98" i="13"/>
  <c r="BH98" i="13"/>
  <c r="BG98" i="13"/>
  <c r="BF98" i="13"/>
  <c r="T98" i="13"/>
  <c r="R98" i="13"/>
  <c r="R93" i="13" s="1"/>
  <c r="P98" i="13"/>
  <c r="J98" i="13"/>
  <c r="BE98" i="13" s="1"/>
  <c r="BK97" i="13"/>
  <c r="BI97" i="13"/>
  <c r="BH97" i="13"/>
  <c r="BG97" i="13"/>
  <c r="BF97" i="13"/>
  <c r="BE97" i="13"/>
  <c r="T97" i="13"/>
  <c r="R97" i="13"/>
  <c r="P97" i="13"/>
  <c r="J97" i="13"/>
  <c r="BK96" i="13"/>
  <c r="BI96" i="13"/>
  <c r="BH96" i="13"/>
  <c r="BG96" i="13"/>
  <c r="BF96" i="13"/>
  <c r="BE96" i="13"/>
  <c r="T96" i="13"/>
  <c r="R96" i="13"/>
  <c r="P96" i="13"/>
  <c r="J96" i="13"/>
  <c r="BK94" i="13"/>
  <c r="BI94" i="13"/>
  <c r="BH94" i="13"/>
  <c r="BG94" i="13"/>
  <c r="BF94" i="13"/>
  <c r="T94" i="13"/>
  <c r="T93" i="13" s="1"/>
  <c r="R94" i="13"/>
  <c r="P94" i="13"/>
  <c r="P93" i="13" s="1"/>
  <c r="J94" i="13"/>
  <c r="BE94" i="13" s="1"/>
  <c r="J88" i="13"/>
  <c r="J87" i="13"/>
  <c r="F87" i="13"/>
  <c r="F85" i="13"/>
  <c r="E83" i="13"/>
  <c r="J71" i="13"/>
  <c r="J55" i="13"/>
  <c r="J54" i="13"/>
  <c r="F54" i="13"/>
  <c r="F52" i="13"/>
  <c r="E50" i="13"/>
  <c r="J37" i="13"/>
  <c r="J36" i="13"/>
  <c r="J35" i="13"/>
  <c r="J24" i="13"/>
  <c r="E24" i="13"/>
  <c r="J23" i="13"/>
  <c r="J18" i="13"/>
  <c r="E18" i="13"/>
  <c r="F88" i="13" s="1"/>
  <c r="J17" i="13"/>
  <c r="J12" i="13"/>
  <c r="J52" i="13" s="1"/>
  <c r="E7" i="13"/>
  <c r="E48" i="13" s="1"/>
  <c r="BK105" i="13" l="1"/>
  <c r="J105" i="13" s="1"/>
  <c r="J62" i="13" s="1"/>
  <c r="BK198" i="13"/>
  <c r="J198" i="13" s="1"/>
  <c r="J66" i="13" s="1"/>
  <c r="F37" i="13"/>
  <c r="F35" i="13"/>
  <c r="BK141" i="13"/>
  <c r="J141" i="13" s="1"/>
  <c r="J64" i="13" s="1"/>
  <c r="BK93" i="13"/>
  <c r="BK92" i="13" s="1"/>
  <c r="F36" i="13"/>
  <c r="F34" i="13"/>
  <c r="BK165" i="13"/>
  <c r="J165" i="13" s="1"/>
  <c r="J65" i="13" s="1"/>
  <c r="J34" i="13"/>
  <c r="BK123" i="13"/>
  <c r="J123" i="13" s="1"/>
  <c r="J63" i="13" s="1"/>
  <c r="R92" i="13"/>
  <c r="R91" i="13" s="1"/>
  <c r="P92" i="13"/>
  <c r="P91" i="13" s="1"/>
  <c r="J33" i="13"/>
  <c r="F33" i="13"/>
  <c r="J93" i="13"/>
  <c r="J61" i="13" s="1"/>
  <c r="T92" i="13"/>
  <c r="T91" i="13" s="1"/>
  <c r="E81" i="13"/>
  <c r="F55" i="13"/>
  <c r="J85" i="13"/>
  <c r="J92" i="13" l="1"/>
  <c r="J60" i="13" s="1"/>
  <c r="BK91" i="13"/>
  <c r="J91" i="13" s="1"/>
  <c r="J30" i="13" l="1"/>
  <c r="J39" i="13" s="1"/>
  <c r="J59" i="13"/>
  <c r="G8" i="12" l="1"/>
  <c r="I52" i="1" s="1"/>
  <c r="I53" i="1" s="1"/>
  <c r="J52" i="1" s="1"/>
  <c r="J53" i="1" s="1"/>
  <c r="G9" i="12"/>
  <c r="I9" i="12"/>
  <c r="K9" i="12"/>
  <c r="O9" i="12"/>
  <c r="Q9" i="12"/>
  <c r="Q8" i="12" s="1"/>
  <c r="V9" i="12"/>
  <c r="V8" i="12" s="1"/>
  <c r="G11" i="12"/>
  <c r="M11" i="12" s="1"/>
  <c r="I11" i="12"/>
  <c r="K11" i="12"/>
  <c r="O11" i="12"/>
  <c r="Q11" i="12"/>
  <c r="V11" i="12"/>
  <c r="G13" i="12"/>
  <c r="M13" i="12" s="1"/>
  <c r="I13" i="12"/>
  <c r="K13" i="12"/>
  <c r="O13" i="12"/>
  <c r="Q13" i="12"/>
  <c r="V13" i="12"/>
  <c r="AE16" i="12"/>
  <c r="F41" i="1" s="1"/>
  <c r="I20" i="1"/>
  <c r="I19" i="1"/>
  <c r="I18" i="1"/>
  <c r="I16" i="1"/>
  <c r="AF16" i="12" l="1"/>
  <c r="G41" i="1" s="1"/>
  <c r="G16" i="12"/>
  <c r="F39" i="1"/>
  <c r="F42" i="1" s="1"/>
  <c r="G23" i="1" s="1"/>
  <c r="A23" i="1" s="1"/>
  <c r="O8" i="12"/>
  <c r="G39" i="1"/>
  <c r="G42" i="1" s="1"/>
  <c r="G25" i="1" s="1"/>
  <c r="A25" i="1" s="1"/>
  <c r="A26" i="1" s="1"/>
  <c r="K8" i="12"/>
  <c r="F40" i="1"/>
  <c r="H40" i="1" s="1"/>
  <c r="I40" i="1" s="1"/>
  <c r="I8" i="12"/>
  <c r="G40" i="1"/>
  <c r="I17" i="1"/>
  <c r="I21" i="1" s="1"/>
  <c r="H41" i="1"/>
  <c r="I41" i="1" s="1"/>
  <c r="H39" i="1"/>
  <c r="H42" i="1" s="1"/>
  <c r="M9" i="12"/>
  <c r="M8" i="12" s="1"/>
  <c r="J28" i="1"/>
  <c r="J26" i="1"/>
  <c r="G38" i="1"/>
  <c r="F38" i="1"/>
  <c r="J23" i="1"/>
  <c r="J24" i="1"/>
  <c r="J25" i="1"/>
  <c r="J27" i="1"/>
  <c r="E24" i="1"/>
  <c r="E26" i="1"/>
  <c r="G26" i="1" l="1"/>
  <c r="G28" i="1"/>
  <c r="I39" i="1"/>
  <c r="I42" i="1" s="1"/>
  <c r="J39" i="1" s="1"/>
  <c r="J42" i="1" s="1"/>
  <c r="A24" i="1"/>
  <c r="G24" i="1"/>
  <c r="A27" i="1" s="1"/>
  <c r="J41" i="1" l="1"/>
  <c r="J40" i="1"/>
  <c r="A29" i="1"/>
  <c r="G29" i="1"/>
  <c r="G27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  <author>Pavel Veternik</author>
  </authors>
  <commentList>
    <comment ref="D11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Uživatel systému Windows</author>
  </authors>
  <commentList>
    <comment ref="S6" authorId="0" shapeId="0" xr:uid="{00000000-0006-0000-0300-000001000000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00000000-0006-0000-0300-000002000000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<sst xmlns="http://schemas.openxmlformats.org/spreadsheetml/2006/main" count="3229" uniqueCount="1042">
  <si>
    <t>%</t>
  </si>
  <si>
    <t>Cena celkem</t>
  </si>
  <si>
    <t>Za zhotovitele</t>
  </si>
  <si>
    <t>Za objednatele</t>
  </si>
  <si>
    <t>Položkový rozpočet stavby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</si>
  <si>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</si>
  <si>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</si>
  <si>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</si>
  <si>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</si>
  <si>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</si>
  <si>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</si>
  <si>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</si>
  <si>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</si>
  <si>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</si>
  <si>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</si>
  <si>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</si>
  <si>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</si>
  <si>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</si>
  <si>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</si>
  <si>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</si>
  <si>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</si>
  <si>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</si>
  <si>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</si>
  <si>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</si>
  <si>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</si>
  <si>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</si>
  <si>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</si>
  <si>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</si>
  <si>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</si>
  <si>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</si>
  <si>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</si>
  <si>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</si>
  <si>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</si>
  <si>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</si>
  <si>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</si>
  <si>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</si>
  <si>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</si>
  <si>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</si>
  <si>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</si>
  <si>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</si>
  <si>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</si>
  <si>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</si>
  <si>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</si>
  <si>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04</t>
  </si>
  <si>
    <t>Vytápění</t>
  </si>
  <si>
    <t>01</t>
  </si>
  <si>
    <t>Zámek Brandýs nad Orlicí - SNÍŽENÍ ENERGETICKÉ NÁROČNOSTI BUDOVY</t>
  </si>
  <si>
    <t>Objekt:</t>
  </si>
  <si>
    <t>Rozpočet:</t>
  </si>
  <si>
    <t>Zámek Brandýs nad Orlicí</t>
  </si>
  <si>
    <t>ORLICE s.r.o.</t>
  </si>
  <si>
    <t>Na Štěpnici 851</t>
  </si>
  <si>
    <t xml:space="preserve">Ústí nad Orlicí </t>
  </si>
  <si>
    <t>56201</t>
  </si>
  <si>
    <t>08728208</t>
  </si>
  <si>
    <t>svoboda.plan s.r.o.</t>
  </si>
  <si>
    <t>Dolní Čermná 391</t>
  </si>
  <si>
    <t>Dolní Čermná</t>
  </si>
  <si>
    <t>56153</t>
  </si>
  <si>
    <t>27554805</t>
  </si>
  <si>
    <t>Stavba</t>
  </si>
  <si>
    <t>Celkem za stavbu</t>
  </si>
  <si>
    <t>CZK</t>
  </si>
  <si>
    <t>#POPS</t>
  </si>
  <si>
    <t>#POPO</t>
  </si>
  <si>
    <t>#POPR</t>
  </si>
  <si>
    <t>Rekapitulace dílů</t>
  </si>
  <si>
    <t>Typ dílu</t>
  </si>
  <si>
    <t>730</t>
  </si>
  <si>
    <t>Ústřední vytápění</t>
  </si>
  <si>
    <t>VN</t>
  </si>
  <si>
    <t>ON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</si>
  <si>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</si>
  <si>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</si>
  <si>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</si>
  <si>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</si>
  <si>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</si>
  <si>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</si>
  <si>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</si>
  <si>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</si>
  <si>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</si>
  <si>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</si>
  <si>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</si>
  <si>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</si>
  <si>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</si>
  <si>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</si>
  <si>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</si>
  <si>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</si>
  <si>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</si>
  <si>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</si>
  <si>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</si>
  <si>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</si>
  <si>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</si>
  <si>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</si>
  <si>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</si>
  <si>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</si>
  <si>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</si>
  <si>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Stav položky</t>
  </si>
  <si>
    <t>Díl:</t>
  </si>
  <si>
    <t>DIL</t>
  </si>
  <si>
    <t>730-R001</t>
  </si>
  <si>
    <t>kpl</t>
  </si>
  <si>
    <t>Vlastní</t>
  </si>
  <si>
    <t>Indiv</t>
  </si>
  <si>
    <t>Práce</t>
  </si>
  <si>
    <t>Běžná</t>
  </si>
  <si>
    <t>POL1_</t>
  </si>
  <si>
    <t>viz příloha č.1</t>
  </si>
  <si>
    <t>POP</t>
  </si>
  <si>
    <t>730-R002</t>
  </si>
  <si>
    <t>Měření a regulace – vytápění</t>
  </si>
  <si>
    <t>viz příloha č. 2</t>
  </si>
  <si>
    <t>730-R003</t>
  </si>
  <si>
    <t>Primární okruh TČ</t>
  </si>
  <si>
    <t>viz příloha č. 3</t>
  </si>
  <si>
    <t>SUM</t>
  </si>
  <si>
    <t>Poznámky uchazeče k zadání</t>
  </si>
  <si>
    <t>POPUZIV</t>
  </si>
  <si>
    <t>END</t>
  </si>
  <si>
    <t>Popis stavby:  Zámek Brandýs nad Orlicí</t>
  </si>
  <si>
    <t>Popis objektu: Zámek Brandýs nad Orlicí - SNÍŽENÍ ENERGETICKÉ NÁROČNOSTI BUDOVY</t>
  </si>
  <si>
    <t>Popis rozpočtu: Vytápění</t>
  </si>
  <si>
    <t>{9eb7559d-e36d-4daf-b938-dbda197b67d0}</t>
  </si>
  <si>
    <t>2</t>
  </si>
  <si>
    <t>KRYCÍ LIST SOUPISU PRACÍ</t>
  </si>
  <si>
    <t>v ---  níže se nacházejí doplnkové a pomocné údaje k sestavám  --- v</t>
  </si>
  <si>
    <t>False</t>
  </si>
  <si>
    <t>D.1.5. - VYTÁPĚNÍ</t>
  </si>
  <si>
    <t>KSO:</t>
  </si>
  <si>
    <t/>
  </si>
  <si>
    <t>CC-CZ:</t>
  </si>
  <si>
    <t>Místo:</t>
  </si>
  <si>
    <t>Brandýs nad Orlicí č.p. 1</t>
  </si>
  <si>
    <t>Datum:</t>
  </si>
  <si>
    <t>Zadavatel:</t>
  </si>
  <si>
    <t>IČ:</t>
  </si>
  <si>
    <t>ORLICE s.r.o., Na Štěpnici 851, 562 01 Ústí nad Or</t>
  </si>
  <si>
    <t>Jiří Kamenický, Na Špici 211, 561 17 Dlouhá Třebov</t>
  </si>
  <si>
    <t>Zpracovatel:</t>
  </si>
  <si>
    <t>Poznámka:</t>
  </si>
  <si>
    <t>Cena bez DPH</t>
  </si>
  <si>
    <t>Základ daně</t>
  </si>
  <si>
    <t>Sazba daně</t>
  </si>
  <si>
    <t>Výše daně</t>
  </si>
  <si>
    <t>základní</t>
  </si>
  <si>
    <t>snížená</t>
  </si>
  <si>
    <t>zákl. přenesená</t>
  </si>
  <si>
    <t>sníž. přenesená</t>
  </si>
  <si>
    <t>nulová</t>
  </si>
  <si>
    <t>REKAPITULACE ČLENĚNÍ SOUPISU PRACÍ</t>
  </si>
  <si>
    <t>Kód dílu - Popis</t>
  </si>
  <si>
    <t>Cena celkem [CZK]</t>
  </si>
  <si>
    <t>Náklady stavby celkem</t>
  </si>
  <si>
    <t>-1</t>
  </si>
  <si>
    <t>PSV - Práce a dodávky PSV</t>
  </si>
  <si>
    <t xml:space="preserve">    713 - Izolace tepelné</t>
  </si>
  <si>
    <t xml:space="preserve">    722 - Zdravotechnika - vnitřní vodovod</t>
  </si>
  <si>
    <t xml:space="preserve">    731 - Ústřední vytápění - kotelny</t>
  </si>
  <si>
    <t xml:space="preserve">    732 - Ústřední vytápění - strojovny</t>
  </si>
  <si>
    <t xml:space="preserve">    733 - Ústřední vytápění - potrubí</t>
  </si>
  <si>
    <t xml:space="preserve">    734 - Ústřední vytápění - armatury</t>
  </si>
  <si>
    <t xml:space="preserve">    735 - Ústřední vytápění - otopná tělesa</t>
  </si>
  <si>
    <t xml:space="preserve">    101 - TOPNÁ ZKOUŠKA</t>
  </si>
  <si>
    <t xml:space="preserve">    767 - Konstrukce zámečnické</t>
  </si>
  <si>
    <t>VRN - Vedlejší rozpočtové náklady</t>
  </si>
  <si>
    <t xml:space="preserve">    VRN1 - Průzkumné, geodetické a projektové práce</t>
  </si>
  <si>
    <t>SOUPIS PRACÍ</t>
  </si>
  <si>
    <t>PČ</t>
  </si>
  <si>
    <t>Typ</t>
  </si>
  <si>
    <t>Kód</t>
  </si>
  <si>
    <t>Popis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</si>
  <si>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</si>
  <si>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</si>
  <si>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</si>
  <si>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</si>
  <si>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</si>
  <si>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</si>
  <si>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</si>
  <si>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</si>
  <si>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</si>
  <si>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D</t>
  </si>
  <si>
    <t>Práce a dodávky PSV</t>
  </si>
  <si>
    <t>0</t>
  </si>
  <si>
    <t>ROZPOCET</t>
  </si>
  <si>
    <t>713</t>
  </si>
  <si>
    <t>Izolace tepelné</t>
  </si>
  <si>
    <t>1</t>
  </si>
  <si>
    <t>K</t>
  </si>
  <si>
    <t>713463411</t>
  </si>
  <si>
    <t>Montáž izolace tepelné potrubí a ohybů tvarovkami nebo deskami potrubními pouzdry návlekovými izolačními hadicemi potrubí a ohybů</t>
  </si>
  <si>
    <t>m</t>
  </si>
  <si>
    <t>CS ÚRS 2024 01</t>
  </si>
  <si>
    <t>16</t>
  </si>
  <si>
    <t>1287813552</t>
  </si>
  <si>
    <t>Online PSC</t>
  </si>
  <si>
    <t>https://podminky.urs.cz/item/CS_URS_2024_01/713463411</t>
  </si>
  <si>
    <t>M</t>
  </si>
  <si>
    <t>28377095</t>
  </si>
  <si>
    <t>pouzdro izolační potrubní z pěnového polyetylenu 15/13mm</t>
  </si>
  <si>
    <t>32</t>
  </si>
  <si>
    <t>1715612405</t>
  </si>
  <si>
    <t>3</t>
  </si>
  <si>
    <t>28377105</t>
  </si>
  <si>
    <t>pouzdro izolační potrubní z pěnového polyetylenu 18/13mm</t>
  </si>
  <si>
    <t>360706691</t>
  </si>
  <si>
    <t>4</t>
  </si>
  <si>
    <t>28377045</t>
  </si>
  <si>
    <t>pouzdro izolační potrubní z pěnového polyetylenu 22/20mm</t>
  </si>
  <si>
    <t>482321629</t>
  </si>
  <si>
    <t>5</t>
  </si>
  <si>
    <t>28377049</t>
  </si>
  <si>
    <t>pouzdro izolační potrubní z pěnového polyetylenu 28/25mm</t>
  </si>
  <si>
    <t>-1313758990</t>
  </si>
  <si>
    <t>6</t>
  </si>
  <si>
    <t>28377054</t>
  </si>
  <si>
    <t>pouzdro izolační potrubní z pěnového polyetylenu 32/25mm</t>
  </si>
  <si>
    <t>303618888</t>
  </si>
  <si>
    <t>7</t>
  </si>
  <si>
    <t>28377063</t>
  </si>
  <si>
    <t>pouzdro izolační potrubní z pěnového polyetylenu 45/25mm</t>
  </si>
  <si>
    <t>-2121827497</t>
  </si>
  <si>
    <t>8</t>
  </si>
  <si>
    <t>27127031</t>
  </si>
  <si>
    <t>pouzdro izolační potrubní z kaučuku 54/19mm</t>
  </si>
  <si>
    <t>-1471340257</t>
  </si>
  <si>
    <t>9</t>
  </si>
  <si>
    <t>998713102</t>
  </si>
  <si>
    <t>Přesun hmot pro izolace tepelné stanovený z hmotnosti přesunovaného materiálu vodorovná dopravní vzdálenost do 50 m s užitím mechanizace v objektech výšky přes 6 m do 12 m</t>
  </si>
  <si>
    <t>t</t>
  </si>
  <si>
    <t>-420080899</t>
  </si>
  <si>
    <t>https://podminky.urs.cz/item/CS_URS_2024_01/998713102</t>
  </si>
  <si>
    <t>722</t>
  </si>
  <si>
    <t>Zdravotechnika - vnitřní vodovod</t>
  </si>
  <si>
    <t>10</t>
  </si>
  <si>
    <t>722174023</t>
  </si>
  <si>
    <t>Potrubí z plastových trubek z polypropylenu PPR svařovaných polyfúzně PN 20 (SDR 6) D 25 x 4,2</t>
  </si>
  <si>
    <t>103677156</t>
  </si>
  <si>
    <t>https://podminky.urs.cz/item/CS_URS_2024_01/722174023</t>
  </si>
  <si>
    <t>11</t>
  </si>
  <si>
    <t>722224151</t>
  </si>
  <si>
    <t>Armatury s jedním závitem ventily kulové zahradní uzávěry PN 15 do 120° C G 3/8" - 3/4"</t>
  </si>
  <si>
    <t>kus</t>
  </si>
  <si>
    <t>1715675639</t>
  </si>
  <si>
    <t>https://podminky.urs.cz/item/CS_URS_2024_01/722224151</t>
  </si>
  <si>
    <t>12</t>
  </si>
  <si>
    <t>722231074</t>
  </si>
  <si>
    <t>Armatury se dvěma závity ventily zpětné mosazné PN 10 do 110°C G 1"</t>
  </si>
  <si>
    <t>-964134706</t>
  </si>
  <si>
    <t>https://podminky.urs.cz/item/CS_URS_2024_01/722231074</t>
  </si>
  <si>
    <t>13</t>
  </si>
  <si>
    <t>722231202</t>
  </si>
  <si>
    <t>Armatury se dvěma závity ventily redukční tlakové mosazné bez manometru PN 6 do 25 °C G 3/4</t>
  </si>
  <si>
    <t>1196692100</t>
  </si>
  <si>
    <t>https://podminky.urs.cz/item/CS_URS_2024_01/722231202</t>
  </si>
  <si>
    <t>14</t>
  </si>
  <si>
    <t>722232044</t>
  </si>
  <si>
    <t>Armatury se dvěma závity kulové kohouty PN 42 do 185 °C přímé vnitřní závit G 3/4"</t>
  </si>
  <si>
    <t>-356426117</t>
  </si>
  <si>
    <t>https://podminky.urs.cz/item/CS_URS_2024_01/722232044</t>
  </si>
  <si>
    <t>15</t>
  </si>
  <si>
    <t>722262211</t>
  </si>
  <si>
    <t>Vodoměry pro vodu do 40°C závitové horizontální jednovtokové suchoběžné G 1/2" x 80 mm Qn 1,5</t>
  </si>
  <si>
    <t>989788152</t>
  </si>
  <si>
    <t>https://podminky.urs.cz/item/CS_URS_2024_01/722262211</t>
  </si>
  <si>
    <t>722xxx11.1</t>
  </si>
  <si>
    <t>Mechanický předfiltr svíčkový , napojení 3/4“, ruční odkalovací ventil</t>
  </si>
  <si>
    <t>soubor</t>
  </si>
  <si>
    <t>-1930525955</t>
  </si>
  <si>
    <t>17</t>
  </si>
  <si>
    <t>722xxx21</t>
  </si>
  <si>
    <t>Systémový oddělovač , napojeni 3/4", odděleni pitne vody od uzavřeneho sys. dle DIN EN 1717</t>
  </si>
  <si>
    <t>-182074442</t>
  </si>
  <si>
    <t>18</t>
  </si>
  <si>
    <t>7344211021</t>
  </si>
  <si>
    <t>Tlakoměr s pevným stonkem a zpětnou klapkou tlak 0-16 bar průměr 63 mm spodní připojení</t>
  </si>
  <si>
    <t>-746926607</t>
  </si>
  <si>
    <t>19</t>
  </si>
  <si>
    <t>998722102</t>
  </si>
  <si>
    <t>Přesun hmot pro vnitřní vodovod stanovený z hmotnosti přesunovaného materiálu vodorovná dopravní vzdálenost do 50 m základní v objektech výšky přes 6 do 12 m</t>
  </si>
  <si>
    <t>1702288740</t>
  </si>
  <si>
    <t>https://podminky.urs.cz/item/CS_URS_2024_01/998722102</t>
  </si>
  <si>
    <t>731</t>
  </si>
  <si>
    <t>Ústřední vytápění - kotelny</t>
  </si>
  <si>
    <t>20</t>
  </si>
  <si>
    <t>7312xxx03</t>
  </si>
  <si>
    <t>Montáž tepelných čerpadel země-voda - vnitřních jednotek včetně dodaného příslušenství</t>
  </si>
  <si>
    <t>870128405</t>
  </si>
  <si>
    <t>21</t>
  </si>
  <si>
    <t>8-738-207-514</t>
  </si>
  <si>
    <t>Tepelné cerpadlo zeme/voda s dvema kompresory s EVI technologií s MINIMÁLNÍM topným výkonem (kW) / topným faktorem (-) 15,0 / 4,9 (pro 1. stupen při (0/35°C)) a 28,9 / 4,5 (pro 2. stupen (0/35°C)) dle EN 14511, A+++</t>
  </si>
  <si>
    <t>128</t>
  </si>
  <si>
    <t>1811770281</t>
  </si>
  <si>
    <t>P</t>
  </si>
  <si>
    <t>Poznámka k položce:_x000D_
Rozsah dodávky_x000D_
Tepelné cerpadlo zeme/voda s dvema kompresory s EVI technologií s MINIMÁLNÍM topným výkonem (kW) / topným faktorem (-) 15,0 / 4,9 (pro 1. stupen při (0/35°C)) a 28,9 / 4,5 (pro 2. stupen (0/35°C)) dle EN 14511, A+++ dle EN 14825 mírné_x000D_
klima, obsahuje: 3 uzavíratelné filtry, obehová cerpadla sekundárního_x000D_
i primárního okruhu, trojcestný ventil TV, elektrický dotop 6/9/15 kW,_x000D_
regulaci: s internetovým, MODbus, BACnet rozhraním, rízení až 5 jednotek_x000D_
v kaskáde, až 9 topných okruhu (24V)_x000D_
Obsahuje fluorované skleníkové plyny_x000D_
R410A/5,000 kg/GWP/2.088 /10,440 toCO2e_x000D_
Hermeticky uzavreno</t>
  </si>
  <si>
    <t>22</t>
  </si>
  <si>
    <t>7-735-500-158</t>
  </si>
  <si>
    <t>Kombinovaný akumulacní zásobník s nerezovým otopným hadem (10 bar) pro prutokovou prípravu TV, urcený pro tepelná cerpadla.Objem akumulační 749 l, celkový 782 l, výměník 6,7 m2, nádoba včetně tepelné izolace</t>
  </si>
  <si>
    <t>71202143</t>
  </si>
  <si>
    <t xml:space="preserve">Poznámka k položce:_x000D_
Kombinovaný zásobník se skládá z akumulačního zásobníku k ukládání topné vody a akumulačního zásobníku v žebrované trubce z nerezové oceli k ohřevu pitné vody na průtokovém principu.Jako volitelný zdroj tepla lze instalovat elektrickou topnou vložku._x000D_
K měření teploty se používají šroubovací čidla. Tepelná izolace splňuje podmínky třídy C směrnice ErP._x000D_
</t>
  </si>
  <si>
    <t>23</t>
  </si>
  <si>
    <t>7-735-501-578</t>
  </si>
  <si>
    <t>Zásobník akumulační pro tepelná čerpadla P750.6 MS-B, objem cca 750 litru,třída ErP B</t>
  </si>
  <si>
    <t>1765317004</t>
  </si>
  <si>
    <t>24</t>
  </si>
  <si>
    <t>7-735-501-418</t>
  </si>
  <si>
    <t xml:space="preserve"> El. topná vložka 6kW/400V 1 1/2" pro zásobníky TV s regulací - provozním a bezp. termostatem</t>
  </si>
  <si>
    <t>1558443042</t>
  </si>
  <si>
    <t>25</t>
  </si>
  <si>
    <t>8-738-208-636</t>
  </si>
  <si>
    <t xml:space="preserve">Plnící řada pro studený okruh DN 50 </t>
  </si>
  <si>
    <t>441233125</t>
  </si>
  <si>
    <t>26</t>
  </si>
  <si>
    <t>8-161-010-0</t>
  </si>
  <si>
    <t xml:space="preserve">Pojistná skupina 3 bar, do 50 kW (pojistný ventil, manometr, odvzušňovač)._x000D_
</t>
  </si>
  <si>
    <t>1437153375</t>
  </si>
  <si>
    <t>27</t>
  </si>
  <si>
    <t>7-738-504-286</t>
  </si>
  <si>
    <t>Uvedení do provozu tepelného čerpadla ze strany výrobce</t>
  </si>
  <si>
    <t>370627796</t>
  </si>
  <si>
    <t>Poznámka k položce:_x000D_
Rozsah dodávky_x000D_
Cena je platná pri uvedení do provozu v jednom sjednaném a standardne souvislém termínu._x000D_
Podmínky :_x000D_
- zapojení všech prípojek na všech výrobcích pripravených pro uvedení_x000D_
do provozu vcetne elektrických kabelu a regulacních cidel_x000D_
- zaslání vyplneného kontrolního listu_x000D_
- doložení relevantních revizí (elektro, plyn, spalinová cesta)_x000D_
- zaslání fotografií všech výrobku pripravených k uvedení do provozu a_x000D_
jejich prípojek_x000D_
Požadované dokumenty musí být zaslány minimálne 2 dny pred plánovaným termínem uvedení do_x000D_
provozu_x000D_
V prípade nesplnení požadavku na pripravenost, budou k uvedení do provozu úctovány_x000D_
vícenáklady dle servisního výkazu.</t>
  </si>
  <si>
    <t>28</t>
  </si>
  <si>
    <t>731341140</t>
  </si>
  <si>
    <t>Hadice napouštěcí pryžové Ø 20/28</t>
  </si>
  <si>
    <t>64</t>
  </si>
  <si>
    <t>-302527790</t>
  </si>
  <si>
    <t>https://podminky.urs.cz/item/CS_URS_2024_01/731341140</t>
  </si>
  <si>
    <t>29</t>
  </si>
  <si>
    <t>731xxx060</t>
  </si>
  <si>
    <t>Nemrznoucí kapalina  na bázi monoethylenglykolu, která se používá do primárních okruhů  (množství nutno upravit dle skutečnosti při napouštění)</t>
  </si>
  <si>
    <t>litr</t>
  </si>
  <si>
    <t>1551434302</t>
  </si>
  <si>
    <t>30</t>
  </si>
  <si>
    <t>731xxx82</t>
  </si>
  <si>
    <t>Celkový proplach a čšitění napojené soustavy vodou</t>
  </si>
  <si>
    <t>1171056241</t>
  </si>
  <si>
    <t>31</t>
  </si>
  <si>
    <t>998731102</t>
  </si>
  <si>
    <t>Přesun hmot pro kotelny stanovený z hmotnosti přesunovaného materiálu vodorovná dopravní vzdálenost do 50 m základní v objektech výšky přes 6 do 12 m</t>
  </si>
  <si>
    <t>-1583683308</t>
  </si>
  <si>
    <t>https://podminky.urs.cz/item/CS_URS_2024_01/998731102</t>
  </si>
  <si>
    <t>732</t>
  </si>
  <si>
    <t>Ústřední vytápění - strojovny</t>
  </si>
  <si>
    <t>732219315</t>
  </si>
  <si>
    <t>Montáž ohříváků vody zásobníkových stojatých PN 0,6/0,6, PN 1,6/0,6 o obsahu 1 000 l</t>
  </si>
  <si>
    <t>-664437312</t>
  </si>
  <si>
    <t>https://podminky.urs.cz/item/CS_URS_2024_01/732219315</t>
  </si>
  <si>
    <t>33</t>
  </si>
  <si>
    <t>732331614_SOL</t>
  </si>
  <si>
    <t>Nádoby expanzní tlakové pro topné a chladicí soustavy s membránou bez pojistného ventilu se závitovým připojením PN 0,4 o objemu 35 l pro studený okruh (solární provedení)</t>
  </si>
  <si>
    <t>1834100700</t>
  </si>
  <si>
    <t>34</t>
  </si>
  <si>
    <t>732331617</t>
  </si>
  <si>
    <t>Nádoby expanzní tlakové pro topné a chladicí soustavy s membránou bez pojistného ventilu se závitovým připojením PN 0,6 o objemu 80 l</t>
  </si>
  <si>
    <t>-481121119</t>
  </si>
  <si>
    <t>https://podminky.urs.cz/item/CS_URS_2024_01/732331617</t>
  </si>
  <si>
    <t>35</t>
  </si>
  <si>
    <t>732331619</t>
  </si>
  <si>
    <t>Nádoby expanzní tlakové pro topné a chladicí soustavy s membránou bez pojistného ventilu se závitovým připojením PN 0,6 o objemu 140 l</t>
  </si>
  <si>
    <t>1022436182</t>
  </si>
  <si>
    <t>https://podminky.urs.cz/item/CS_URS_2024_01/732331619</t>
  </si>
  <si>
    <t>36</t>
  </si>
  <si>
    <t>732331777</t>
  </si>
  <si>
    <t>Nádoby expanzní tlakové pro topné a chladicí soustavy příslušenství k expanzním nádobám bezpečnostní uzávěr k měření tlaku G 3/4</t>
  </si>
  <si>
    <t>-180367876</t>
  </si>
  <si>
    <t>https://podminky.urs.cz/item/CS_URS_2024_01/732331777</t>
  </si>
  <si>
    <t>37</t>
  </si>
  <si>
    <t>732421417.WLO</t>
  </si>
  <si>
    <t>Čerpadlo teplovodní mokroběžné závitové oběhové např. MAXO 25/0,5-7 DN 25 výtlak do 7,0 m průtok 7,0 m3/h PN 10 pro vytápění</t>
  </si>
  <si>
    <t>945994228</t>
  </si>
  <si>
    <t>38</t>
  </si>
  <si>
    <t>7324214172.WLO_32</t>
  </si>
  <si>
    <t>Čerpadlo teplovodní mokroběžné závitové oběhové např. MAXO 30/0,5-7 DN 32 výtlak do 7,0 m průtok 7,0 m3/h PN 10 pro vytápění</t>
  </si>
  <si>
    <t>386253236</t>
  </si>
  <si>
    <t>39</t>
  </si>
  <si>
    <t>7324214222.WLO</t>
  </si>
  <si>
    <t>Čerpadlo teplovodní mokroběžné závitové oběhové např. MAXO 30/0,5-12 DN 32 výtlak do 12,0 m průtok 8,0 m3/h pro vytápění</t>
  </si>
  <si>
    <t>928404992</t>
  </si>
  <si>
    <t>40</t>
  </si>
  <si>
    <t>732429212x</t>
  </si>
  <si>
    <t>Montáž rozdělovače topení pro 4 topné okruhy a hlavní přívod</t>
  </si>
  <si>
    <t>2098445928</t>
  </si>
  <si>
    <t>41</t>
  </si>
  <si>
    <t>426734xxx01</t>
  </si>
  <si>
    <t>Rozdělovač ocelový typový pro čtyři tři napojené okruhy G6/4" a hlavní přívod G2" s roztečí hrdel 250mm. Celková délka 1700mm. Plus dvě hrddla G1/2" pro vypouštění. Průtok 7,5 m3/h.</t>
  </si>
  <si>
    <t>415785070</t>
  </si>
  <si>
    <t>42</t>
  </si>
  <si>
    <t>426734xxx02</t>
  </si>
  <si>
    <t xml:space="preserve">Typové izolační pouzdro pro rozdělovač </t>
  </si>
  <si>
    <t>-1682381796</t>
  </si>
  <si>
    <t>43</t>
  </si>
  <si>
    <t>426734xxx03</t>
  </si>
  <si>
    <t>Nástěnná konzola pro rozdělovač</t>
  </si>
  <si>
    <t>1744591662</t>
  </si>
  <si>
    <t>44</t>
  </si>
  <si>
    <t>732xxx05</t>
  </si>
  <si>
    <t xml:space="preserve">Revize tlakových nádob </t>
  </si>
  <si>
    <t>-487169590</t>
  </si>
  <si>
    <t>45</t>
  </si>
  <si>
    <t>732xxx22</t>
  </si>
  <si>
    <t>Úprava napájecí vody - Montáž a uvedení do provozu</t>
  </si>
  <si>
    <t>-196734832</t>
  </si>
  <si>
    <t>46</t>
  </si>
  <si>
    <t>732xxx19</t>
  </si>
  <si>
    <t xml:space="preserve">Úprava napájecí vody - Sada obsahuje demineralizační patronu P8000 o kapacitě 8000 l x ˚dH, připojovací sadu s digitálním měřičem vodivosti, vodoměremm a tepelnou izolací, konzoli na stěnu, náhradní náplň patrony (7 l), dopouštěcí stanici NFK.2_x000D_
</t>
  </si>
  <si>
    <t>427484048</t>
  </si>
  <si>
    <t>47</t>
  </si>
  <si>
    <t>732xxx31</t>
  </si>
  <si>
    <t>Deskový výměník studniční voda/topná voda - Montáž a uvedení do provozu</t>
  </si>
  <si>
    <t>159761504</t>
  </si>
  <si>
    <t>48</t>
  </si>
  <si>
    <t>732xxx32</t>
  </si>
  <si>
    <t>Deskový skládaný výměník studniční voda/topná voda (dodávka) - např. TL3-BFG, 38 plates, ALLOY 316</t>
  </si>
  <si>
    <t>1362613758</t>
  </si>
  <si>
    <t>49</t>
  </si>
  <si>
    <t>998732102</t>
  </si>
  <si>
    <t>Přesun hmot pro strojovny stanovený z hmotnosti přesunovaného materiálu vodorovná dopravní vzdálenost do 50 m základní v objektech výšky přes 6 do 12 m</t>
  </si>
  <si>
    <t>-2112247798</t>
  </si>
  <si>
    <t>https://podminky.urs.cz/item/CS_URS_2024_01/998732102</t>
  </si>
  <si>
    <t>733</t>
  </si>
  <si>
    <t>Ústřední vytápění - potrubí</t>
  </si>
  <si>
    <t>50</t>
  </si>
  <si>
    <t>733221202</t>
  </si>
  <si>
    <t>Potrubí z trubek měděných měkkých spojovaných tvrdým pájením Ø 15/1</t>
  </si>
  <si>
    <t>1085508491</t>
  </si>
  <si>
    <t>https://podminky.urs.cz/item/CS_URS_2024_01/733221202</t>
  </si>
  <si>
    <t>51</t>
  </si>
  <si>
    <t>733221203</t>
  </si>
  <si>
    <t>Potrubí z trubek měděných měkkých spojovaných tvrdým pájením Ø 18/1</t>
  </si>
  <si>
    <t>-645195194</t>
  </si>
  <si>
    <t>https://podminky.urs.cz/item/CS_URS_2024_01/733221203</t>
  </si>
  <si>
    <t>52</t>
  </si>
  <si>
    <t>733221204</t>
  </si>
  <si>
    <t>Potrubí z trubek měděných měkkých spojovaných tvrdým pájením Ø 22/1</t>
  </si>
  <si>
    <t>-1306918402</t>
  </si>
  <si>
    <t>https://podminky.urs.cz/item/CS_URS_2024_01/733221204</t>
  </si>
  <si>
    <t>53</t>
  </si>
  <si>
    <t>733223205</t>
  </si>
  <si>
    <t>Potrubí z trubek měděných tvrdých spojovaných tvrdým pájením Ø 28/1,5</t>
  </si>
  <si>
    <t>803200622</t>
  </si>
  <si>
    <t>https://podminky.urs.cz/item/CS_URS_2024_01/733223205</t>
  </si>
  <si>
    <t>54</t>
  </si>
  <si>
    <t>733223206</t>
  </si>
  <si>
    <t>Potrubí z trubek měděných tvrdých spojovaných tvrdým pájením Ø 35/1,5</t>
  </si>
  <si>
    <t>-1750848646</t>
  </si>
  <si>
    <t>https://podminky.urs.cz/item/CS_URS_2024_01/733223206</t>
  </si>
  <si>
    <t>55</t>
  </si>
  <si>
    <t>733223207</t>
  </si>
  <si>
    <t>Potrubí z trubek měděných tvrdých spojovaných tvrdým pájením Ø 42/1,5</t>
  </si>
  <si>
    <t>317145480</t>
  </si>
  <si>
    <t>https://podminky.urs.cz/item/CS_URS_2024_01/733223207</t>
  </si>
  <si>
    <t>56</t>
  </si>
  <si>
    <t>733223208</t>
  </si>
  <si>
    <t>Potrubí z trubek měděných tvrdých spojovaných tvrdým pájením Ø 54/2</t>
  </si>
  <si>
    <t>1126159097</t>
  </si>
  <si>
    <t>https://podminky.urs.cz/item/CS_URS_2024_01/733223208</t>
  </si>
  <si>
    <t>57</t>
  </si>
  <si>
    <t>733224205</t>
  </si>
  <si>
    <t>Potrubí z trubek měděných Příplatek k cenám za potrubí vedené v kotelnách a strojovnách Ø 28/1,5</t>
  </si>
  <si>
    <t>1244375394</t>
  </si>
  <si>
    <t>https://podminky.urs.cz/item/CS_URS_2024_01/733224205</t>
  </si>
  <si>
    <t>58</t>
  </si>
  <si>
    <t>733224206</t>
  </si>
  <si>
    <t>Potrubí z trubek měděných Příplatek k cenám za potrubí vedené v kotelnách a strojovnách Ø 35/1,5</t>
  </si>
  <si>
    <t>-920784189</t>
  </si>
  <si>
    <t>https://podminky.urs.cz/item/CS_URS_2024_01/733224206</t>
  </si>
  <si>
    <t>59</t>
  </si>
  <si>
    <t>733224207</t>
  </si>
  <si>
    <t>Potrubí z trubek měděných Příplatek k cenám za potrubí vedené v kotelnách a strojovnách Ø 42/1,5</t>
  </si>
  <si>
    <t>-478487057</t>
  </si>
  <si>
    <t>https://podminky.urs.cz/item/CS_URS_2024_01/733224207</t>
  </si>
  <si>
    <t>60</t>
  </si>
  <si>
    <t>733224208</t>
  </si>
  <si>
    <t>Potrubí z trubek měděných Příplatek k cenám za potrubí vedené v kotelnách a strojovnách Ø 54/2</t>
  </si>
  <si>
    <t>335267617</t>
  </si>
  <si>
    <t>https://podminky.urs.cz/item/CS_URS_2024_01/733224208</t>
  </si>
  <si>
    <t>61</t>
  </si>
  <si>
    <t>733224222</t>
  </si>
  <si>
    <t>Potrubí z trubek měděných Příplatek k cenám za zhotovení přípojky z trubek měděných Ø 15/1</t>
  </si>
  <si>
    <t>-558457332</t>
  </si>
  <si>
    <t>https://podminky.urs.cz/item/CS_URS_2024_01/733224222</t>
  </si>
  <si>
    <t>62</t>
  </si>
  <si>
    <t>733291101</t>
  </si>
  <si>
    <t>Zkoušky těsnosti potrubí z trubek měděných Ø do 35/1,5</t>
  </si>
  <si>
    <t>443925275</t>
  </si>
  <si>
    <t>https://podminky.urs.cz/item/CS_URS_2024_01/733291101</t>
  </si>
  <si>
    <t>63</t>
  </si>
  <si>
    <t>733291102</t>
  </si>
  <si>
    <t>Zkoušky těsnosti potrubí z trubek měděných Ø přes 35/1,5 do 64/2,0</t>
  </si>
  <si>
    <t>-2018683367</t>
  </si>
  <si>
    <t>https://podminky.urs.cz/item/CS_URS_2024_01/733291102</t>
  </si>
  <si>
    <t>733xxx01</t>
  </si>
  <si>
    <t>Zednické přípomoce - prostupy vrtáním pro potrubí, prostup do průměru 80 mm a následné zapravení</t>
  </si>
  <si>
    <t>-743553421</t>
  </si>
  <si>
    <t>65</t>
  </si>
  <si>
    <t>733xxx22</t>
  </si>
  <si>
    <t>had.panc. oplet nerez vnitřní 6/4“/vnější 6/4“ závit, délka 350 mm</t>
  </si>
  <si>
    <t>-1192424061</t>
  </si>
  <si>
    <t>66</t>
  </si>
  <si>
    <t>998733102</t>
  </si>
  <si>
    <t>Přesun hmot pro rozvody potrubí stanovený z hmotnosti přesunovaného materiálu vodorovná dopravní vzdálenost do 50 m základní v objektech výšky přes 6 do 12 m</t>
  </si>
  <si>
    <t>-1479596568</t>
  </si>
  <si>
    <t>https://podminky.urs.cz/item/CS_URS_2024_01/998733102</t>
  </si>
  <si>
    <t>734</t>
  </si>
  <si>
    <t>Ústřední vytápění - armatury</t>
  </si>
  <si>
    <t>67</t>
  </si>
  <si>
    <t>734209113</t>
  </si>
  <si>
    <t>Montáž závitových armatur se 2 závity G 1/2 (DN 15)</t>
  </si>
  <si>
    <t>-1845498313</t>
  </si>
  <si>
    <t>https://podminky.urs.cz/item/CS_URS_2024_01/734209113</t>
  </si>
  <si>
    <t>68</t>
  </si>
  <si>
    <t>73422153xx1</t>
  </si>
  <si>
    <t>Ventil závitový termostatický H - chrom  - pro středové spodní připojení žebříků DN 15 -  včetně  krytky a termostatické hlavice</t>
  </si>
  <si>
    <t>-1867434309</t>
  </si>
  <si>
    <t>69</t>
  </si>
  <si>
    <t>73422153xx2</t>
  </si>
  <si>
    <t xml:space="preserve">Ventil závitový termostatický přímý pro napojení podlahových konvektorů G 1/2", Z-LREG-014 - bez hlavice </t>
  </si>
  <si>
    <t>-936422529</t>
  </si>
  <si>
    <t>70</t>
  </si>
  <si>
    <t>73422153xx3</t>
  </si>
  <si>
    <t xml:space="preserve">Regulační šroubení přímé pro napojení podlahových konvektorů G 1/2", Z-LREG-016 </t>
  </si>
  <si>
    <t>1156768754</t>
  </si>
  <si>
    <t>71</t>
  </si>
  <si>
    <t>73422153xx4</t>
  </si>
  <si>
    <t xml:space="preserve">LM armatura pro napojení nástěnných konvektorů G 1/2", Z-LREG-094 </t>
  </si>
  <si>
    <t>-24780982</t>
  </si>
  <si>
    <t>72</t>
  </si>
  <si>
    <t>734209117</t>
  </si>
  <si>
    <t>Montáž závitových armatur se 2 závity G 6/4 (DN 40)</t>
  </si>
  <si>
    <t>-937798402</t>
  </si>
  <si>
    <t>https://podminky.urs.cz/item/CS_URS_2024_01/734209117</t>
  </si>
  <si>
    <t>73</t>
  </si>
  <si>
    <t>734xxx20</t>
  </si>
  <si>
    <t>Kulový uzávěr s filtrem - filtrball 6/4"</t>
  </si>
  <si>
    <t>720945828</t>
  </si>
  <si>
    <t>74</t>
  </si>
  <si>
    <t>734209118</t>
  </si>
  <si>
    <t>Montáž závitových armatur se 2 závity G 2 (DN 50)</t>
  </si>
  <si>
    <t>-1118364656</t>
  </si>
  <si>
    <t>https://podminky.urs.cz/item/CS_URS_2024_01/734209118</t>
  </si>
  <si>
    <t>75</t>
  </si>
  <si>
    <t>734xxx19</t>
  </si>
  <si>
    <t>Kulový uzávěr s filtrem - filtrball 2"</t>
  </si>
  <si>
    <t>-170713621</t>
  </si>
  <si>
    <t>76</t>
  </si>
  <si>
    <t>7-738-320-320</t>
  </si>
  <si>
    <t>Filtry závitové přímé s vnitřními závity G 2 - MAGNETICKÉ SE SÍTKEM a s izolací - Mosazný hydrocyklonový odlucovac s vnejším magnetem a EPP izolací</t>
  </si>
  <si>
    <t>524149152</t>
  </si>
  <si>
    <t>77</t>
  </si>
  <si>
    <t>734211120</t>
  </si>
  <si>
    <t>Ventily odvzdušňovací závitové automatické PN 14 do 120°C G 1/2</t>
  </si>
  <si>
    <t>1811135992</t>
  </si>
  <si>
    <t>https://podminky.urs.cz/item/CS_URS_2024_01/734211120</t>
  </si>
  <si>
    <t>78</t>
  </si>
  <si>
    <t>734242414</t>
  </si>
  <si>
    <t>Ventily zpětné závitové PN 16 do 110°C přímé G 1</t>
  </si>
  <si>
    <t>464145541</t>
  </si>
  <si>
    <t>https://podminky.urs.cz/item/CS_URS_2024_01/734242414</t>
  </si>
  <si>
    <t>79</t>
  </si>
  <si>
    <t>734242415</t>
  </si>
  <si>
    <t>Ventily zpětné závitové PN 16 do 110°C přímé G 5/4</t>
  </si>
  <si>
    <t>-1759005349</t>
  </si>
  <si>
    <t>https://podminky.urs.cz/item/CS_URS_2024_01/734242415</t>
  </si>
  <si>
    <t>80</t>
  </si>
  <si>
    <t>734242416</t>
  </si>
  <si>
    <t>Ventily zpětné závitové PN 16 do 110°C přímé G 6/4</t>
  </si>
  <si>
    <t>2113045120</t>
  </si>
  <si>
    <t>https://podminky.urs.cz/item/CS_URS_2024_01/734242416</t>
  </si>
  <si>
    <t>81</t>
  </si>
  <si>
    <t>734242417</t>
  </si>
  <si>
    <t>Ventily zpětné závitové PN 16 do 110°C přímé G 2</t>
  </si>
  <si>
    <t>2120034333</t>
  </si>
  <si>
    <t>https://podminky.urs.cz/item/CS_URS_2024_01/734242417</t>
  </si>
  <si>
    <t>82</t>
  </si>
  <si>
    <t>734261403</t>
  </si>
  <si>
    <t>Šroubení připojovací armatury radiátorů VK PN 10 do 110°C, regulační uzavíratelné rohové G 3/4 x 18</t>
  </si>
  <si>
    <t>-13240542</t>
  </si>
  <si>
    <t>https://podminky.urs.cz/item/CS_URS_2024_01/734261403</t>
  </si>
  <si>
    <t>83</t>
  </si>
  <si>
    <t>734291123</t>
  </si>
  <si>
    <t>Ostatní armatury kohouty plnicí a vypouštěcí PN 10 do 90°C G 1/2</t>
  </si>
  <si>
    <t>-415236773</t>
  </si>
  <si>
    <t>https://podminky.urs.cz/item/CS_URS_2024_01/734291123</t>
  </si>
  <si>
    <t>84</t>
  </si>
  <si>
    <t>734292713</t>
  </si>
  <si>
    <t>Ostatní armatury kulové kohouty PN 42 do 185°C přímé vnitřní závit G 1/2</t>
  </si>
  <si>
    <t>-432082153</t>
  </si>
  <si>
    <t>https://podminky.urs.cz/item/CS_URS_2024_01/734292713</t>
  </si>
  <si>
    <t>85</t>
  </si>
  <si>
    <t>734292715</t>
  </si>
  <si>
    <t>Ostatní armatury kulové kohouty PN 42 do 185°C přímé vnitřní závit G 1</t>
  </si>
  <si>
    <t>-534077716</t>
  </si>
  <si>
    <t>https://podminky.urs.cz/item/CS_URS_2024_01/734292715</t>
  </si>
  <si>
    <t>86</t>
  </si>
  <si>
    <t>734292716</t>
  </si>
  <si>
    <t>Ostatní armatury kulové kohouty PN 42 do 185°C přímé vnitřní závit G 1 1/4</t>
  </si>
  <si>
    <t>-1825324010</t>
  </si>
  <si>
    <t>https://podminky.urs.cz/item/CS_URS_2024_01/734292716</t>
  </si>
  <si>
    <t>87</t>
  </si>
  <si>
    <t>734292717</t>
  </si>
  <si>
    <t>Ostatní armatury kulové kohouty PN 42 do 185°C přímé vnitřní závit G 1 1/2</t>
  </si>
  <si>
    <t>903435072</t>
  </si>
  <si>
    <t>https://podminky.urs.cz/item/CS_URS_2024_01/734292717</t>
  </si>
  <si>
    <t>88</t>
  </si>
  <si>
    <t>734292718</t>
  </si>
  <si>
    <t>Ostatní armatury kulové kohouty PN 42 do 185°C přímé vnitřní závit G 2</t>
  </si>
  <si>
    <t>-1388872166</t>
  </si>
  <si>
    <t>https://podminky.urs.cz/item/CS_URS_2024_01/734292718</t>
  </si>
  <si>
    <t>89</t>
  </si>
  <si>
    <t>734411101</t>
  </si>
  <si>
    <t>Teploměry technické s pevným stonkem a jímkou zadní připojení (axiální) průměr 63 mm délka stonku 50 mm</t>
  </si>
  <si>
    <t>1172899196</t>
  </si>
  <si>
    <t>https://podminky.urs.cz/item/CS_URS_2024_01/734411101</t>
  </si>
  <si>
    <t>90</t>
  </si>
  <si>
    <t>734421102</t>
  </si>
  <si>
    <t>Tlakoměry s pevným stonkem a zpětnou klapkou spodní připojení (radiální) tlaku 0–16 bar průměru 63 mm</t>
  </si>
  <si>
    <t>-1612285624</t>
  </si>
  <si>
    <t>https://podminky.urs.cz/item/CS_URS_2024_01/734421102</t>
  </si>
  <si>
    <t>91</t>
  </si>
  <si>
    <t>998734101</t>
  </si>
  <si>
    <t>Přesun hmot pro armatury stanovený z hmotnosti přesunovaného materiálu vodorovná dopravní vzdálenost do 50 m v objektech výšky do 6 m</t>
  </si>
  <si>
    <t>1470194390</t>
  </si>
  <si>
    <t>https://podminky.urs.cz/item/CS_URS_2024_01/998734101</t>
  </si>
  <si>
    <t>735</t>
  </si>
  <si>
    <t>Ústřední vytápění - otopná tělesa</t>
  </si>
  <si>
    <t>92</t>
  </si>
  <si>
    <t>735000911</t>
  </si>
  <si>
    <t>Regulace otopného systému při opravách vyregulování dvojregulačních ventilů a kohoutů s ručním ovládáním</t>
  </si>
  <si>
    <t>-424009474</t>
  </si>
  <si>
    <t>https://podminky.urs.cz/item/CS_URS_2024_01/735000911</t>
  </si>
  <si>
    <t>93</t>
  </si>
  <si>
    <t>735152576</t>
  </si>
  <si>
    <t>Otopná tělesa panelová VK dvoudesková PN 1,0 MPa, T do 110°C se dvěma přídavnými přestupními plochami výšky tělesa 600 mm stavební délky / výkonu 900 mm / 1511 W</t>
  </si>
  <si>
    <t>1240447957</t>
  </si>
  <si>
    <t>https://podminky.urs.cz/item/CS_URS_2024_01/735152576</t>
  </si>
  <si>
    <t>94</t>
  </si>
  <si>
    <t>735152597</t>
  </si>
  <si>
    <t>Otopná tělesa panelová VK dvoudesková PN 1,0 MPa, T do 110°C se dvěma přídavnými přestupními plochami výšky tělesa 900 mm stavební délky / výkonu 1000 mm / 2313 W</t>
  </si>
  <si>
    <t>-1409268775</t>
  </si>
  <si>
    <t>https://podminky.urs.cz/item/CS_URS_2024_01/735152597</t>
  </si>
  <si>
    <t>95</t>
  </si>
  <si>
    <t>735152676</t>
  </si>
  <si>
    <t>Otopná tělesa panelová VK třídesková PN 1,0 MPa, T do 110°C se třemi přídavnými přestupními plochami výšky tělesa 600 mm stavební délky / výkonu 900 mm / 2165 W</t>
  </si>
  <si>
    <t>1403564377</t>
  </si>
  <si>
    <t>https://podminky.urs.cz/item/CS_URS_2024_01/735152676</t>
  </si>
  <si>
    <t>96</t>
  </si>
  <si>
    <t>735152678</t>
  </si>
  <si>
    <t>Otopná tělesa panelová VK třídesková PN 1,0 MPa, T do 110°C se třemi přídavnými přestupními plochami výšky tělesa 600 mm stavební délky / výkonu 1100 mm / 2647 W</t>
  </si>
  <si>
    <t>1822649239</t>
  </si>
  <si>
    <t>https://podminky.urs.cz/item/CS_URS_2024_01/735152678</t>
  </si>
  <si>
    <t>97</t>
  </si>
  <si>
    <t>735152679</t>
  </si>
  <si>
    <t>Otopná tělesa panelová VK třídesková PN 1,0 MPa, T do 110°C se třemi přídavnými přestupními plochami výšky tělesa 600 mm stavební délky / výkonu 1200 mm / 2887 W</t>
  </si>
  <si>
    <t>-357464841</t>
  </si>
  <si>
    <t>https://podminky.urs.cz/item/CS_URS_2024_01/735152679</t>
  </si>
  <si>
    <t>98</t>
  </si>
  <si>
    <t>735152680</t>
  </si>
  <si>
    <t>Otopná tělesa panelová VK třídesková PN 1,0 MPa, T do 110°C se třemi přídavnými přestupními plochami výšky tělesa 600 mm stavební délky / výkonu 1400 mm / 3368 W</t>
  </si>
  <si>
    <t>-1093388377</t>
  </si>
  <si>
    <t>https://podminky.urs.cz/item/CS_URS_2024_01/735152680</t>
  </si>
  <si>
    <t>99</t>
  </si>
  <si>
    <t>735152681</t>
  </si>
  <si>
    <t>Otopná tělesa panelová VK třídesková PN 1,0 MPa, T do 110°C se třemi přídavnými přestupními plochami výšky tělesa 600 mm stavební délky / výkonu 1600 mm / 3850 W</t>
  </si>
  <si>
    <t>-1210006253</t>
  </si>
  <si>
    <t>https://podminky.urs.cz/item/CS_URS_2024_01/735152681</t>
  </si>
  <si>
    <t>100</t>
  </si>
  <si>
    <t>735164512</t>
  </si>
  <si>
    <t>Otopná tělesa trubková montáž těles na stěnu výšky tělesa přes 1500 mm</t>
  </si>
  <si>
    <t>-373171386</t>
  </si>
  <si>
    <t>https://podminky.urs.cz/item/CS_URS_2024_01/735164512</t>
  </si>
  <si>
    <t>101</t>
  </si>
  <si>
    <t>KRDKLT1</t>
  </si>
  <si>
    <t>Trubkové koupelnové otopné ocelové těleso se spodním středovým připojením (např. Linear Comfort M) výška 1220 mm / délka 750 mm rovné bílé z profilů 41x35mm a trubek ∅ 24 mm</t>
  </si>
  <si>
    <t>-265889771</t>
  </si>
  <si>
    <t>102</t>
  </si>
  <si>
    <t>KRDKLT2</t>
  </si>
  <si>
    <t>Trubkové koupelnové otopné ocelové těleso se spodním středovým připojením (např. Linear Comfort M) výška 1820 mm / délka 450 mm rovné bílé z profilů 41x35mm a trubek ∅ 24 mm</t>
  </si>
  <si>
    <t>1598277737</t>
  </si>
  <si>
    <t>103</t>
  </si>
  <si>
    <t>KRDKLT3</t>
  </si>
  <si>
    <t>Trubkové koupelnové otopné ocelové těleso se spodním středovým připojením (např. Linear Comfort M) výška 1820 mm / délka 600 mm rovné bílé z profilů 41x35mm a trubek ∅ 24 mm</t>
  </si>
  <si>
    <t>-1803726488</t>
  </si>
  <si>
    <t>104</t>
  </si>
  <si>
    <t>ISAdanc1</t>
  </si>
  <si>
    <t>Designový radiátor (např. Antika Cube) se vyznačuje SVISLÝMI hranatými profily a umožňuje osazení chromovým madlem.Těleso tvoří zaoblené ocelové profily 70×11 mm se zdvojenou plochou k dosažení vysokého topného výkonu. Výška tělesa 1800, délka 415 mm (14 profilů), Výkon 75/65/20°C = 1328 W. Připojení spodní středové.</t>
  </si>
  <si>
    <t>325953481</t>
  </si>
  <si>
    <t>105</t>
  </si>
  <si>
    <t>ISAdanc2</t>
  </si>
  <si>
    <t>Designový radiátor (např. Antika Cube) se vyznačuje SVISLÝMI hranatými profily a umožňuje osazení chromovým madlem.Těleso tvoří zaoblené ocelové profily 70×11 mm se zdvojenou plochou k dosažení vysokého topného výkonu. Výška tělesa 1800, délka 595 mm (20 profilů), Výkon 75/65/20°C = 1758 W. Připojení spodní středové.</t>
  </si>
  <si>
    <t>-644686277</t>
  </si>
  <si>
    <t>106</t>
  </si>
  <si>
    <t>735419116</t>
  </si>
  <si>
    <t>Konvektory nástěnné montáž konvektorů s osazením na hmoždinky, stavební délky přes 1600 do 2000 mm</t>
  </si>
  <si>
    <t>2068382707</t>
  </si>
  <si>
    <t>https://podminky.urs.cz/item/CS_URS_2024_01/735419116</t>
  </si>
  <si>
    <t>107</t>
  </si>
  <si>
    <t>735_KONV1</t>
  </si>
  <si>
    <t>Nástěnný konvektor (NAPŘÍKLAD KORAWALL Optimal-V WVO) je účinné, energeticky úsporné těleso s nucenou konvekcí s možností chlazení bez vzniku kondenzátu. Je vybaven výměníkem tepla a sestavou nízkoenergetických výkonných ventilátorů s minimálním příkonem. Nástěnná tělesa tak dosahují vysoké účinnosti i při nízkých teplotních spádech. Výška 450, délka 1750, šířka 110 mm, Výkon 55/45/20°C při středních otáčkách 3555 W (ovládání a napájení řeší profese MaR)</t>
  </si>
  <si>
    <t>-1329829827</t>
  </si>
  <si>
    <t>108</t>
  </si>
  <si>
    <t>735419135</t>
  </si>
  <si>
    <t>Konvektory podlahové montáž konvektorů stavební délky do 1600 mm</t>
  </si>
  <si>
    <t>-761094988</t>
  </si>
  <si>
    <t>https://podminky.urs.cz/item/CS_URS_2024_01/735419135</t>
  </si>
  <si>
    <t>109</t>
  </si>
  <si>
    <t>735419136</t>
  </si>
  <si>
    <t>Konvektory podlahové montáž konvektorů stavební délky přes 1600 do 3000 mm</t>
  </si>
  <si>
    <t>807989863</t>
  </si>
  <si>
    <t>https://podminky.urs.cz/item/CS_URS_2024_01/735419136</t>
  </si>
  <si>
    <t>110</t>
  </si>
  <si>
    <t>735_KONV2</t>
  </si>
  <si>
    <t>Konvektor podlahový s ventilátorem (např. KORAFLEX FVOX OPTIMAL-V F 100/13/26)  hl 130 mm š 260 mm dl 1000 mm.  Výkon 55/45/20°C při středních otáčkách 1646 W (ovládání a napájení řeší profese MaR) . Mřížka - dřevo - dub (před objednáním upřesní architekt)</t>
  </si>
  <si>
    <t>-564126144</t>
  </si>
  <si>
    <t>111</t>
  </si>
  <si>
    <t>735_KONV3</t>
  </si>
  <si>
    <t>Konvektor podlahový s ventilátorem (např. KORAFLEX FVOX OPTIMAL-V F 120/13/32)  hl 130 mm š 320 mm dl 1200 mm.  Výkon 55/45/20°C při středních otáčkách 2744 W (ovládání a napájení řeší profese MaR) . Mřížka - dřevo - dub (před objednáním upřesní architekt)</t>
  </si>
  <si>
    <t>1437137752</t>
  </si>
  <si>
    <t>112</t>
  </si>
  <si>
    <t>735_KONV4</t>
  </si>
  <si>
    <t>Konvektor podlahový s ventilátorem (např. KORAFLEX FVOX OPTIMAL-V F 140/13/32)  hl 130 mm š 320 mm dl 1400 mm.  Výkon 55/45/20°C při středních otáčkách 3361 W (ovládání a napájení řeší profese MaR) . Mřížka - hliník (před objednáním upřesní architekt)</t>
  </si>
  <si>
    <t>-1210180175</t>
  </si>
  <si>
    <t>113</t>
  </si>
  <si>
    <t>735_KONV5</t>
  </si>
  <si>
    <t>Konvektor podlahový s ventilátorem (např. KORAFLEX FVOX OPTIMAL-V F 140/13/32)  hl 130 mm š 320 mm dl 1400 mm.  Výkon 55/45/20°C při středních otáčkách 3361 W (ovládání a napájení řeší profese MaR) . Mřížka - dřevo - dub (před objednáním upřesní architekt)</t>
  </si>
  <si>
    <t>1302201462</t>
  </si>
  <si>
    <t>114</t>
  </si>
  <si>
    <t>735_KONV6</t>
  </si>
  <si>
    <t>Konvektor podlahový s ventilátorem (např. KORAFLEX FVOX OPTIMAL-V F 160/13/32)  hl 130 mm š 320 mm dl 1600 mm.  Výkon 55/45/20°C při středních otáčkách 3978 W (ovládání a napájení řeší profese MaR) . Mřížka - dřevo - dub (před objednáním upřesní architekt)</t>
  </si>
  <si>
    <t>1192291778</t>
  </si>
  <si>
    <t>115</t>
  </si>
  <si>
    <t>735_KONV7</t>
  </si>
  <si>
    <t>Konvektor podlahový s ventilátorem (např. KORAFLEX FVOX OPTIMAL-V F 180/13/32)  hl 130 mm š 320 mm dl 1800 mm.  Výkon 55/45/20°C při středních otáčkách 4594 W (ovládání a napájení řeší profese MaR) . Mřížka - dřevo - dub (před objednáním upřesní architekt)</t>
  </si>
  <si>
    <t>-2012421253</t>
  </si>
  <si>
    <t>116</t>
  </si>
  <si>
    <t>735_KONV8</t>
  </si>
  <si>
    <t>Konvektor podlahový s ventilátorem (např. KORAFLEX FVOX OPTIMAL-V F 200/13/32)  hl 130 mm š 320 mm dl 2000 mm.  Výkon 55/45/20°C při středních otáčkách 5211 W (ovládání a napájení řeší profese MaR) . Mřížka - dřevo - dub (před objednáním upřesní architekt)</t>
  </si>
  <si>
    <t>480600840</t>
  </si>
  <si>
    <t>117</t>
  </si>
  <si>
    <t>735_KONV9</t>
  </si>
  <si>
    <t>Konvektor podlahový s ventilátorem (např. KORAFLEX FVOX OPTIMAL-V F 240/13/32)  hl 130 mm š 320 mm dl 2400 mm.  Výkon 55/45/20°C při středních otáčkách 6444 W (ovládání a napájení řeší profese MaR) . Mřížka - dřevo - dub (před objednáním upřesní architekt)</t>
  </si>
  <si>
    <t>1464538291</t>
  </si>
  <si>
    <t>118</t>
  </si>
  <si>
    <t>735_KONV10</t>
  </si>
  <si>
    <t>Konvektor podlahový s ventilátorem (např. KORAFLEX FVOX OPTIMAL-V F 160/13/40)  hl 130 mm š 400 mm dl 1600 mm.  Výkon 55/45/20°C při středních otáčkách 6443 W (ovládání a napájení řeší profese MaR) . Mřížka - dřevo - dub (před objednáním upřesní architekt)</t>
  </si>
  <si>
    <t>1811726365</t>
  </si>
  <si>
    <t>119</t>
  </si>
  <si>
    <t>735_KONV11</t>
  </si>
  <si>
    <t>Konvektor podlahový s ventilátorem do vlhkého prostředí (berez) s odtokem vody (např. KORAFLEX FVPX POOL P 160/11/32)  hl 110 mm š 320 mm dl 1600 mm.  Výkon 55/45/20°C při středních otáčkách 2870 W (ovládání a napájení řeší profese MaR) . Mřížka - hliník (před objednáním upřesní architekt)</t>
  </si>
  <si>
    <t>-502978633</t>
  </si>
  <si>
    <t>120</t>
  </si>
  <si>
    <t>735511010</t>
  </si>
  <si>
    <t>Trubkové teplovodní podlahové vytápění rozvod v systémové desce potrubí polyethylen PE-Xa rozvodné potrubí 17x2 mm, rozteč 150 mm</t>
  </si>
  <si>
    <t>-977387912</t>
  </si>
  <si>
    <t>https://podminky.urs.cz/item/CS_URS_2024_01/735511010</t>
  </si>
  <si>
    <t>121</t>
  </si>
  <si>
    <t>735511026.RHU</t>
  </si>
  <si>
    <t>Podlahové vytápění - systémová deska s kombinovanou tepelnou izolací (např. REHAU VARIONOVA 11 výšky 31 mm)</t>
  </si>
  <si>
    <t>m2</t>
  </si>
  <si>
    <t>-2041229522</t>
  </si>
  <si>
    <t>122</t>
  </si>
  <si>
    <t>735511062</t>
  </si>
  <si>
    <t>Trubkové teplovodní podlahové vytápění doplňkové prvky okrajový izolační pruh</t>
  </si>
  <si>
    <t>194720764</t>
  </si>
  <si>
    <t>https://podminky.urs.cz/item/CS_URS_2024_01/735511062</t>
  </si>
  <si>
    <t>123</t>
  </si>
  <si>
    <t>735511063</t>
  </si>
  <si>
    <t>Trubkové teplovodní podlahové vytápění doplňkové prvky ochranná trubka</t>
  </si>
  <si>
    <t>1334152637</t>
  </si>
  <si>
    <t>https://podminky.urs.cz/item/CS_URS_2024_01/735511063</t>
  </si>
  <si>
    <t>124</t>
  </si>
  <si>
    <t>735511081</t>
  </si>
  <si>
    <t>Trubkové teplovodní podlahové vytápění rozdělovače mosazné s průtokoměry dvouokruhové</t>
  </si>
  <si>
    <t>-1369585259</t>
  </si>
  <si>
    <t>https://podminky.urs.cz/item/CS_URS_2024_01/735511081</t>
  </si>
  <si>
    <t>125</t>
  </si>
  <si>
    <t>735511085</t>
  </si>
  <si>
    <t>Trubkové teplovodní podlahové vytápění rozdělovače mosazné s průtokoměry šestiokruhové</t>
  </si>
  <si>
    <t>-1062678528</t>
  </si>
  <si>
    <t>https://podminky.urs.cz/item/CS_URS_2024_01/735511085</t>
  </si>
  <si>
    <t>126</t>
  </si>
  <si>
    <t>735511092</t>
  </si>
  <si>
    <t>Trubkové teplovodní podlahové vytápění rozdělovače nerezové s průtokoměry třináctiokruhové</t>
  </si>
  <si>
    <t>1029751435</t>
  </si>
  <si>
    <t>127</t>
  </si>
  <si>
    <t>735511101</t>
  </si>
  <si>
    <t>Trubkové teplovodní podlahové vytápění skříně rozdělovače pod omítku, pro rozdělovač s počtem okruhů 2-5</t>
  </si>
  <si>
    <t>-1681265219</t>
  </si>
  <si>
    <t>https://podminky.urs.cz/item/CS_URS_2024_01/735511101</t>
  </si>
  <si>
    <t>735511122</t>
  </si>
  <si>
    <t>Trubkové teplovodní podlahové vytápění skříně rozdělovače na omítku, pro rozdělovač s počtem okruhů 2-6</t>
  </si>
  <si>
    <t>-792258999</t>
  </si>
  <si>
    <t>https://podminky.urs.cz/item/CS_URS_2024_01/735511122</t>
  </si>
  <si>
    <t>129</t>
  </si>
  <si>
    <t>735511128</t>
  </si>
  <si>
    <t>Trubkové teplovodní podlahové vytápění skříně rozdělovače na omítku, pro rozdělovač s počtem okruhů nad 12</t>
  </si>
  <si>
    <t>1998450123</t>
  </si>
  <si>
    <t>https://podminky.urs.cz/item/CS_URS_2024_01/735511128</t>
  </si>
  <si>
    <t>130</t>
  </si>
  <si>
    <t>735511138</t>
  </si>
  <si>
    <t>Trubkové teplovodní podlahové vytápění připojovací šroubení rozdělovače, potrubí 17x2,0 mm</t>
  </si>
  <si>
    <t>635026966</t>
  </si>
  <si>
    <t>https://podminky.urs.cz/item/CS_URS_2024_01/735511138</t>
  </si>
  <si>
    <t>131</t>
  </si>
  <si>
    <t>735511140XX</t>
  </si>
  <si>
    <t>Trubkové teplovodní podlahové vytápění - vodící oblouk 90° - 16/17</t>
  </si>
  <si>
    <t>-1567147202</t>
  </si>
  <si>
    <t>132</t>
  </si>
  <si>
    <t>735511141XX</t>
  </si>
  <si>
    <t>Trubkové teplovodní podlahové vytápění - upevňovací skoba</t>
  </si>
  <si>
    <t>1635024941</t>
  </si>
  <si>
    <t>133</t>
  </si>
  <si>
    <t>735511142XX</t>
  </si>
  <si>
    <t>Trubkové teplovodní podlahové vytápění - vyvažovací sada pro připojení rozdělovače - uzavírací kulový kohout a vyvyažovací ventil nerez 1" - pár</t>
  </si>
  <si>
    <t>1115374772</t>
  </si>
  <si>
    <t>134</t>
  </si>
  <si>
    <t>998735102</t>
  </si>
  <si>
    <t>Přesun hmot pro otopná tělesa stanovený z hmotnosti přesunovaného materiálu vodorovná dopravní vzdálenost do 50 m základní v objektech výšky přes 6 do 12 m</t>
  </si>
  <si>
    <t>-1051619239</t>
  </si>
  <si>
    <t>https://podminky.urs.cz/item/CS_URS_2024_01/998735102</t>
  </si>
  <si>
    <t>TOPNÁ ZKOUŠKA</t>
  </si>
  <si>
    <t>135</t>
  </si>
  <si>
    <t>101a</t>
  </si>
  <si>
    <t>Topná zkouška do 100 kW</t>
  </si>
  <si>
    <t>512</t>
  </si>
  <si>
    <t>1049816731</t>
  </si>
  <si>
    <t>767</t>
  </si>
  <si>
    <t>Konstrukce zámečnické</t>
  </si>
  <si>
    <t>136</t>
  </si>
  <si>
    <t>767995113</t>
  </si>
  <si>
    <t>Montáž atypických zámečnických konstrukcí hmotnosti do 20 kg</t>
  </si>
  <si>
    <t>kg</t>
  </si>
  <si>
    <t>1671225934</t>
  </si>
  <si>
    <t>137</t>
  </si>
  <si>
    <t>767xxx01</t>
  </si>
  <si>
    <t>-1966919715</t>
  </si>
  <si>
    <t>138</t>
  </si>
  <si>
    <t>998767101</t>
  </si>
  <si>
    <t>Přesun hmot pro zámečnické konstr., výšky do 6 m</t>
  </si>
  <si>
    <t>143774163</t>
  </si>
  <si>
    <t>VRN</t>
  </si>
  <si>
    <t>Vedlejší rozpočtové náklady</t>
  </si>
  <si>
    <t>VRN1</t>
  </si>
  <si>
    <t>Průzkumné, geodetické a projektové práce</t>
  </si>
  <si>
    <t>139</t>
  </si>
  <si>
    <t>013254000</t>
  </si>
  <si>
    <t>Průzkumné, geodetické a projektové práce projektové práce dokumentace stavby (výkresová a textová) skutečného provedení stavby</t>
  </si>
  <si>
    <t>Kč</t>
  </si>
  <si>
    <t>1024</t>
  </si>
  <si>
    <t>-1549976851</t>
  </si>
  <si>
    <t>https://podminky.urs.cz/item/CS_URS_2024_01/013254000</t>
  </si>
  <si>
    <t>Rozvodnice</t>
  </si>
  <si>
    <t>počet</t>
  </si>
  <si>
    <t xml:space="preserve">Jistič </t>
  </si>
  <si>
    <t>In (A)</t>
  </si>
  <si>
    <t>char.</t>
  </si>
  <si>
    <t>počet fází</t>
  </si>
  <si>
    <t>B</t>
  </si>
  <si>
    <t>motor spouštěč vč. pomocného kontaktu, nebo s možností doplnění (N.C.)</t>
  </si>
  <si>
    <t>3,2A</t>
  </si>
  <si>
    <t>Pojistková svorkovnice 24V DC</t>
  </si>
  <si>
    <t>sada</t>
  </si>
  <si>
    <t>stykače, relé a pomocné kontakty</t>
  </si>
  <si>
    <t>Stykač: 3-pólový; NO x3; Pomocné kontakty: NO - 230V/400V</t>
  </si>
  <si>
    <t>Reléový modul 230VAC RC kontakty min. 2x NC/NO</t>
  </si>
  <si>
    <t>Reléový modul 24VDC RC kontaktymin. 2x NC/NO</t>
  </si>
  <si>
    <t>NC kontakt jističe - externí modul (dle značky jističů)</t>
  </si>
  <si>
    <t>Přepínač 1 - 0 - 2</t>
  </si>
  <si>
    <t>hlavní vypínač 400V - 250A</t>
  </si>
  <si>
    <t>Svorkovnice 230V AC</t>
  </si>
  <si>
    <t>Svorkovnice 24V DC</t>
  </si>
  <si>
    <t xml:space="preserve">Svorkovnice 5V </t>
  </si>
  <si>
    <t xml:space="preserve">Svorkovnice set </t>
  </si>
  <si>
    <t>X2 (230V AC)</t>
  </si>
  <si>
    <t>MET</t>
  </si>
  <si>
    <t>LED žárovky do dveří rozvodnice</t>
  </si>
  <si>
    <t>Přepěťová ochrana</t>
  </si>
  <si>
    <t>napětí</t>
  </si>
  <si>
    <t>ethernet</t>
  </si>
  <si>
    <t>400V</t>
  </si>
  <si>
    <t>24V</t>
  </si>
  <si>
    <t>230V</t>
  </si>
  <si>
    <t>teploměry 1-wire</t>
  </si>
  <si>
    <t>ks</t>
  </si>
  <si>
    <t>zdroje 24VDC</t>
  </si>
  <si>
    <t>hlídání teplot na potrubí a nádobách - rozpínací kontakty 60°C</t>
  </si>
  <si>
    <t>hlídání teplot na potrubí a nádobách - rozpínací kontakty 40°C</t>
  </si>
  <si>
    <t>zasuvka servisni do RM, RM1, RM2, RM3</t>
  </si>
  <si>
    <t>Skříň RACK v TM</t>
  </si>
  <si>
    <t>zásuvka pro rack v TM</t>
  </si>
  <si>
    <t>router - switch</t>
  </si>
  <si>
    <t xml:space="preserve">senzor zaplavení </t>
  </si>
  <si>
    <t>selenoid elektromag. ventil potrubí - podlahové topení R1, R2, R3</t>
  </si>
  <si>
    <t>tavné pojistky pro jištění 24VDC</t>
  </si>
  <si>
    <t xml:space="preserve">Kanál rozváděčový, RK 40X60 LD apod. </t>
  </si>
  <si>
    <t xml:space="preserve">Instalační lišty/kanály pro rozvod v technické místnosti </t>
  </si>
  <si>
    <t>kabely</t>
  </si>
  <si>
    <t>FTP CAT6</t>
  </si>
  <si>
    <t>JYTY-O 7x1</t>
  </si>
  <si>
    <t>CYKY - ostatní rozměry</t>
  </si>
  <si>
    <t>CYKY J 5x16</t>
  </si>
  <si>
    <t>CY</t>
  </si>
  <si>
    <t>JYTY - ostatní rozměry</t>
  </si>
  <si>
    <t>JYSTY</t>
  </si>
  <si>
    <t>YSLCY</t>
  </si>
  <si>
    <t xml:space="preserve">elektroinstlační práce </t>
  </si>
  <si>
    <t>kabelové rozvody MaR</t>
  </si>
  <si>
    <t>výroba rozvaděčů</t>
  </si>
  <si>
    <t>dokumentace a typové zkoušky rozvaděčů</t>
  </si>
  <si>
    <r>
      <t xml:space="preserve">osazení hardware: </t>
    </r>
    <r>
      <rPr>
        <i/>
        <sz val="10"/>
        <color theme="1"/>
        <rFont val="Calibri"/>
        <family val="2"/>
        <charset val="238"/>
        <scheme val="minor"/>
      </rPr>
      <t xml:space="preserve">kompletace čidel, servopohonů, hlavic apod. </t>
    </r>
  </si>
  <si>
    <t>dokumentace skutečného provedení</t>
  </si>
  <si>
    <t>Oživení</t>
  </si>
  <si>
    <t>test periferií, datové uzly</t>
  </si>
  <si>
    <t>Software MaR</t>
  </si>
  <si>
    <t>programování + vizualizace, oživení</t>
  </si>
  <si>
    <t>Revize</t>
  </si>
  <si>
    <t>Ostatní</t>
  </si>
  <si>
    <t>manipulace s materiálem</t>
  </si>
  <si>
    <t xml:space="preserve">celkem </t>
  </si>
  <si>
    <t>Stavební rozpočet</t>
  </si>
  <si>
    <t>Název stavby:</t>
  </si>
  <si>
    <t>Doba výstavby:</t>
  </si>
  <si>
    <t xml:space="preserve"> </t>
  </si>
  <si>
    <t> </t>
  </si>
  <si>
    <t>Druh stavby:</t>
  </si>
  <si>
    <t>čerpání vody z podzemních vrtů pro výměníky tepla</t>
  </si>
  <si>
    <t>Začátek výstavby:</t>
  </si>
  <si>
    <t>Lokalita:</t>
  </si>
  <si>
    <t>Brandýs nad Orlicí</t>
  </si>
  <si>
    <t>Konec výstavby:</t>
  </si>
  <si>
    <t>JKSO:</t>
  </si>
  <si>
    <t>Zpracováno dne:</t>
  </si>
  <si>
    <t>Zpracoval:</t>
  </si>
  <si>
    <t>Č</t>
  </si>
  <si>
    <t>Objekt</t>
  </si>
  <si>
    <t>Zkrácený popis / Varianta</t>
  </si>
  <si>
    <t>Cena/MJ</t>
  </si>
  <si>
    <t>Sazba DPH</t>
  </si>
  <si>
    <t>Náklady (Kč)</t>
  </si>
  <si>
    <t>Hmotnost (t)</t>
  </si>
  <si>
    <t>Cenová</t>
  </si>
  <si>
    <t>ISWORK</t>
  </si>
  <si>
    <t>GROUPCODE</t>
  </si>
  <si>
    <t>VATTAX</t>
  </si>
  <si>
    <t>Rozměry</t>
  </si>
  <si>
    <t>(Kč)</t>
  </si>
  <si>
    <t>Celkem vč. DPH</t>
  </si>
  <si>
    <t>Jednot.</t>
  </si>
  <si>
    <t>soustava</t>
  </si>
  <si>
    <t>Přesuny</t>
  </si>
  <si>
    <t>Typ skupiny</t>
  </si>
  <si>
    <t>HSV mat</t>
  </si>
  <si>
    <t>HSV prac</t>
  </si>
  <si>
    <t>PSV mat</t>
  </si>
  <si>
    <t>PSV prac</t>
  </si>
  <si>
    <t>Mont mat</t>
  </si>
  <si>
    <t>Mont prac</t>
  </si>
  <si>
    <t>Ostatní mat.</t>
  </si>
  <si>
    <t>MAT</t>
  </si>
  <si>
    <t>WORK</t>
  </si>
  <si>
    <t>CELK</t>
  </si>
  <si>
    <t>Hloubené vykopávky</t>
  </si>
  <si>
    <t>132101110R00</t>
  </si>
  <si>
    <t>Hloubení rýh š.do 60 cm v hor.2 do 50 m3, STROJNĚ</t>
  </si>
  <si>
    <t>m3</t>
  </si>
  <si>
    <t>RTS I / 2024</t>
  </si>
  <si>
    <t>13_</t>
  </si>
  <si>
    <t>1_</t>
  </si>
  <si>
    <t>_</t>
  </si>
  <si>
    <t>Konstrukce ze zemin</t>
  </si>
  <si>
    <t>174101101R00</t>
  </si>
  <si>
    <t>Zásyp jam, rýh, šachet se zhutněním</t>
  </si>
  <si>
    <t>17_</t>
  </si>
  <si>
    <t>724</t>
  </si>
  <si>
    <t>Strojní vybavení</t>
  </si>
  <si>
    <t>724211192R00</t>
  </si>
  <si>
    <t>Montáž domovní vodárny, bez potrubí a čerpací stanice</t>
  </si>
  <si>
    <t>724_</t>
  </si>
  <si>
    <t>72_</t>
  </si>
  <si>
    <t>Rozvod potrubí</t>
  </si>
  <si>
    <t>733175127R00</t>
  </si>
  <si>
    <t>Montáž tvarovek plast polyf.svař. dva spoje D 63mm</t>
  </si>
  <si>
    <t>733_</t>
  </si>
  <si>
    <t>73_</t>
  </si>
  <si>
    <t>733175136R00</t>
  </si>
  <si>
    <t>Montáž tvarovek plast polyf.svař. tři spoje D 50mm</t>
  </si>
  <si>
    <t>Potrubí z trub plastických, skleněných a čedičových</t>
  </si>
  <si>
    <t>871211121R00</t>
  </si>
  <si>
    <t>Montáž trubek polyetylenových ve výkopu d 63 mm</t>
  </si>
  <si>
    <t>87_</t>
  </si>
  <si>
    <t>8_</t>
  </si>
  <si>
    <t>Montáž sacího potrubí d63 (DN 50=2"): 35+4 m</t>
  </si>
  <si>
    <t>871181121R00</t>
  </si>
  <si>
    <t>Montáž trubek polyetylenových ve výkopu d 50 mm</t>
  </si>
  <si>
    <t>Ostatní materiál</t>
  </si>
  <si>
    <t>42610660</t>
  </si>
  <si>
    <t>Automatická tlaková stanice ATS, 400 V, provedení s frekvenčním měničem</t>
  </si>
  <si>
    <t>Z99999_</t>
  </si>
  <si>
    <t>Z_</t>
  </si>
  <si>
    <t>2865190005</t>
  </si>
  <si>
    <t>Koleno 90° d63 SDR11 PE100RC PN16</t>
  </si>
  <si>
    <t>551296411</t>
  </si>
  <si>
    <t>Elektrotvarovka - příruba PE-Xa FUSAPEX PN 6, d 63 mm na DN 50</t>
  </si>
  <si>
    <t>Přechodka ve vrtu ZB-1 pro osazení sacího koše</t>
  </si>
  <si>
    <t>42273970</t>
  </si>
  <si>
    <t>Koš sací s klapkou SAK, DN 50, PN 10</t>
  </si>
  <si>
    <t>28613105.M</t>
  </si>
  <si>
    <t>Elektro přechodka d 63 x 50 PE-HD/oocel pro vodovod vnější a vnitřní závit</t>
  </si>
  <si>
    <t>Napojení potrubí d 63 na automatickou tlakovou stanici</t>
  </si>
  <si>
    <t>28653777</t>
  </si>
  <si>
    <t>Tvarovka T-kus 90° PE 100  d 63 mm +GF+</t>
  </si>
  <si>
    <t>286134603</t>
  </si>
  <si>
    <t>Trubka vodovodní PE RC Protect SDR 11  50x4,6 mm</t>
  </si>
  <si>
    <t>286134604</t>
  </si>
  <si>
    <t>Trubka vodovodní PE RC Protect SDR 11  63x5,8 mm</t>
  </si>
  <si>
    <t>Vodorovné potrubí od vrtu ZB-1 do technické místnosti délky 20+15 = 35,0 m
Sací potrubí ve vrtu ZB-1 délky 4,0 m</t>
  </si>
  <si>
    <t>28653776</t>
  </si>
  <si>
    <t>Tvarovka T-kus 90° PE 100  d 50 mm +GF+</t>
  </si>
  <si>
    <t>2865190004</t>
  </si>
  <si>
    <t>Koleno 90° d50 SDR11 PE100RC PN16</t>
  </si>
  <si>
    <t>Celkem:</t>
  </si>
  <si>
    <t xml:space="preserve">Automatická tlaková stanice ATS, 400 V, provedení s frekvenčním měničem - průtok ATS max. 13,0 m3/hod s výtlakem 3,0 Bar
- čerpání z vrtu ZB-1
- sací potrubí 2“
- výtlačné potrubí 6/4
- objem nádoby 2x24 l
- jmenovitý výkon motoru 1,5 kW
- potrubí od tepelných výměníků do vrtu ZB-2
Vzorové řešení pro podrobnou specifikaci zařízení například : ATS PUMPA 2 EH 5/7 TE 400V v provedení s frekvenčním měničem NEO.
 </t>
  </si>
  <si>
    <t>Cenová nabídka</t>
  </si>
  <si>
    <t>RM - modulová skříň - 245 modulů - nástěnná</t>
  </si>
  <si>
    <t>RM1 - modulová skříň - 72 modulů - do stěny</t>
  </si>
  <si>
    <t>RM2 - modulová skříň - 72 modulů - do stěny</t>
  </si>
  <si>
    <t>RM3 - modulová skříň - 72 modulů - do stěny</t>
  </si>
  <si>
    <t>PLC část</t>
  </si>
  <si>
    <t>PLC CPU - standard - vč. ethernet rozhraní pro vzdálený přístup</t>
  </si>
  <si>
    <t>Komunikačníé karta MODBUS sběrnice</t>
  </si>
  <si>
    <t xml:space="preserve">Komunkační karta sběrnice 1-WIRE </t>
  </si>
  <si>
    <t>Kuminkační karta MBUS sběrnice</t>
  </si>
  <si>
    <t>Karta digitálních vstupů (20x DI)</t>
  </si>
  <si>
    <t>Karta relé výstupů - 14x DO (16A, 250VAC)</t>
  </si>
  <si>
    <t>PLC - CPU - compact - vč. ethernet rozhraní pro vzdálený přístup</t>
  </si>
  <si>
    <t>Karta analogových výstupů (4xAO / 0-10V)</t>
  </si>
  <si>
    <t>Signálka 24V AC/DC s integrovanou LED diodou, žlutá</t>
  </si>
  <si>
    <t>Signálka 24 V AC/DC s integrovanou LED diodou, zelená</t>
  </si>
  <si>
    <t>směšovací ventily MBUS</t>
  </si>
  <si>
    <t>hlavice - se sběrnicovou komunikací, dle typu PLC CPU jednotky</t>
  </si>
  <si>
    <t>Elektronické hlídání hladiny</t>
  </si>
  <si>
    <t>siréna s blikačem - sběrnicová dle typu PLC</t>
  </si>
  <si>
    <t>pozn.: předpokládá se využití tras topenářů a elektrikářů silnoproudu</t>
  </si>
  <si>
    <t>pokud nebude součástí kompletní elektrorevize objetu.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</si>
</sst>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-* #,##0.00\ &quot;Kč&quot;_-;\-* #,##0.00\ &quot;Kč&quot;_-;_-* &quot;-&quot;??\ &quot;Kč&quot;_-;_-@_-"/>
    <numFmt numFmtId="164" formatCode="#,##0.0"/>
    <numFmt numFmtId="165" formatCode="#,##0.00000"/>
    <numFmt numFmtId="166" formatCode="dd\.mm\.yyyy"/>
    <numFmt numFmtId="167" formatCode="#,##0.00%"/>
    <numFmt numFmtId="168" formatCode="#,##0.000"/>
    <numFmt numFmtId="169" formatCode="_-* #,##0.00\ [$Kč-405]_-;\-* #,##0.00\ [$Kč-405]_-;_-* &quot;-&quot;??\ [$Kč-405]_-;_-@_-"/>
  </numFmts>
  <fonts count="55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7"/>
      <name val="Arial CE"/>
      <charset val="238"/>
    </font>
    <font>
      <sz val="10"/>
      <name val="Arial CE"/>
      <charset val="238"/>
    </font>
    <font>
      <b/>
      <sz val="11"/>
      <color theme="1"/>
      <name val="Calibri"/>
      <family val="2"/>
      <charset val="238"/>
      <scheme val="minor"/>
    </font>
    <font>
      <u/>
      <sz val="10"/>
      <color theme="10"/>
      <name val="Arial CE"/>
      <charset val="238"/>
    </font>
    <font>
      <b/>
      <sz val="14"/>
      <name val="Arial CE"/>
    </font>
    <font>
      <sz val="10"/>
      <color rgb="FF3366FF"/>
      <name val="Arial CE"/>
    </font>
    <font>
      <sz val="10"/>
      <color rgb="FF969696"/>
      <name val="Arial CE"/>
    </font>
    <font>
      <b/>
      <sz val="11"/>
      <name val="Arial CE"/>
    </font>
    <font>
      <sz val="10"/>
      <name val="Arial CE"/>
    </font>
    <font>
      <b/>
      <sz val="10"/>
      <name val="Arial CE"/>
    </font>
    <font>
      <b/>
      <sz val="12"/>
      <color rgb="FF960000"/>
      <name val="Arial CE"/>
    </font>
    <font>
      <sz val="8"/>
      <color rgb="FF969696"/>
      <name val="Arial CE"/>
    </font>
    <font>
      <b/>
      <sz val="12"/>
      <name val="Arial CE"/>
    </font>
    <font>
      <sz val="9"/>
      <name val="Arial CE"/>
    </font>
    <font>
      <b/>
      <sz val="12"/>
      <color rgb="FF800000"/>
      <name val="Arial CE"/>
    </font>
    <font>
      <sz val="12"/>
      <color rgb="FF003366"/>
      <name val="Arial CE"/>
    </font>
    <font>
      <sz val="10"/>
      <color rgb="FF003366"/>
      <name val="Arial CE"/>
    </font>
    <font>
      <sz val="9"/>
      <color rgb="FF969696"/>
      <name val="Arial CE"/>
    </font>
    <font>
      <sz val="8"/>
      <color rgb="FF960000"/>
      <name val="Arial CE"/>
    </font>
    <font>
      <b/>
      <sz val="8"/>
      <name val="Arial CE"/>
    </font>
    <font>
      <sz val="8"/>
      <color rgb="FF003366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i/>
      <sz val="9"/>
      <color rgb="FF0000FF"/>
      <name val="Arial CE"/>
    </font>
    <font>
      <i/>
      <sz val="8"/>
      <color rgb="FF0000FF"/>
      <name val="Arial CE"/>
    </font>
    <font>
      <sz val="7"/>
      <color rgb="FF969696"/>
      <name val="Arial CE"/>
    </font>
    <font>
      <i/>
      <sz val="7"/>
      <color rgb="FF969696"/>
      <name val="Arial CE"/>
    </font>
    <font>
      <i/>
      <sz val="9"/>
      <color theme="1" tint="0.499984740745262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1"/>
      <color theme="1" tint="0.249977111117893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i/>
      <sz val="11"/>
      <color theme="2" tint="-0.499984740745262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8"/>
      <color rgb="FF000000"/>
      <name val="Arial"/>
      <charset val="238"/>
    </font>
    <font>
      <b/>
      <sz val="10"/>
      <color rgb="FF000000"/>
      <name val="Arial"/>
      <charset val="238"/>
    </font>
    <font>
      <sz val="10"/>
      <color rgb="FF000000"/>
      <name val="Arial"/>
      <charset val="238"/>
    </font>
    <font>
      <i/>
      <sz val="10"/>
      <color rgb="FF000000"/>
      <name val="Arial"/>
      <charset val="238"/>
    </font>
    <font>
      <i/>
      <sz val="8"/>
      <color rgb="FF000000"/>
      <name val="Arial"/>
      <charset val="238"/>
    </font>
  </fonts>
  <fills count="1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  <fill>
      <patternFill patternType="solid">
        <fgColor rgb="FFD2D2D2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C0C0C0"/>
        <bgColor rgb="FFC0C0C0"/>
      </patternFill>
    </fill>
  </fills>
  <borders count="90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969696"/>
      </top>
      <bottom/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hair">
        <color rgb="FF969696"/>
      </bottom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ashed">
        <color auto="1"/>
      </left>
      <right/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dashed">
        <color auto="1"/>
      </right>
      <top style="dashed">
        <color auto="1"/>
      </top>
      <bottom/>
      <diagonal/>
    </border>
    <border>
      <left style="dashed">
        <color auto="1"/>
      </left>
      <right/>
      <top/>
      <bottom/>
      <diagonal/>
    </border>
    <border>
      <left/>
      <right style="dashed">
        <color auto="1"/>
      </right>
      <top/>
      <bottom/>
      <diagonal/>
    </border>
    <border>
      <left style="dashed">
        <color auto="1"/>
      </left>
      <right/>
      <top/>
      <bottom style="dashed">
        <color auto="1"/>
      </bottom>
      <diagonal/>
    </border>
    <border>
      <left/>
      <right/>
      <top/>
      <bottom style="dashed">
        <color auto="1"/>
      </bottom>
      <diagonal/>
    </border>
    <border>
      <left/>
      <right style="dashed">
        <color auto="1"/>
      </right>
      <top/>
      <bottom style="dashed">
        <color auto="1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4">
    <xf numFmtId="0" fontId="0" fillId="0" borderId="0"/>
    <xf numFmtId="0" fontId="1" fillId="0" borderId="0"/>
    <xf numFmtId="9" fontId="18" fillId="0" borderId="0" applyFont="0" applyFill="0" applyBorder="0" applyAlignment="0" applyProtection="0"/>
    <xf numFmtId="0" fontId="20" fillId="0" borderId="0" applyNumberFormat="0" applyFill="0" applyBorder="0" applyAlignment="0" applyProtection="0"/>
  </cellStyleXfs>
  <cellXfs count="482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4" fontId="0" fillId="0" borderId="1" xfId="0" applyNumberFormat="1" applyBorder="1"/>
    <xf numFmtId="49" fontId="8" fillId="0" borderId="6" xfId="0" applyNumberFormat="1" applyFont="1" applyBorder="1" applyAlignment="1">
      <alignment horizontal="left" vertical="center" wrapText="1"/>
    </xf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0" fontId="0" fillId="3" borderId="1" xfId="0" applyFill="1" applyBorder="1" applyAlignment="1">
      <alignment horizontal="left" vertical="center" indent="1"/>
    </xf>
    <xf numFmtId="49" fontId="8" fillId="3" borderId="0" xfId="0" applyNumberFormat="1" applyFont="1" applyFill="1" applyAlignment="1">
      <alignment horizontal="left" vertical="center"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49" fontId="8" fillId="3" borderId="6" xfId="0" applyNumberFormat="1" applyFont="1" applyFill="1" applyBorder="1" applyAlignment="1">
      <alignment horizontal="left" vertical="center" wrapText="1"/>
    </xf>
    <xf numFmtId="49" fontId="8" fillId="0" borderId="0" xfId="0" applyNumberFormat="1" applyFont="1" applyAlignment="1">
      <alignment horizontal="left" vertical="center"/>
    </xf>
    <xf numFmtId="49" fontId="8" fillId="4" borderId="0" xfId="0" applyNumberFormat="1" applyFont="1" applyFill="1" applyAlignment="1" applyProtection="1">
      <alignment horizontal="left" vertical="center"/>
      <protection locked="0"/>
    </xf>
    <xf numFmtId="49" fontId="8" fillId="4" borderId="6" xfId="0" applyNumberFormat="1" applyFont="1" applyFill="1" applyBorder="1" applyAlignment="1" applyProtection="1">
      <alignment horizontal="left" vertical="center" wrapText="1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4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5" borderId="30" xfId="0" applyNumberFormat="1" applyFont="1" applyFill="1" applyBorder="1" applyAlignment="1">
      <alignment vertical="center"/>
    </xf>
    <xf numFmtId="4" fontId="7" fillId="5" borderId="31" xfId="0" applyNumberFormat="1" applyFont="1" applyFill="1" applyBorder="1" applyAlignment="1">
      <alignment vertical="center" wrapText="1"/>
    </xf>
    <xf numFmtId="4" fontId="10" fillId="5" borderId="32" xfId="0" applyNumberFormat="1" applyFont="1" applyFill="1" applyBorder="1" applyAlignment="1">
      <alignment horizontal="center" vertical="center" wrapText="1" shrinkToFit="1"/>
    </xf>
    <xf numFmtId="4" fontId="7" fillId="5" borderId="32" xfId="0" applyNumberFormat="1" applyFont="1" applyFill="1" applyBorder="1" applyAlignment="1">
      <alignment horizontal="center" vertical="center" wrapText="1" shrinkToFit="1"/>
    </xf>
    <xf numFmtId="3" fontId="7" fillId="5" borderId="32" xfId="0" applyNumberFormat="1" applyFont="1" applyFill="1" applyBorder="1" applyAlignment="1">
      <alignment horizontal="center" vertical="center" wrapText="1"/>
    </xf>
    <xf numFmtId="4" fontId="0" fillId="0" borderId="33" xfId="0" applyNumberFormat="1" applyBorder="1" applyAlignment="1">
      <alignment vertical="center"/>
    </xf>
    <xf numFmtId="4" fontId="3" fillId="0" borderId="35" xfId="0" applyNumberFormat="1" applyFont="1" applyBorder="1" applyAlignment="1">
      <alignment horizontal="right" vertical="center" wrapText="1" shrinkToFit="1"/>
    </xf>
    <xf numFmtId="4" fontId="3" fillId="0" borderId="35" xfId="0" applyNumberFormat="1" applyFont="1" applyBorder="1" applyAlignment="1">
      <alignment horizontal="right" vertical="center" shrinkToFit="1"/>
    </xf>
    <xf numFmtId="4" fontId="0" fillId="0" borderId="35" xfId="0" applyNumberFormat="1" applyBorder="1" applyAlignment="1">
      <alignment vertical="center" shrinkToFit="1"/>
    </xf>
    <xf numFmtId="3" fontId="0" fillId="0" borderId="35" xfId="0" applyNumberFormat="1" applyBorder="1" applyAlignment="1">
      <alignment vertical="center"/>
    </xf>
    <xf numFmtId="4" fontId="8" fillId="0" borderId="33" xfId="0" applyNumberFormat="1" applyFont="1" applyBorder="1" applyAlignment="1">
      <alignment vertical="center"/>
    </xf>
    <xf numFmtId="4" fontId="8" fillId="0" borderId="35" xfId="0" applyNumberFormat="1" applyFont="1" applyBorder="1" applyAlignment="1">
      <alignment vertical="center" wrapText="1" shrinkToFit="1"/>
    </xf>
    <xf numFmtId="4" fontId="8" fillId="0" borderId="35" xfId="0" applyNumberFormat="1" applyFont="1" applyBorder="1" applyAlignment="1">
      <alignment vertical="center" shrinkToFit="1"/>
    </xf>
    <xf numFmtId="3" fontId="8" fillId="0" borderId="35" xfId="0" applyNumberFormat="1" applyFont="1" applyBorder="1" applyAlignment="1">
      <alignment vertical="center"/>
    </xf>
    <xf numFmtId="4" fontId="0" fillId="0" borderId="33" xfId="0" applyNumberFormat="1" applyBorder="1" applyAlignment="1">
      <alignment horizontal="left" vertical="center"/>
    </xf>
    <xf numFmtId="4" fontId="0" fillId="0" borderId="35" xfId="0" applyNumberFormat="1" applyBorder="1" applyAlignment="1">
      <alignment vertical="center" wrapText="1" shrinkToFit="1"/>
    </xf>
    <xf numFmtId="4" fontId="0" fillId="3" borderId="39" xfId="0" applyNumberFormat="1" applyFill="1" applyBorder="1" applyAlignment="1">
      <alignment vertical="center" wrapText="1" shrinkToFit="1"/>
    </xf>
    <xf numFmtId="4" fontId="0" fillId="3" borderId="39" xfId="0" applyNumberFormat="1" applyFill="1" applyBorder="1" applyAlignment="1">
      <alignment vertical="center" shrinkToFit="1"/>
    </xf>
    <xf numFmtId="3" fontId="0" fillId="3" borderId="39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6" fillId="0" borderId="0" xfId="0" applyFont="1"/>
    <xf numFmtId="49" fontId="0" fillId="0" borderId="0" xfId="0" applyNumberFormat="1"/>
    <xf numFmtId="0" fontId="15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0" fontId="15" fillId="5" borderId="30" xfId="0" applyFont="1" applyFill="1" applyBorder="1" applyAlignment="1">
      <alignment horizontal="center" vertical="center" wrapText="1"/>
    </xf>
    <xf numFmtId="0" fontId="15" fillId="5" borderId="31" xfId="0" applyFont="1" applyFill="1" applyBorder="1" applyAlignment="1">
      <alignment horizontal="center" vertical="center" wrapText="1"/>
    </xf>
    <xf numFmtId="0" fontId="15" fillId="5" borderId="32" xfId="0" applyFont="1" applyFill="1" applyBorder="1" applyAlignment="1">
      <alignment horizontal="center" vertical="center" wrapText="1"/>
    </xf>
    <xf numFmtId="49" fontId="7" fillId="0" borderId="33" xfId="0" applyNumberFormat="1" applyFont="1" applyBorder="1" applyAlignment="1">
      <alignment vertical="center"/>
    </xf>
    <xf numFmtId="4" fontId="7" fillId="0" borderId="35" xfId="0" applyNumberFormat="1" applyFont="1" applyBorder="1" applyAlignment="1">
      <alignment vertical="center"/>
    </xf>
    <xf numFmtId="0" fontId="7" fillId="3" borderId="36" xfId="0" applyFont="1" applyFill="1" applyBorder="1" applyAlignment="1">
      <alignment vertical="center"/>
    </xf>
    <xf numFmtId="0" fontId="7" fillId="3" borderId="36" xfId="0" applyFont="1" applyFill="1" applyBorder="1" applyAlignment="1">
      <alignment vertical="center" wrapText="1"/>
    </xf>
    <xf numFmtId="0" fontId="7" fillId="3" borderId="37" xfId="0" applyFont="1" applyFill="1" applyBorder="1" applyAlignment="1">
      <alignment vertical="center" wrapText="1"/>
    </xf>
    <xf numFmtId="4" fontId="7" fillId="3" borderId="39" xfId="0" applyNumberFormat="1" applyFont="1" applyFill="1" applyBorder="1" applyAlignment="1">
      <alignment vertical="center"/>
    </xf>
    <xf numFmtId="164" fontId="7" fillId="0" borderId="35" xfId="0" applyNumberFormat="1" applyFont="1" applyBorder="1" applyAlignment="1">
      <alignment vertical="center"/>
    </xf>
    <xf numFmtId="164" fontId="7" fillId="3" borderId="39" xfId="0" applyNumberFormat="1" applyFont="1" applyFill="1" applyBorder="1" applyAlignment="1">
      <alignment vertical="center"/>
    </xf>
    <xf numFmtId="164" fontId="0" fillId="0" borderId="0" xfId="0" applyNumberFormat="1"/>
    <xf numFmtId="4" fontId="7" fillId="0" borderId="35" xfId="0" applyNumberFormat="1" applyFont="1" applyBorder="1" applyAlignment="1">
      <alignment horizontal="center" vertical="center"/>
    </xf>
    <xf numFmtId="4" fontId="7" fillId="3" borderId="39" xfId="0" applyNumberFormat="1" applyFont="1" applyFill="1" applyBorder="1" applyAlignment="1">
      <alignment horizontal="center" vertical="center"/>
    </xf>
    <xf numFmtId="49" fontId="0" fillId="0" borderId="1" xfId="0" applyNumberFormat="1" applyBorder="1"/>
    <xf numFmtId="0" fontId="0" fillId="3" borderId="21" xfId="0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6" fillId="0" borderId="0" xfId="0" applyFont="1"/>
    <xf numFmtId="165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8" fillId="3" borderId="15" xfId="0" applyFont="1" applyFill="1" applyBorder="1" applyAlignment="1">
      <alignment vertical="top"/>
    </xf>
    <xf numFmtId="49" fontId="8" fillId="3" borderId="12" xfId="0" applyNumberFormat="1" applyFont="1" applyFill="1" applyBorder="1" applyAlignment="1">
      <alignment vertical="top"/>
    </xf>
    <xf numFmtId="0" fontId="8" fillId="3" borderId="12" xfId="0" applyFont="1" applyFill="1" applyBorder="1" applyAlignment="1">
      <alignment horizontal="center" vertical="top"/>
    </xf>
    <xf numFmtId="0" fontId="8" fillId="3" borderId="12" xfId="0" applyFont="1" applyFill="1" applyBorder="1" applyAlignment="1">
      <alignment vertical="top"/>
    </xf>
    <xf numFmtId="0" fontId="16" fillId="0" borderId="0" xfId="0" applyFont="1" applyAlignment="1">
      <alignment vertical="top"/>
    </xf>
    <xf numFmtId="49" fontId="16" fillId="0" borderId="0" xfId="0" applyNumberFormat="1" applyFont="1" applyAlignment="1">
      <alignment vertical="top"/>
    </xf>
    <xf numFmtId="165" fontId="16" fillId="0" borderId="0" xfId="0" applyNumberFormat="1" applyFont="1" applyAlignment="1">
      <alignment vertical="top" shrinkToFit="1"/>
    </xf>
    <xf numFmtId="4" fontId="16" fillId="0" borderId="0" xfId="0" applyNumberFormat="1" applyFont="1" applyAlignment="1">
      <alignment vertical="top" shrinkToFit="1"/>
    </xf>
    <xf numFmtId="4" fontId="16" fillId="4" borderId="0" xfId="0" applyNumberFormat="1" applyFont="1" applyFill="1" applyAlignment="1" applyProtection="1">
      <alignment vertical="top" shrinkToFit="1"/>
      <protection locked="0"/>
    </xf>
    <xf numFmtId="165" fontId="8" fillId="3" borderId="0" xfId="0" applyNumberFormat="1" applyFont="1" applyFill="1" applyAlignment="1">
      <alignment vertical="top" shrinkToFit="1"/>
    </xf>
    <xf numFmtId="4" fontId="8" fillId="3" borderId="0" xfId="0" applyNumberFormat="1" applyFont="1" applyFill="1" applyAlignment="1">
      <alignment vertical="top" shrinkToFit="1"/>
    </xf>
    <xf numFmtId="0" fontId="8" fillId="3" borderId="29" xfId="0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vertical="top"/>
    </xf>
    <xf numFmtId="0" fontId="8" fillId="3" borderId="18" xfId="0" applyFont="1" applyFill="1" applyBorder="1" applyAlignment="1">
      <alignment horizontal="center" vertical="top" shrinkToFit="1"/>
    </xf>
    <xf numFmtId="165" fontId="8" fillId="3" borderId="18" xfId="0" applyNumberFormat="1" applyFont="1" applyFill="1" applyBorder="1" applyAlignment="1">
      <alignment vertical="top" shrinkToFit="1"/>
    </xf>
    <xf numFmtId="4" fontId="8" fillId="3" borderId="18" xfId="0" applyNumberFormat="1" applyFont="1" applyFill="1" applyBorder="1" applyAlignment="1">
      <alignment vertical="top" shrinkToFit="1"/>
    </xf>
    <xf numFmtId="4" fontId="8" fillId="3" borderId="40" xfId="0" applyNumberFormat="1" applyFont="1" applyFill="1" applyBorder="1" applyAlignment="1">
      <alignment vertical="top" shrinkToFit="1"/>
    </xf>
    <xf numFmtId="4" fontId="8" fillId="3" borderId="22" xfId="0" applyNumberFormat="1" applyFont="1" applyFill="1" applyBorder="1" applyAlignment="1">
      <alignment vertical="top" shrinkToFit="1"/>
    </xf>
    <xf numFmtId="0" fontId="16" fillId="0" borderId="41" xfId="0" applyFont="1" applyBorder="1" applyAlignment="1">
      <alignment vertical="top"/>
    </xf>
    <xf numFmtId="49" fontId="16" fillId="0" borderId="42" xfId="0" applyNumberFormat="1" applyFont="1" applyBorder="1" applyAlignment="1">
      <alignment vertical="top"/>
    </xf>
    <xf numFmtId="0" fontId="16" fillId="0" borderId="42" xfId="0" applyFont="1" applyBorder="1" applyAlignment="1">
      <alignment horizontal="center" vertical="top" shrinkToFit="1"/>
    </xf>
    <xf numFmtId="165" fontId="16" fillId="0" borderId="42" xfId="0" applyNumberFormat="1" applyFont="1" applyBorder="1" applyAlignment="1">
      <alignment vertical="top" shrinkToFit="1"/>
    </xf>
    <xf numFmtId="4" fontId="16" fillId="4" borderId="42" xfId="0" applyNumberFormat="1" applyFont="1" applyFill="1" applyBorder="1" applyAlignment="1" applyProtection="1">
      <alignment vertical="top" shrinkToFit="1"/>
      <protection locked="0"/>
    </xf>
    <xf numFmtId="4" fontId="16" fillId="0" borderId="43" xfId="0" applyNumberFormat="1" applyFont="1" applyBorder="1" applyAlignment="1">
      <alignment vertical="top" shrinkToFit="1"/>
    </xf>
    <xf numFmtId="49" fontId="8" fillId="3" borderId="18" xfId="0" applyNumberFormat="1" applyFont="1" applyFill="1" applyBorder="1" applyAlignment="1">
      <alignment horizontal="left" vertical="top" wrapText="1"/>
    </xf>
    <xf numFmtId="49" fontId="16" fillId="0" borderId="42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left" vertical="center"/>
    </xf>
    <xf numFmtId="0" fontId="0" fillId="0" borderId="44" xfId="0" applyBorder="1"/>
    <xf numFmtId="0" fontId="0" fillId="0" borderId="45" xfId="0" applyBorder="1"/>
    <xf numFmtId="0" fontId="0" fillId="0" borderId="46" xfId="0" applyBorder="1"/>
    <xf numFmtId="0" fontId="21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0" fillId="0" borderId="46" xfId="0" applyBorder="1" applyAlignment="1">
      <alignment vertical="center"/>
    </xf>
    <xf numFmtId="0" fontId="25" fillId="0" borderId="0" xfId="0" applyFont="1" applyAlignment="1">
      <alignment horizontal="left" vertical="center"/>
    </xf>
    <xf numFmtId="166" fontId="25" fillId="0" borderId="0" xfId="0" applyNumberFormat="1" applyFont="1" applyAlignment="1">
      <alignment horizontal="left" vertical="center"/>
    </xf>
    <xf numFmtId="0" fontId="0" fillId="0" borderId="46" xfId="0" applyBorder="1" applyAlignment="1">
      <alignment vertical="center" wrapText="1"/>
    </xf>
    <xf numFmtId="0" fontId="25" fillId="0" borderId="0" xfId="0" applyFont="1" applyAlignment="1">
      <alignment horizontal="left" vertical="center" wrapText="1"/>
    </xf>
    <xf numFmtId="0" fontId="0" fillId="0" borderId="47" xfId="0" applyBorder="1" applyAlignment="1">
      <alignment vertical="center"/>
    </xf>
    <xf numFmtId="0" fontId="26" fillId="0" borderId="0" xfId="0" applyFont="1" applyAlignment="1">
      <alignment horizontal="left" vertical="center"/>
    </xf>
    <xf numFmtId="4" fontId="27" fillId="0" borderId="0" xfId="0" applyNumberFormat="1" applyFont="1" applyAlignment="1">
      <alignment vertical="center"/>
    </xf>
    <xf numFmtId="0" fontId="23" fillId="0" borderId="0" xfId="0" applyFont="1" applyAlignment="1">
      <alignment horizontal="right" vertical="center"/>
    </xf>
    <xf numFmtId="0" fontId="28" fillId="0" borderId="0" xfId="0" applyFont="1" applyAlignment="1">
      <alignment horizontal="left" vertical="center"/>
    </xf>
    <xf numFmtId="4" fontId="23" fillId="0" borderId="0" xfId="0" applyNumberFormat="1" applyFont="1" applyAlignment="1">
      <alignment vertical="center"/>
    </xf>
    <xf numFmtId="167" fontId="23" fillId="0" borderId="0" xfId="0" applyNumberFormat="1" applyFont="1" applyAlignment="1">
      <alignment horizontal="right" vertical="center"/>
    </xf>
    <xf numFmtId="0" fontId="0" fillId="6" borderId="0" xfId="0" applyFill="1" applyAlignment="1">
      <alignment vertical="center"/>
    </xf>
    <xf numFmtId="0" fontId="29" fillId="6" borderId="48" xfId="0" applyFont="1" applyFill="1" applyBorder="1" applyAlignment="1">
      <alignment horizontal="left" vertical="center"/>
    </xf>
    <xf numFmtId="0" fontId="0" fillId="6" borderId="49" xfId="0" applyFill="1" applyBorder="1" applyAlignment="1">
      <alignment vertical="center"/>
    </xf>
    <xf numFmtId="0" fontId="29" fillId="6" borderId="49" xfId="0" applyFont="1" applyFill="1" applyBorder="1" applyAlignment="1">
      <alignment horizontal="right" vertical="center"/>
    </xf>
    <xf numFmtId="0" fontId="29" fillId="6" borderId="49" xfId="0" applyFont="1" applyFill="1" applyBorder="1" applyAlignment="1">
      <alignment horizontal="center" vertical="center"/>
    </xf>
    <xf numFmtId="4" fontId="29" fillId="6" borderId="49" xfId="0" applyNumberFormat="1" applyFont="1" applyFill="1" applyBorder="1" applyAlignment="1">
      <alignment vertical="center"/>
    </xf>
    <xf numFmtId="0" fontId="0" fillId="6" borderId="50" xfId="0" applyFill="1" applyBorder="1" applyAlignment="1">
      <alignment vertical="center"/>
    </xf>
    <xf numFmtId="0" fontId="0" fillId="0" borderId="51" xfId="0" applyBorder="1" applyAlignment="1">
      <alignment vertical="center"/>
    </xf>
    <xf numFmtId="0" fontId="0" fillId="0" borderId="52" xfId="0" applyBorder="1" applyAlignment="1">
      <alignment vertical="center"/>
    </xf>
    <xf numFmtId="0" fontId="0" fillId="0" borderId="44" xfId="0" applyBorder="1" applyAlignment="1">
      <alignment vertical="center"/>
    </xf>
    <xf numFmtId="0" fontId="0" fillId="0" borderId="45" xfId="0" applyBorder="1" applyAlignment="1">
      <alignment vertical="center"/>
    </xf>
    <xf numFmtId="0" fontId="30" fillId="6" borderId="0" xfId="0" applyFont="1" applyFill="1" applyAlignment="1">
      <alignment horizontal="left" vertical="center"/>
    </xf>
    <xf numFmtId="0" fontId="30" fillId="6" borderId="0" xfId="0" applyFont="1" applyFill="1" applyAlignment="1">
      <alignment horizontal="right" vertical="center"/>
    </xf>
    <xf numFmtId="0" fontId="31" fillId="0" borderId="0" xfId="0" applyFont="1" applyAlignment="1">
      <alignment horizontal="left" vertical="center"/>
    </xf>
    <xf numFmtId="0" fontId="32" fillId="0" borderId="0" xfId="0" applyFont="1" applyAlignment="1">
      <alignment vertical="center"/>
    </xf>
    <xf numFmtId="0" fontId="32" fillId="0" borderId="46" xfId="0" applyFont="1" applyBorder="1" applyAlignment="1">
      <alignment vertical="center"/>
    </xf>
    <xf numFmtId="0" fontId="32" fillId="0" borderId="53" xfId="0" applyFont="1" applyBorder="1" applyAlignment="1">
      <alignment horizontal="left" vertical="center"/>
    </xf>
    <xf numFmtId="0" fontId="32" fillId="0" borderId="53" xfId="0" applyFont="1" applyBorder="1" applyAlignment="1">
      <alignment vertical="center"/>
    </xf>
    <xf numFmtId="4" fontId="32" fillId="0" borderId="53" xfId="0" applyNumberFormat="1" applyFont="1" applyBorder="1" applyAlignment="1">
      <alignment vertical="center"/>
    </xf>
    <xf numFmtId="0" fontId="33" fillId="0" borderId="0" xfId="0" applyFont="1" applyAlignment="1">
      <alignment vertical="center"/>
    </xf>
    <xf numFmtId="0" fontId="33" fillId="0" borderId="46" xfId="0" applyFont="1" applyBorder="1" applyAlignment="1">
      <alignment vertical="center"/>
    </xf>
    <xf numFmtId="0" fontId="33" fillId="0" borderId="53" xfId="0" applyFont="1" applyBorder="1" applyAlignment="1">
      <alignment horizontal="left" vertical="center"/>
    </xf>
    <xf numFmtId="0" fontId="33" fillId="0" borderId="53" xfId="0" applyFont="1" applyBorder="1" applyAlignment="1">
      <alignment vertical="center"/>
    </xf>
    <xf numFmtId="4" fontId="33" fillId="0" borderId="53" xfId="0" applyNumberFormat="1" applyFont="1" applyBorder="1" applyAlignment="1">
      <alignment vertical="center"/>
    </xf>
    <xf numFmtId="0" fontId="0" fillId="0" borderId="46" xfId="0" applyBorder="1" applyAlignment="1">
      <alignment horizontal="center" vertical="center" wrapText="1"/>
    </xf>
    <xf numFmtId="0" fontId="30" fillId="6" borderId="54" xfId="0" applyFont="1" applyFill="1" applyBorder="1" applyAlignment="1">
      <alignment horizontal="center" vertical="center" wrapText="1"/>
    </xf>
    <xf numFmtId="0" fontId="30" fillId="6" borderId="55" xfId="0" applyFont="1" applyFill="1" applyBorder="1" applyAlignment="1">
      <alignment horizontal="center" vertical="center" wrapText="1"/>
    </xf>
    <xf numFmtId="0" fontId="30" fillId="6" borderId="56" xfId="0" applyFont="1" applyFill="1" applyBorder="1" applyAlignment="1">
      <alignment horizontal="center" vertical="center" wrapText="1"/>
    </xf>
    <xf numFmtId="0" fontId="34" fillId="0" borderId="54" xfId="0" applyFont="1" applyBorder="1" applyAlignment="1">
      <alignment horizontal="center" vertical="center" wrapText="1"/>
    </xf>
    <xf numFmtId="0" fontId="34" fillId="0" borderId="55" xfId="0" applyFont="1" applyBorder="1" applyAlignment="1">
      <alignment horizontal="center" vertical="center" wrapText="1"/>
    </xf>
    <xf numFmtId="0" fontId="34" fillId="0" borderId="56" xfId="0" applyFont="1" applyBorder="1" applyAlignment="1">
      <alignment horizontal="center" vertical="center" wrapText="1"/>
    </xf>
    <xf numFmtId="0" fontId="27" fillId="0" borderId="0" xfId="0" applyFont="1" applyAlignment="1">
      <alignment horizontal="left" vertical="center"/>
    </xf>
    <xf numFmtId="4" fontId="27" fillId="0" borderId="0" xfId="0" applyNumberFormat="1" applyFont="1"/>
    <xf numFmtId="0" fontId="0" fillId="0" borderId="57" xfId="0" applyBorder="1" applyAlignment="1">
      <alignment vertical="center"/>
    </xf>
    <xf numFmtId="165" fontId="35" fillId="0" borderId="47" xfId="0" applyNumberFormat="1" applyFont="1" applyBorder="1"/>
    <xf numFmtId="165" fontId="35" fillId="0" borderId="58" xfId="0" applyNumberFormat="1" applyFont="1" applyBorder="1"/>
    <xf numFmtId="4" fontId="36" fillId="0" borderId="0" xfId="0" applyNumberFormat="1" applyFont="1" applyAlignment="1">
      <alignment vertical="center"/>
    </xf>
    <xf numFmtId="0" fontId="37" fillId="0" borderId="0" xfId="0" applyFont="1"/>
    <xf numFmtId="0" fontId="37" fillId="0" borderId="46" xfId="0" applyFont="1" applyBorder="1"/>
    <xf numFmtId="0" fontId="37" fillId="0" borderId="0" xfId="0" applyFont="1" applyAlignment="1">
      <alignment horizontal="left"/>
    </xf>
    <xf numFmtId="0" fontId="32" fillId="0" borderId="0" xfId="0" applyFont="1" applyAlignment="1">
      <alignment horizontal="left"/>
    </xf>
    <xf numFmtId="4" fontId="32" fillId="0" borderId="0" xfId="0" applyNumberFormat="1" applyFont="1"/>
    <xf numFmtId="0" fontId="37" fillId="0" borderId="59" xfId="0" applyFont="1" applyBorder="1"/>
    <xf numFmtId="165" fontId="37" fillId="0" borderId="0" xfId="0" applyNumberFormat="1" applyFont="1"/>
    <xf numFmtId="165" fontId="37" fillId="0" borderId="60" xfId="0" applyNumberFormat="1" applyFont="1" applyBorder="1"/>
    <xf numFmtId="0" fontId="37" fillId="0" borderId="0" xfId="0" applyFont="1" applyAlignment="1">
      <alignment horizontal="center"/>
    </xf>
    <xf numFmtId="4" fontId="37" fillId="0" borderId="0" xfId="0" applyNumberFormat="1" applyFont="1" applyAlignment="1">
      <alignment vertical="center"/>
    </xf>
    <xf numFmtId="0" fontId="33" fillId="0" borderId="0" xfId="0" applyFont="1" applyAlignment="1">
      <alignment horizontal="left"/>
    </xf>
    <xf numFmtId="4" fontId="33" fillId="0" borderId="0" xfId="0" applyNumberFormat="1" applyFont="1"/>
    <xf numFmtId="0" fontId="30" fillId="0" borderId="61" xfId="0" applyFont="1" applyBorder="1" applyAlignment="1">
      <alignment horizontal="center" vertical="center"/>
    </xf>
    <xf numFmtId="49" fontId="30" fillId="0" borderId="61" xfId="0" applyNumberFormat="1" applyFont="1" applyBorder="1" applyAlignment="1">
      <alignment horizontal="left" vertical="center" wrapText="1"/>
    </xf>
    <xf numFmtId="0" fontId="30" fillId="0" borderId="61" xfId="0" applyFont="1" applyBorder="1" applyAlignment="1">
      <alignment horizontal="left" vertical="center" wrapText="1"/>
    </xf>
    <xf numFmtId="0" fontId="30" fillId="0" borderId="61" xfId="0" applyFont="1" applyBorder="1" applyAlignment="1">
      <alignment horizontal="center" vertical="center" wrapText="1"/>
    </xf>
    <xf numFmtId="168" fontId="30" fillId="0" borderId="61" xfId="0" applyNumberFormat="1" applyFont="1" applyBorder="1" applyAlignment="1">
      <alignment vertical="center"/>
    </xf>
    <xf numFmtId="4" fontId="30" fillId="0" borderId="61" xfId="0" applyNumberFormat="1" applyFont="1" applyBorder="1" applyAlignment="1">
      <alignment vertical="center"/>
    </xf>
    <xf numFmtId="0" fontId="34" fillId="0" borderId="59" xfId="0" applyFont="1" applyBorder="1" applyAlignment="1">
      <alignment horizontal="left" vertical="center"/>
    </xf>
    <xf numFmtId="0" fontId="34" fillId="0" borderId="0" xfId="0" applyFont="1" applyAlignment="1">
      <alignment horizontal="center" vertical="center"/>
    </xf>
    <xf numFmtId="165" fontId="34" fillId="0" borderId="0" xfId="0" applyNumberFormat="1" applyFont="1" applyAlignment="1">
      <alignment vertical="center"/>
    </xf>
    <xf numFmtId="165" fontId="34" fillId="0" borderId="60" xfId="0" applyNumberFormat="1" applyFont="1" applyBorder="1" applyAlignment="1">
      <alignment vertical="center"/>
    </xf>
    <xf numFmtId="0" fontId="30" fillId="0" borderId="0" xfId="0" applyFont="1" applyAlignment="1">
      <alignment horizontal="left" vertical="center"/>
    </xf>
    <xf numFmtId="4" fontId="0" fillId="0" borderId="0" xfId="0" applyNumberFormat="1" applyAlignment="1">
      <alignment vertical="center"/>
    </xf>
    <xf numFmtId="0" fontId="38" fillId="0" borderId="0" xfId="0" applyFont="1" applyAlignment="1">
      <alignment horizontal="left" vertical="center"/>
    </xf>
    <xf numFmtId="0" fontId="39" fillId="0" borderId="0" xfId="3" applyFont="1" applyAlignment="1" applyProtection="1">
      <alignment vertical="center" wrapText="1"/>
    </xf>
    <xf numFmtId="0" fontId="0" fillId="0" borderId="59" xfId="0" applyBorder="1" applyAlignment="1">
      <alignment vertical="center"/>
    </xf>
    <xf numFmtId="0" fontId="0" fillId="0" borderId="60" xfId="0" applyBorder="1" applyAlignment="1">
      <alignment vertical="center"/>
    </xf>
    <xf numFmtId="0" fontId="40" fillId="0" borderId="61" xfId="0" applyFont="1" applyBorder="1" applyAlignment="1">
      <alignment horizontal="center" vertical="center"/>
    </xf>
    <xf numFmtId="49" fontId="40" fillId="0" borderId="61" xfId="0" applyNumberFormat="1" applyFont="1" applyBorder="1" applyAlignment="1">
      <alignment horizontal="left" vertical="center" wrapText="1"/>
    </xf>
    <xf numFmtId="0" fontId="40" fillId="0" borderId="61" xfId="0" applyFont="1" applyBorder="1" applyAlignment="1">
      <alignment horizontal="left" vertical="center" wrapText="1"/>
    </xf>
    <xf numFmtId="0" fontId="40" fillId="0" borderId="61" xfId="0" applyFont="1" applyBorder="1" applyAlignment="1">
      <alignment horizontal="center" vertical="center" wrapText="1"/>
    </xf>
    <xf numFmtId="168" fontId="40" fillId="0" borderId="61" xfId="0" applyNumberFormat="1" applyFont="1" applyBorder="1" applyAlignment="1">
      <alignment vertical="center"/>
    </xf>
    <xf numFmtId="4" fontId="40" fillId="0" borderId="61" xfId="0" applyNumberFormat="1" applyFont="1" applyBorder="1" applyAlignment="1">
      <alignment vertical="center"/>
    </xf>
    <xf numFmtId="0" fontId="41" fillId="0" borderId="46" xfId="0" applyFont="1" applyBorder="1" applyAlignment="1">
      <alignment vertical="center"/>
    </xf>
    <xf numFmtId="0" fontId="40" fillId="0" borderId="59" xfId="0" applyFont="1" applyBorder="1" applyAlignment="1">
      <alignment horizontal="left" vertical="center"/>
    </xf>
    <xf numFmtId="0" fontId="40" fillId="0" borderId="0" xfId="0" applyFont="1" applyAlignment="1">
      <alignment horizontal="center" vertical="center"/>
    </xf>
    <xf numFmtId="0" fontId="42" fillId="0" borderId="0" xfId="0" applyFont="1" applyAlignment="1">
      <alignment horizontal="left" vertical="center"/>
    </xf>
    <xf numFmtId="0" fontId="43" fillId="0" borderId="0" xfId="0" applyFont="1" applyAlignment="1">
      <alignment vertical="center" wrapText="1"/>
    </xf>
    <xf numFmtId="0" fontId="0" fillId="0" borderId="62" xfId="0" applyBorder="1" applyAlignment="1">
      <alignment vertical="center"/>
    </xf>
    <xf numFmtId="0" fontId="0" fillId="0" borderId="53" xfId="0" applyBorder="1" applyAlignment="1">
      <alignment vertical="center"/>
    </xf>
    <xf numFmtId="0" fontId="0" fillId="0" borderId="63" xfId="0" applyBorder="1" applyAlignment="1">
      <alignment vertical="center"/>
    </xf>
    <xf numFmtId="169" fontId="0" fillId="0" borderId="0" xfId="0" applyNumberFormat="1"/>
    <xf numFmtId="44" fontId="0" fillId="0" borderId="0" xfId="0" applyNumberFormat="1"/>
    <xf numFmtId="0" fontId="0" fillId="0" borderId="0" xfId="0" applyAlignment="1">
      <alignment horizontal="left"/>
    </xf>
    <xf numFmtId="0" fontId="19" fillId="7" borderId="0" xfId="0" applyFont="1" applyFill="1" applyAlignment="1">
      <alignment horizontal="left"/>
    </xf>
    <xf numFmtId="0" fontId="44" fillId="7" borderId="0" xfId="0" applyFont="1" applyFill="1" applyAlignment="1">
      <alignment horizontal="center"/>
    </xf>
    <xf numFmtId="169" fontId="0" fillId="8" borderId="0" xfId="0" applyNumberFormat="1" applyFill="1"/>
    <xf numFmtId="9" fontId="0" fillId="0" borderId="0" xfId="2" applyFont="1"/>
    <xf numFmtId="0" fontId="45" fillId="0" borderId="0" xfId="0" applyFont="1" applyAlignment="1">
      <alignment horizontal="left"/>
    </xf>
    <xf numFmtId="0" fontId="45" fillId="9" borderId="0" xfId="0" applyFont="1" applyFill="1" applyAlignment="1">
      <alignment horizontal="left"/>
    </xf>
    <xf numFmtId="0" fontId="0" fillId="9" borderId="0" xfId="0" applyFill="1"/>
    <xf numFmtId="169" fontId="0" fillId="9" borderId="0" xfId="0" applyNumberFormat="1" applyFill="1"/>
    <xf numFmtId="169" fontId="19" fillId="9" borderId="64" xfId="0" applyNumberFormat="1" applyFont="1" applyFill="1" applyBorder="1"/>
    <xf numFmtId="169" fontId="19" fillId="8" borderId="0" xfId="0" applyNumberFormat="1" applyFont="1" applyFill="1"/>
    <xf numFmtId="0" fontId="0" fillId="10" borderId="0" xfId="0" applyFill="1" applyAlignment="1">
      <alignment horizontal="left"/>
    </xf>
    <xf numFmtId="0" fontId="0" fillId="10" borderId="0" xfId="0" applyFill="1"/>
    <xf numFmtId="0" fontId="0" fillId="9" borderId="0" xfId="0" applyFill="1" applyAlignment="1">
      <alignment horizontal="left"/>
    </xf>
    <xf numFmtId="0" fontId="0" fillId="10" borderId="0" xfId="0" applyFill="1" applyAlignment="1">
      <alignment horizontal="center"/>
    </xf>
    <xf numFmtId="0" fontId="19" fillId="10" borderId="0" xfId="0" applyFont="1" applyFill="1" applyAlignment="1">
      <alignment horizontal="center"/>
    </xf>
    <xf numFmtId="0" fontId="19" fillId="10" borderId="0" xfId="0" applyFont="1" applyFill="1" applyAlignment="1">
      <alignment horizontal="left"/>
    </xf>
    <xf numFmtId="0" fontId="0" fillId="7" borderId="0" xfId="0" applyFill="1" applyAlignment="1">
      <alignment horizontal="left"/>
    </xf>
    <xf numFmtId="0" fontId="0" fillId="7" borderId="0" xfId="0" applyFill="1" applyAlignment="1">
      <alignment horizontal="center"/>
    </xf>
    <xf numFmtId="0" fontId="0" fillId="7" borderId="0" xfId="0" applyFill="1"/>
    <xf numFmtId="169" fontId="19" fillId="9" borderId="64" xfId="2" applyNumberFormat="1" applyFont="1" applyFill="1" applyBorder="1"/>
    <xf numFmtId="0" fontId="0" fillId="9" borderId="0" xfId="0" applyFill="1" applyAlignment="1">
      <alignment horizontal="center"/>
    </xf>
    <xf numFmtId="0" fontId="19" fillId="11" borderId="0" xfId="0" applyFont="1" applyFill="1" applyAlignment="1">
      <alignment horizontal="left"/>
    </xf>
    <xf numFmtId="0" fontId="0" fillId="11" borderId="0" xfId="0" applyFill="1" applyAlignment="1">
      <alignment horizontal="center"/>
    </xf>
    <xf numFmtId="0" fontId="0" fillId="11" borderId="0" xfId="0" applyFill="1"/>
    <xf numFmtId="0" fontId="44" fillId="0" borderId="0" xfId="0" applyFont="1" applyAlignment="1">
      <alignment horizontal="center"/>
    </xf>
    <xf numFmtId="0" fontId="0" fillId="0" borderId="0" xfId="0" applyAlignment="1">
      <alignment horizontal="left" indent="1"/>
    </xf>
    <xf numFmtId="0" fontId="0" fillId="9" borderId="0" xfId="0" applyFill="1" applyAlignment="1">
      <alignment horizontal="left" indent="1"/>
    </xf>
    <xf numFmtId="44" fontId="19" fillId="9" borderId="64" xfId="0" applyNumberFormat="1" applyFont="1" applyFill="1" applyBorder="1"/>
    <xf numFmtId="0" fontId="0" fillId="10" borderId="0" xfId="0" applyFill="1" applyAlignment="1">
      <alignment horizontal="right"/>
    </xf>
    <xf numFmtId="0" fontId="0" fillId="10" borderId="65" xfId="0" applyFill="1" applyBorder="1" applyAlignment="1">
      <alignment horizontal="left"/>
    </xf>
    <xf numFmtId="0" fontId="0" fillId="10" borderId="66" xfId="0" applyFill="1" applyBorder="1" applyAlignment="1">
      <alignment horizontal="center"/>
    </xf>
    <xf numFmtId="0" fontId="0" fillId="10" borderId="67" xfId="0" applyFill="1" applyBorder="1"/>
    <xf numFmtId="0" fontId="46" fillId="0" borderId="68" xfId="0" applyFont="1" applyBorder="1" applyAlignment="1">
      <alignment horizontal="left"/>
    </xf>
    <xf numFmtId="0" fontId="46" fillId="0" borderId="0" xfId="0" applyFont="1"/>
    <xf numFmtId="169" fontId="46" fillId="0" borderId="0" xfId="0" applyNumberFormat="1" applyFont="1"/>
    <xf numFmtId="169" fontId="46" fillId="0" borderId="69" xfId="0" applyNumberFormat="1" applyFont="1" applyBorder="1"/>
    <xf numFmtId="0" fontId="46" fillId="0" borderId="70" xfId="0" applyFont="1" applyBorder="1"/>
    <xf numFmtId="0" fontId="46" fillId="0" borderId="71" xfId="0" applyFont="1" applyBorder="1"/>
    <xf numFmtId="169" fontId="46" fillId="0" borderId="71" xfId="0" applyNumberFormat="1" applyFont="1" applyBorder="1"/>
    <xf numFmtId="169" fontId="46" fillId="0" borderId="72" xfId="0" applyNumberFormat="1" applyFont="1" applyBorder="1"/>
    <xf numFmtId="0" fontId="47" fillId="10" borderId="0" xfId="0" applyFont="1" applyFill="1"/>
    <xf numFmtId="0" fontId="19" fillId="10" borderId="0" xfId="0" applyFont="1" applyFill="1"/>
    <xf numFmtId="169" fontId="48" fillId="0" borderId="0" xfId="0" applyNumberFormat="1" applyFont="1"/>
    <xf numFmtId="169" fontId="0" fillId="0" borderId="0" xfId="0" applyNumberFormat="1" applyAlignment="1">
      <alignment vertical="center"/>
    </xf>
    <xf numFmtId="0" fontId="47" fillId="10" borderId="0" xfId="0" applyFont="1" applyFill="1" applyAlignment="1">
      <alignment horizontal="left"/>
    </xf>
    <xf numFmtId="169" fontId="19" fillId="12" borderId="0" xfId="0" applyNumberFormat="1" applyFont="1" applyFill="1"/>
    <xf numFmtId="169" fontId="19" fillId="12" borderId="64" xfId="0" applyNumberFormat="1" applyFont="1" applyFill="1" applyBorder="1"/>
    <xf numFmtId="4" fontId="51" fillId="13" borderId="0" xfId="0" applyNumberFormat="1" applyFont="1" applyFill="1" applyAlignment="1">
      <alignment horizontal="right" vertical="center"/>
    </xf>
    <xf numFmtId="0" fontId="52" fillId="0" borderId="46" xfId="0" applyFont="1" applyBorder="1" applyAlignment="1">
      <alignment horizontal="left" vertical="center"/>
    </xf>
    <xf numFmtId="0" fontId="52" fillId="0" borderId="0" xfId="0" applyFont="1" applyAlignment="1">
      <alignment horizontal="left" vertical="center"/>
    </xf>
    <xf numFmtId="0" fontId="52" fillId="0" borderId="0" xfId="0" applyFont="1" applyAlignment="1">
      <alignment horizontal="left" vertical="center" wrapText="1"/>
    </xf>
    <xf numFmtId="0" fontId="51" fillId="0" borderId="75" xfId="0" applyFont="1" applyBorder="1" applyAlignment="1">
      <alignment horizontal="left" vertical="center"/>
    </xf>
    <xf numFmtId="0" fontId="51" fillId="0" borderId="76" xfId="0" applyFont="1" applyBorder="1" applyAlignment="1">
      <alignment horizontal="left" vertical="center"/>
    </xf>
    <xf numFmtId="0" fontId="51" fillId="0" borderId="76" xfId="0" applyFont="1" applyBorder="1" applyAlignment="1">
      <alignment horizontal="center" vertical="center"/>
    </xf>
    <xf numFmtId="0" fontId="51" fillId="0" borderId="77" xfId="0" applyFont="1" applyBorder="1" applyAlignment="1">
      <alignment horizontal="center" vertical="center"/>
    </xf>
    <xf numFmtId="0" fontId="51" fillId="0" borderId="78" xfId="0" applyFont="1" applyBorder="1" applyAlignment="1">
      <alignment horizontal="center" vertical="center"/>
    </xf>
    <xf numFmtId="0" fontId="51" fillId="0" borderId="81" xfId="0" applyFont="1" applyBorder="1" applyAlignment="1">
      <alignment horizontal="center" vertical="center"/>
    </xf>
    <xf numFmtId="0" fontId="51" fillId="0" borderId="82" xfId="0" applyFont="1" applyBorder="1" applyAlignment="1">
      <alignment horizontal="center" vertical="center"/>
    </xf>
    <xf numFmtId="0" fontId="51" fillId="13" borderId="0" xfId="0" applyFont="1" applyFill="1" applyAlignment="1">
      <alignment horizontal="right" vertical="center"/>
    </xf>
    <xf numFmtId="0" fontId="51" fillId="0" borderId="0" xfId="0" applyFont="1" applyAlignment="1">
      <alignment horizontal="right" vertical="center"/>
    </xf>
    <xf numFmtId="0" fontId="52" fillId="0" borderId="83" xfId="0" applyFont="1" applyBorder="1" applyAlignment="1">
      <alignment horizontal="left" vertical="center"/>
    </xf>
    <xf numFmtId="0" fontId="52" fillId="0" borderId="84" xfId="0" applyFont="1" applyBorder="1" applyAlignment="1">
      <alignment horizontal="left" vertical="center"/>
    </xf>
    <xf numFmtId="0" fontId="51" fillId="0" borderId="85" xfId="0" applyFont="1" applyBorder="1" applyAlignment="1">
      <alignment horizontal="center" vertical="center"/>
    </xf>
    <xf numFmtId="0" fontId="52" fillId="0" borderId="86" xfId="0" applyFont="1" applyBorder="1" applyAlignment="1">
      <alignment horizontal="left" vertical="center"/>
    </xf>
    <xf numFmtId="0" fontId="51" fillId="0" borderId="87" xfId="0" applyFont="1" applyBorder="1" applyAlignment="1">
      <alignment horizontal="center" vertical="center"/>
    </xf>
    <xf numFmtId="0" fontId="51" fillId="0" borderId="84" xfId="0" applyFont="1" applyBorder="1" applyAlignment="1">
      <alignment horizontal="center" vertical="center"/>
    </xf>
    <xf numFmtId="0" fontId="51" fillId="0" borderId="88" xfId="0" applyFont="1" applyBorder="1" applyAlignment="1">
      <alignment horizontal="center" vertical="center"/>
    </xf>
    <xf numFmtId="0" fontId="52" fillId="13" borderId="46" xfId="0" applyFont="1" applyFill="1" applyBorder="1" applyAlignment="1">
      <alignment horizontal="left" vertical="center"/>
    </xf>
    <xf numFmtId="0" fontId="51" fillId="13" borderId="0" xfId="0" applyFont="1" applyFill="1" applyAlignment="1">
      <alignment horizontal="left" vertical="center"/>
    </xf>
    <xf numFmtId="0" fontId="52" fillId="13" borderId="0" xfId="0" applyFont="1" applyFill="1" applyAlignment="1">
      <alignment horizontal="left" vertical="center"/>
    </xf>
    <xf numFmtId="0" fontId="51" fillId="13" borderId="74" xfId="0" applyFont="1" applyFill="1" applyBorder="1" applyAlignment="1">
      <alignment horizontal="right" vertical="center"/>
    </xf>
    <xf numFmtId="4" fontId="52" fillId="0" borderId="0" xfId="0" applyNumberFormat="1" applyFont="1" applyAlignment="1">
      <alignment horizontal="right" vertical="center"/>
    </xf>
    <xf numFmtId="0" fontId="52" fillId="0" borderId="0" xfId="0" applyFont="1" applyAlignment="1">
      <alignment horizontal="right" vertical="center"/>
    </xf>
    <xf numFmtId="0" fontId="52" fillId="0" borderId="74" xfId="0" applyFont="1" applyBorder="1" applyAlignment="1">
      <alignment horizontal="right" vertical="center"/>
    </xf>
    <xf numFmtId="0" fontId="53" fillId="0" borderId="0" xfId="0" applyFont="1" applyAlignment="1">
      <alignment horizontal="right" vertical="center"/>
    </xf>
    <xf numFmtId="0" fontId="52" fillId="0" borderId="51" xfId="0" applyFont="1" applyBorder="1" applyAlignment="1">
      <alignment horizontal="left" vertical="center"/>
    </xf>
    <xf numFmtId="0" fontId="52" fillId="0" borderId="52" xfId="0" applyFont="1" applyBorder="1" applyAlignment="1">
      <alignment horizontal="left" vertical="center"/>
    </xf>
    <xf numFmtId="4" fontId="52" fillId="0" borderId="52" xfId="0" applyNumberFormat="1" applyFont="1" applyBorder="1" applyAlignment="1">
      <alignment horizontal="right" vertical="center"/>
    </xf>
    <xf numFmtId="0" fontId="52" fillId="0" borderId="52" xfId="0" applyFont="1" applyBorder="1" applyAlignment="1">
      <alignment horizontal="right" vertical="center"/>
    </xf>
    <xf numFmtId="0" fontId="52" fillId="0" borderId="89" xfId="0" applyFont="1" applyBorder="1" applyAlignment="1">
      <alignment horizontal="right" vertical="center"/>
    </xf>
    <xf numFmtId="4" fontId="51" fillId="0" borderId="0" xfId="0" applyNumberFormat="1" applyFont="1" applyAlignment="1">
      <alignment horizontal="right" vertical="center"/>
    </xf>
    <xf numFmtId="0" fontId="54" fillId="0" borderId="0" xfId="0" applyFont="1" applyAlignment="1">
      <alignment horizontal="left" vertical="center"/>
    </xf>
    <xf numFmtId="0" fontId="3" fillId="2" borderId="0" xfId="0" applyFont="1" applyFill="1" applyAlignment="1">
      <alignment horizontal="left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49" fontId="8" fillId="3" borderId="0" xfId="0" applyNumberFormat="1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1" fontId="0" fillId="0" borderId="6" xfId="0" applyNumberFormat="1" applyBorder="1" applyAlignment="1">
      <alignment horizontal="right" indent="1"/>
    </xf>
    <xf numFmtId="49" fontId="8" fillId="4" borderId="18" xfId="0" applyNumberFormat="1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49" fontId="8" fillId="4" borderId="0" xfId="0" applyNumberFormat="1" applyFont="1" applyFill="1" applyAlignment="1" applyProtection="1">
      <alignment horizontal="left" vertical="center"/>
      <protection locked="0"/>
    </xf>
    <xf numFmtId="49" fontId="8" fillId="3" borderId="6" xfId="0" applyNumberFormat="1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49" fontId="8" fillId="4" borderId="6" xfId="0" applyNumberFormat="1" applyFont="1" applyFill="1" applyBorder="1" applyAlignment="1" applyProtection="1">
      <alignment horizontal="left" vertical="center"/>
      <protection locked="0"/>
    </xf>
    <xf numFmtId="49" fontId="0" fillId="4" borderId="6" xfId="0" applyNumberFormat="1" applyFill="1" applyBorder="1" applyAlignment="1" applyProtection="1">
      <alignment horizontal="left" vertical="center"/>
      <protection locked="0"/>
    </xf>
    <xf numFmtId="49" fontId="8" fillId="0" borderId="18" xfId="0" applyNumberFormat="1" applyFont="1" applyBorder="1" applyAlignment="1">
      <alignment horizontal="left" vertical="center" wrapText="1"/>
    </xf>
    <xf numFmtId="0" fontId="0" fillId="0" borderId="18" xfId="0" applyBorder="1" applyAlignment="1">
      <alignment vertical="center" wrapText="1"/>
    </xf>
    <xf numFmtId="49" fontId="8" fillId="0" borderId="0" xfId="0" applyNumberFormat="1" applyFont="1" applyAlignment="1">
      <alignment horizontal="left" vertical="center" wrapText="1"/>
    </xf>
    <xf numFmtId="0" fontId="0" fillId="0" borderId="0" xfId="0" applyAlignment="1">
      <alignment vertical="center" wrapText="1"/>
    </xf>
    <xf numFmtId="49" fontId="8" fillId="0" borderId="6" xfId="0" applyNumberFormat="1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6" xfId="0" applyNumberFormat="1" applyFont="1" applyBorder="1" applyAlignment="1">
      <alignment horizontal="right" vertical="center" indent="1"/>
    </xf>
    <xf numFmtId="4" fontId="12" fillId="3" borderId="7" xfId="0" applyNumberFormat="1" applyFont="1" applyFill="1" applyBorder="1" applyAlignment="1">
      <alignment horizontal="right" vertical="center"/>
    </xf>
    <xf numFmtId="2" fontId="12" fillId="3" borderId="7" xfId="0" applyNumberFormat="1" applyFont="1" applyFill="1" applyBorder="1" applyAlignment="1">
      <alignment horizontal="right" vertical="center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4" fontId="0" fillId="0" borderId="34" xfId="0" applyNumberFormat="1" applyBorder="1" applyAlignment="1">
      <alignment vertical="center" wrapText="1"/>
    </xf>
    <xf numFmtId="4" fontId="8" fillId="0" borderId="34" xfId="0" applyNumberFormat="1" applyFont="1" applyBorder="1" applyAlignment="1">
      <alignment vertical="center" wrapText="1"/>
    </xf>
    <xf numFmtId="4" fontId="0" fillId="3" borderId="36" xfId="0" applyNumberFormat="1" applyFill="1" applyBorder="1" applyAlignment="1">
      <alignment vertical="center"/>
    </xf>
    <xf numFmtId="4" fontId="0" fillId="3" borderId="37" xfId="0" applyNumberFormat="1" applyFill="1" applyBorder="1" applyAlignment="1">
      <alignment vertical="center"/>
    </xf>
    <xf numFmtId="4" fontId="0" fillId="3" borderId="38" xfId="0" applyNumberFormat="1" applyFill="1" applyBorder="1" applyAlignment="1">
      <alignment vertical="center"/>
    </xf>
    <xf numFmtId="49" fontId="7" fillId="0" borderId="33" xfId="0" applyNumberFormat="1" applyFont="1" applyBorder="1" applyAlignment="1">
      <alignment vertical="center" wrapText="1"/>
    </xf>
    <xf numFmtId="49" fontId="7" fillId="0" borderId="34" xfId="0" applyNumberFormat="1" applyFont="1" applyBorder="1" applyAlignment="1">
      <alignment vertical="center" wrapTex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0" fillId="4" borderId="29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horizontal="left" vertical="top" wrapText="1"/>
      <protection locked="0"/>
    </xf>
    <xf numFmtId="0" fontId="0" fillId="4" borderId="40" xfId="0" applyFill="1" applyBorder="1" applyAlignment="1" applyProtection="1">
      <alignment vertical="top" wrapText="1"/>
      <protection locked="0"/>
    </xf>
    <xf numFmtId="0" fontId="0" fillId="4" borderId="26" xfId="0" applyFill="1" applyBorder="1" applyAlignment="1" applyProtection="1">
      <alignment vertical="top" wrapText="1"/>
      <protection locked="0"/>
    </xf>
    <xf numFmtId="0" fontId="0" fillId="4" borderId="0" xfId="0" applyFill="1" applyAlignment="1" applyProtection="1">
      <alignment vertical="top" wrapText="1"/>
      <protection locked="0"/>
    </xf>
    <xf numFmtId="0" fontId="0" fillId="4" borderId="0" xfId="0" applyFill="1" applyAlignment="1" applyProtection="1">
      <alignment horizontal="left" vertical="top" wrapText="1"/>
      <protection locked="0"/>
    </xf>
    <xf numFmtId="0" fontId="0" fillId="4" borderId="27" xfId="0" applyFill="1" applyBorder="1" applyAlignment="1" applyProtection="1">
      <alignment vertical="top" wrapText="1"/>
      <protection locked="0"/>
    </xf>
    <xf numFmtId="0" fontId="0" fillId="4" borderId="10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horizontal="left" vertical="top" wrapText="1"/>
      <protection locked="0"/>
    </xf>
    <xf numFmtId="0" fontId="0" fillId="4" borderId="28" xfId="0" applyFill="1" applyBorder="1" applyAlignment="1" applyProtection="1">
      <alignment vertical="top" wrapText="1"/>
      <protection locked="0"/>
    </xf>
    <xf numFmtId="0" fontId="17" fillId="0" borderId="18" xfId="0" applyFont="1" applyBorder="1" applyAlignment="1">
      <alignment horizontal="left" vertical="top" wrapText="1"/>
    </xf>
    <xf numFmtId="0" fontId="17" fillId="0" borderId="18" xfId="0" applyFont="1" applyBorder="1" applyAlignment="1">
      <alignment vertical="top" wrapText="1"/>
    </xf>
    <xf numFmtId="0" fontId="6" fillId="0" borderId="0" xfId="0" applyFont="1" applyAlignment="1">
      <alignment horizont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horizontal="left" vertical="top" wrapText="1"/>
    </xf>
    <xf numFmtId="0" fontId="24" fillId="0" borderId="0" xfId="0" applyFont="1" applyAlignment="1">
      <alignment horizontal="left" vertical="center" wrapText="1"/>
    </xf>
    <xf numFmtId="0" fontId="0" fillId="0" borderId="0" xfId="0" applyAlignment="1">
      <alignment vertical="center"/>
    </xf>
    <xf numFmtId="0" fontId="23" fillId="0" borderId="0" xfId="0" applyFont="1" applyAlignment="1">
      <alignment horizontal="left" vertical="center" wrapText="1"/>
    </xf>
    <xf numFmtId="0" fontId="23" fillId="0" borderId="0" xfId="0" applyFont="1" applyAlignment="1">
      <alignment horizontal="left" vertical="center"/>
    </xf>
    <xf numFmtId="0" fontId="0" fillId="0" borderId="0" xfId="0"/>
    <xf numFmtId="0" fontId="25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 wrapText="1"/>
    </xf>
    <xf numFmtId="0" fontId="47" fillId="10" borderId="0" xfId="0" applyFont="1" applyFill="1" applyAlignment="1">
      <alignment horizontal="left" wrapText="1"/>
    </xf>
    <xf numFmtId="0" fontId="52" fillId="0" borderId="0" xfId="0" applyFont="1" applyAlignment="1">
      <alignment horizontal="left" vertical="center"/>
    </xf>
    <xf numFmtId="0" fontId="52" fillId="0" borderId="74" xfId="0" applyFont="1" applyBorder="1" applyAlignment="1">
      <alignment horizontal="left" vertical="center"/>
    </xf>
    <xf numFmtId="0" fontId="50" fillId="0" borderId="0" xfId="0" applyFont="1" applyAlignment="1">
      <alignment horizontal="center" vertical="center"/>
    </xf>
    <xf numFmtId="0" fontId="52" fillId="0" borderId="44" xfId="0" applyFont="1" applyBorder="1" applyAlignment="1">
      <alignment horizontal="left" vertical="center" wrapText="1"/>
    </xf>
    <xf numFmtId="0" fontId="52" fillId="0" borderId="45" xfId="0" applyFont="1" applyBorder="1" applyAlignment="1">
      <alignment horizontal="left" vertical="center"/>
    </xf>
    <xf numFmtId="0" fontId="52" fillId="0" borderId="46" xfId="0" applyFont="1" applyBorder="1" applyAlignment="1">
      <alignment horizontal="left" vertical="center"/>
    </xf>
    <xf numFmtId="0" fontId="51" fillId="0" borderId="45" xfId="0" applyFont="1" applyBorder="1" applyAlignment="1">
      <alignment horizontal="left" vertical="center" wrapText="1"/>
    </xf>
    <xf numFmtId="0" fontId="51" fillId="0" borderId="45" xfId="0" applyFont="1" applyBorder="1" applyAlignment="1">
      <alignment horizontal="left" vertical="center"/>
    </xf>
    <xf numFmtId="0" fontId="51" fillId="0" borderId="0" xfId="0" applyFont="1" applyAlignment="1">
      <alignment horizontal="left" vertical="center"/>
    </xf>
    <xf numFmtId="0" fontId="52" fillId="0" borderId="45" xfId="0" applyFont="1" applyBorder="1" applyAlignment="1">
      <alignment horizontal="left" vertical="center" wrapText="1"/>
    </xf>
    <xf numFmtId="0" fontId="52" fillId="0" borderId="73" xfId="0" applyFont="1" applyBorder="1" applyAlignment="1">
      <alignment horizontal="left" vertical="center"/>
    </xf>
    <xf numFmtId="0" fontId="52" fillId="0" borderId="46" xfId="0" applyFont="1" applyBorder="1" applyAlignment="1">
      <alignment horizontal="left" vertical="center" wrapText="1"/>
    </xf>
    <xf numFmtId="0" fontId="52" fillId="0" borderId="0" xfId="0" applyFont="1" applyAlignment="1">
      <alignment horizontal="left" vertical="center" wrapText="1"/>
    </xf>
    <xf numFmtId="0" fontId="51" fillId="0" borderId="77" xfId="0" applyFont="1" applyBorder="1" applyAlignment="1">
      <alignment horizontal="left" vertical="center"/>
    </xf>
    <xf numFmtId="0" fontId="51" fillId="0" borderId="76" xfId="0" applyFont="1" applyBorder="1" applyAlignment="1">
      <alignment horizontal="left" vertical="center"/>
    </xf>
    <xf numFmtId="0" fontId="51" fillId="0" borderId="79" xfId="0" applyFont="1" applyBorder="1" applyAlignment="1">
      <alignment horizontal="center" vertical="center"/>
    </xf>
    <xf numFmtId="0" fontId="51" fillId="0" borderId="80" xfId="0" applyFont="1" applyBorder="1" applyAlignment="1">
      <alignment horizontal="center" vertical="center"/>
    </xf>
    <xf numFmtId="0" fontId="51" fillId="0" borderId="81" xfId="0" applyFont="1" applyBorder="1" applyAlignment="1">
      <alignment horizontal="center" vertical="center"/>
    </xf>
    <xf numFmtId="0" fontId="51" fillId="0" borderId="85" xfId="0" applyFont="1" applyBorder="1" applyAlignment="1">
      <alignment horizontal="left" vertical="center"/>
    </xf>
    <xf numFmtId="0" fontId="51" fillId="0" borderId="84" xfId="0" applyFont="1" applyBorder="1" applyAlignment="1">
      <alignment horizontal="left" vertical="center"/>
    </xf>
    <xf numFmtId="0" fontId="51" fillId="13" borderId="0" xfId="0" applyFont="1" applyFill="1" applyAlignment="1">
      <alignment horizontal="left" vertical="center" wrapText="1"/>
    </xf>
    <xf numFmtId="0" fontId="51" fillId="13" borderId="0" xfId="0" applyFont="1" applyFill="1" applyAlignment="1">
      <alignment horizontal="left" vertical="center"/>
    </xf>
    <xf numFmtId="0" fontId="53" fillId="0" borderId="0" xfId="0" applyFont="1" applyAlignment="1">
      <alignment horizontal="left" vertical="center" wrapText="1"/>
    </xf>
    <xf numFmtId="0" fontId="53" fillId="0" borderId="0" xfId="0" applyFont="1" applyAlignment="1">
      <alignment horizontal="left" vertical="center"/>
    </xf>
    <xf numFmtId="0" fontId="53" fillId="0" borderId="74" xfId="0" applyFont="1" applyBorder="1" applyAlignment="1">
      <alignment horizontal="left" vertical="center"/>
    </xf>
    <xf numFmtId="0" fontId="52" fillId="0" borderId="52" xfId="0" applyFont="1" applyBorder="1" applyAlignment="1">
      <alignment horizontal="left" vertical="center" wrapText="1"/>
    </xf>
    <xf numFmtId="0" fontId="52" fillId="0" borderId="52" xfId="0" applyFont="1" applyBorder="1" applyAlignment="1">
      <alignment horizontal="left" vertical="center"/>
    </xf>
  </cellXfs>
  <cellStyles count="4">
    <cellStyle name="Hypertextový odkaz" xfId="3" builtinId="8"/>
    <cellStyle name="Normální" xfId="0" builtinId="0"/>
    <cellStyle name="normální 2" xfId="1" xr:uid="{00000000-0005-0000-0000-000001000000}"/>
    <cellStyle name="Procenta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UILDpowerS\Templates\Rozpocty\Sablona.xls" TargetMode="External"/></Relationships>
</file>

<file path=xl/externalLinks/_rels/externalLink2.xml.rels><?xml version="1.0" encoding="UTF-8" standalone="yes"?>
<Relationships xmlns="http://schemas.openxmlformats.org/package/2006/relationships"><Relationship Id="rId3" Type="http://schemas.openxmlformats.org/officeDocument/2006/relationships/externalLinkPath" Target="file:///D:\_PROJEKTY%202020\2020-003%20Z&#225;me&#269;ek%20Brand&#253;s%20nad%20Orlic&#237;\DPS%20-%20ENERGETICK&#201;%20&#218;SPORY\_rozpo&#269;et\____&#218;PRAVY%20V&#344;%202024-06\Z&#225;mek%20Brand&#253;s%20nad%20Orlic&#237;%20-%20SN&#205;&#381;EN&#205;%20ENERGETICK&#201;%20N&#193;RO&#268;NOSTI%20BUDOVY%20-%203.1%20UT%20-%20ROZPO&#268;ET%20-%20p&#345;&#237;loha%20&#269;.1%20ZDROJ%20A%20SYST&#201;M%20UT.xlsx" TargetMode="External"/><Relationship Id="rId2" Type="http://schemas.microsoft.com/office/2019/04/relationships/externalLinkLongPath" Target="Z&#225;mek%20Brand&#253;s%20nad%20Orlic&#237;%20-%20SN&#205;&#381;EN&#205;%20ENERGETICK&#201;%20N&#193;RO&#268;NOSTI%20BUDOVY%20-%203.1%20UT%20-%20ROZPO&#268;ET%20-%20p&#345;&#237;loha%20&#269;.1%20ZDROJ%20A%20SYST&#201;M%20UT.xlsx?14459A66" TargetMode="External"/><Relationship Id="rId1" Type="http://schemas.openxmlformats.org/officeDocument/2006/relationships/externalLinkPath" Target="file:///\\14459A66\Z&#225;mek%20Brand&#253;s%20nad%20Orlic&#237;%20-%20SN&#205;&#381;EN&#205;%20ENERGETICK&#201;%20N&#193;RO&#268;NOSTI%20BUDOVY%20-%203.1%20UT%20-%20ROZPO&#268;ET%20-%20p&#345;&#237;loha%20&#269;.1%20ZDROJ%20A%20SYST&#201;M%20U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3"/>
    </xxl21:alternateUrls>
    <sheetNames>
      <sheetName val="Rekapitulace stavby"/>
      <sheetName val="D.1.5. - VYTÁPĚNÍ"/>
    </sheetNames>
    <sheetDataSet>
      <sheetData sheetId="0">
        <row r="6">
          <cell r="K6" t="str">
            <v>Zámek Brandýs nad Orlicí, záchrana kulturní památky a její zpřístupnění veřejnosti, Etapa 3 – stavební úpravy, obnova pr</v>
          </cell>
        </row>
        <row r="8">
          <cell r="AN8" t="str">
            <v>21. 3. 2024</v>
          </cell>
        </row>
        <row r="13">
          <cell r="AN13" t="str">
            <v/>
          </cell>
        </row>
        <row r="14">
          <cell r="E14" t="str">
            <v xml:space="preserve"> </v>
          </cell>
          <cell r="AN14" t="str">
            <v/>
          </cell>
        </row>
        <row r="19">
          <cell r="AN19" t="str">
            <v/>
          </cell>
        </row>
        <row r="20">
          <cell r="E20" t="str">
            <v xml:space="preserve"> </v>
          </cell>
          <cell r="AN20" t="str">
            <v/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hyperlink" Target="https://podminky.urs.cz/item/CS_URS_2024_01/732331617" TargetMode="External"/><Relationship Id="rId18" Type="http://schemas.openxmlformats.org/officeDocument/2006/relationships/hyperlink" Target="https://podminky.urs.cz/item/CS_URS_2024_01/733221203" TargetMode="External"/><Relationship Id="rId26" Type="http://schemas.openxmlformats.org/officeDocument/2006/relationships/hyperlink" Target="https://podminky.urs.cz/item/CS_URS_2024_01/733224207" TargetMode="External"/><Relationship Id="rId39" Type="http://schemas.openxmlformats.org/officeDocument/2006/relationships/hyperlink" Target="https://podminky.urs.cz/item/CS_URS_2024_01/734242417" TargetMode="External"/><Relationship Id="rId21" Type="http://schemas.openxmlformats.org/officeDocument/2006/relationships/hyperlink" Target="https://podminky.urs.cz/item/CS_URS_2024_01/733223206" TargetMode="External"/><Relationship Id="rId34" Type="http://schemas.openxmlformats.org/officeDocument/2006/relationships/hyperlink" Target="https://podminky.urs.cz/item/CS_URS_2024_01/734209118" TargetMode="External"/><Relationship Id="rId42" Type="http://schemas.openxmlformats.org/officeDocument/2006/relationships/hyperlink" Target="https://podminky.urs.cz/item/CS_URS_2024_01/734292713" TargetMode="External"/><Relationship Id="rId47" Type="http://schemas.openxmlformats.org/officeDocument/2006/relationships/hyperlink" Target="https://podminky.urs.cz/item/CS_URS_2024_01/734411101" TargetMode="External"/><Relationship Id="rId50" Type="http://schemas.openxmlformats.org/officeDocument/2006/relationships/hyperlink" Target="https://podminky.urs.cz/item/CS_URS_2024_01/735000911" TargetMode="External"/><Relationship Id="rId55" Type="http://schemas.openxmlformats.org/officeDocument/2006/relationships/hyperlink" Target="https://podminky.urs.cz/item/CS_URS_2024_01/735152679" TargetMode="External"/><Relationship Id="rId63" Type="http://schemas.openxmlformats.org/officeDocument/2006/relationships/hyperlink" Target="https://podminky.urs.cz/item/CS_URS_2024_01/735511062" TargetMode="External"/><Relationship Id="rId68" Type="http://schemas.openxmlformats.org/officeDocument/2006/relationships/hyperlink" Target="https://podminky.urs.cz/item/CS_URS_2024_01/735511122" TargetMode="External"/><Relationship Id="rId7" Type="http://schemas.openxmlformats.org/officeDocument/2006/relationships/hyperlink" Target="https://podminky.urs.cz/item/CS_URS_2024_01/722232044" TargetMode="External"/><Relationship Id="rId71" Type="http://schemas.openxmlformats.org/officeDocument/2006/relationships/hyperlink" Target="https://podminky.urs.cz/item/CS_URS_2024_01/998735102" TargetMode="External"/><Relationship Id="rId2" Type="http://schemas.openxmlformats.org/officeDocument/2006/relationships/hyperlink" Target="https://podminky.urs.cz/item/CS_URS_2024_01/998713102" TargetMode="External"/><Relationship Id="rId16" Type="http://schemas.openxmlformats.org/officeDocument/2006/relationships/hyperlink" Target="https://podminky.urs.cz/item/CS_URS_2024_01/998732102" TargetMode="External"/><Relationship Id="rId29" Type="http://schemas.openxmlformats.org/officeDocument/2006/relationships/hyperlink" Target="https://podminky.urs.cz/item/CS_URS_2024_01/733291101" TargetMode="External"/><Relationship Id="rId1" Type="http://schemas.openxmlformats.org/officeDocument/2006/relationships/hyperlink" Target="https://podminky.urs.cz/item/CS_URS_2024_01/713463411" TargetMode="External"/><Relationship Id="rId6" Type="http://schemas.openxmlformats.org/officeDocument/2006/relationships/hyperlink" Target="https://podminky.urs.cz/item/CS_URS_2024_01/722231202" TargetMode="External"/><Relationship Id="rId11" Type="http://schemas.openxmlformats.org/officeDocument/2006/relationships/hyperlink" Target="https://podminky.urs.cz/item/CS_URS_2024_01/998731102" TargetMode="External"/><Relationship Id="rId24" Type="http://schemas.openxmlformats.org/officeDocument/2006/relationships/hyperlink" Target="https://podminky.urs.cz/item/CS_URS_2024_01/733224205" TargetMode="External"/><Relationship Id="rId32" Type="http://schemas.openxmlformats.org/officeDocument/2006/relationships/hyperlink" Target="https://podminky.urs.cz/item/CS_URS_2024_01/734209113" TargetMode="External"/><Relationship Id="rId37" Type="http://schemas.openxmlformats.org/officeDocument/2006/relationships/hyperlink" Target="https://podminky.urs.cz/item/CS_URS_2024_01/734242415" TargetMode="External"/><Relationship Id="rId40" Type="http://schemas.openxmlformats.org/officeDocument/2006/relationships/hyperlink" Target="https://podminky.urs.cz/item/CS_URS_2024_01/734261403" TargetMode="External"/><Relationship Id="rId45" Type="http://schemas.openxmlformats.org/officeDocument/2006/relationships/hyperlink" Target="https://podminky.urs.cz/item/CS_URS_2024_01/734292717" TargetMode="External"/><Relationship Id="rId53" Type="http://schemas.openxmlformats.org/officeDocument/2006/relationships/hyperlink" Target="https://podminky.urs.cz/item/CS_URS_2024_01/735152676" TargetMode="External"/><Relationship Id="rId58" Type="http://schemas.openxmlformats.org/officeDocument/2006/relationships/hyperlink" Target="https://podminky.urs.cz/item/CS_URS_2024_01/735164512" TargetMode="External"/><Relationship Id="rId66" Type="http://schemas.openxmlformats.org/officeDocument/2006/relationships/hyperlink" Target="https://podminky.urs.cz/item/CS_URS_2024_01/735511085" TargetMode="External"/><Relationship Id="rId5" Type="http://schemas.openxmlformats.org/officeDocument/2006/relationships/hyperlink" Target="https://podminky.urs.cz/item/CS_URS_2024_01/722231074" TargetMode="External"/><Relationship Id="rId15" Type="http://schemas.openxmlformats.org/officeDocument/2006/relationships/hyperlink" Target="https://podminky.urs.cz/item/CS_URS_2024_01/732331777" TargetMode="External"/><Relationship Id="rId23" Type="http://schemas.openxmlformats.org/officeDocument/2006/relationships/hyperlink" Target="https://podminky.urs.cz/item/CS_URS_2024_01/733223208" TargetMode="External"/><Relationship Id="rId28" Type="http://schemas.openxmlformats.org/officeDocument/2006/relationships/hyperlink" Target="https://podminky.urs.cz/item/CS_URS_2024_01/733224222" TargetMode="External"/><Relationship Id="rId36" Type="http://schemas.openxmlformats.org/officeDocument/2006/relationships/hyperlink" Target="https://podminky.urs.cz/item/CS_URS_2024_01/734242414" TargetMode="External"/><Relationship Id="rId49" Type="http://schemas.openxmlformats.org/officeDocument/2006/relationships/hyperlink" Target="https://podminky.urs.cz/item/CS_URS_2024_01/998734101" TargetMode="External"/><Relationship Id="rId57" Type="http://schemas.openxmlformats.org/officeDocument/2006/relationships/hyperlink" Target="https://podminky.urs.cz/item/CS_URS_2024_01/735152681" TargetMode="External"/><Relationship Id="rId61" Type="http://schemas.openxmlformats.org/officeDocument/2006/relationships/hyperlink" Target="https://podminky.urs.cz/item/CS_URS_2024_01/735419136" TargetMode="External"/><Relationship Id="rId10" Type="http://schemas.openxmlformats.org/officeDocument/2006/relationships/hyperlink" Target="https://podminky.urs.cz/item/CS_URS_2024_01/731341140" TargetMode="External"/><Relationship Id="rId19" Type="http://schemas.openxmlformats.org/officeDocument/2006/relationships/hyperlink" Target="https://podminky.urs.cz/item/CS_URS_2024_01/733221204" TargetMode="External"/><Relationship Id="rId31" Type="http://schemas.openxmlformats.org/officeDocument/2006/relationships/hyperlink" Target="https://podminky.urs.cz/item/CS_URS_2024_01/998733102" TargetMode="External"/><Relationship Id="rId44" Type="http://schemas.openxmlformats.org/officeDocument/2006/relationships/hyperlink" Target="https://podminky.urs.cz/item/CS_URS_2024_01/734292716" TargetMode="External"/><Relationship Id="rId52" Type="http://schemas.openxmlformats.org/officeDocument/2006/relationships/hyperlink" Target="https://podminky.urs.cz/item/CS_URS_2024_01/735152597" TargetMode="External"/><Relationship Id="rId60" Type="http://schemas.openxmlformats.org/officeDocument/2006/relationships/hyperlink" Target="https://podminky.urs.cz/item/CS_URS_2024_01/735419135" TargetMode="External"/><Relationship Id="rId65" Type="http://schemas.openxmlformats.org/officeDocument/2006/relationships/hyperlink" Target="https://podminky.urs.cz/item/CS_URS_2024_01/735511081" TargetMode="External"/><Relationship Id="rId4" Type="http://schemas.openxmlformats.org/officeDocument/2006/relationships/hyperlink" Target="https://podminky.urs.cz/item/CS_URS_2024_01/722224151" TargetMode="External"/><Relationship Id="rId9" Type="http://schemas.openxmlformats.org/officeDocument/2006/relationships/hyperlink" Target="https://podminky.urs.cz/item/CS_URS_2024_01/998722102" TargetMode="External"/><Relationship Id="rId14" Type="http://schemas.openxmlformats.org/officeDocument/2006/relationships/hyperlink" Target="https://podminky.urs.cz/item/CS_URS_2024_01/732331619" TargetMode="External"/><Relationship Id="rId22" Type="http://schemas.openxmlformats.org/officeDocument/2006/relationships/hyperlink" Target="https://podminky.urs.cz/item/CS_URS_2024_01/733223207" TargetMode="External"/><Relationship Id="rId27" Type="http://schemas.openxmlformats.org/officeDocument/2006/relationships/hyperlink" Target="https://podminky.urs.cz/item/CS_URS_2024_01/733224208" TargetMode="External"/><Relationship Id="rId30" Type="http://schemas.openxmlformats.org/officeDocument/2006/relationships/hyperlink" Target="https://podminky.urs.cz/item/CS_URS_2024_01/733291102" TargetMode="External"/><Relationship Id="rId35" Type="http://schemas.openxmlformats.org/officeDocument/2006/relationships/hyperlink" Target="https://podminky.urs.cz/item/CS_URS_2024_01/734211120" TargetMode="External"/><Relationship Id="rId43" Type="http://schemas.openxmlformats.org/officeDocument/2006/relationships/hyperlink" Target="https://podminky.urs.cz/item/CS_URS_2024_01/734292715" TargetMode="External"/><Relationship Id="rId48" Type="http://schemas.openxmlformats.org/officeDocument/2006/relationships/hyperlink" Target="https://podminky.urs.cz/item/CS_URS_2024_01/734421102" TargetMode="External"/><Relationship Id="rId56" Type="http://schemas.openxmlformats.org/officeDocument/2006/relationships/hyperlink" Target="https://podminky.urs.cz/item/CS_URS_2024_01/735152680" TargetMode="External"/><Relationship Id="rId64" Type="http://schemas.openxmlformats.org/officeDocument/2006/relationships/hyperlink" Target="https://podminky.urs.cz/item/CS_URS_2024_01/735511063" TargetMode="External"/><Relationship Id="rId69" Type="http://schemas.openxmlformats.org/officeDocument/2006/relationships/hyperlink" Target="https://podminky.urs.cz/item/CS_URS_2024_01/735511128" TargetMode="External"/><Relationship Id="rId8" Type="http://schemas.openxmlformats.org/officeDocument/2006/relationships/hyperlink" Target="https://podminky.urs.cz/item/CS_URS_2024_01/722262211" TargetMode="External"/><Relationship Id="rId51" Type="http://schemas.openxmlformats.org/officeDocument/2006/relationships/hyperlink" Target="https://podminky.urs.cz/item/CS_URS_2024_01/735152576" TargetMode="External"/><Relationship Id="rId72" Type="http://schemas.openxmlformats.org/officeDocument/2006/relationships/hyperlink" Target="https://podminky.urs.cz/item/CS_URS_2024_01/013254000" TargetMode="External"/><Relationship Id="rId3" Type="http://schemas.openxmlformats.org/officeDocument/2006/relationships/hyperlink" Target="https://podminky.urs.cz/item/CS_URS_2024_01/722174023" TargetMode="External"/><Relationship Id="rId12" Type="http://schemas.openxmlformats.org/officeDocument/2006/relationships/hyperlink" Target="https://podminky.urs.cz/item/CS_URS_2024_01/732219315" TargetMode="External"/><Relationship Id="rId17" Type="http://schemas.openxmlformats.org/officeDocument/2006/relationships/hyperlink" Target="https://podminky.urs.cz/item/CS_URS_2024_01/733221202" TargetMode="External"/><Relationship Id="rId25" Type="http://schemas.openxmlformats.org/officeDocument/2006/relationships/hyperlink" Target="https://podminky.urs.cz/item/CS_URS_2024_01/733224206" TargetMode="External"/><Relationship Id="rId33" Type="http://schemas.openxmlformats.org/officeDocument/2006/relationships/hyperlink" Target="https://podminky.urs.cz/item/CS_URS_2024_01/734209117" TargetMode="External"/><Relationship Id="rId38" Type="http://schemas.openxmlformats.org/officeDocument/2006/relationships/hyperlink" Target="https://podminky.urs.cz/item/CS_URS_2024_01/734242416" TargetMode="External"/><Relationship Id="rId46" Type="http://schemas.openxmlformats.org/officeDocument/2006/relationships/hyperlink" Target="https://podminky.urs.cz/item/CS_URS_2024_01/734292718" TargetMode="External"/><Relationship Id="rId59" Type="http://schemas.openxmlformats.org/officeDocument/2006/relationships/hyperlink" Target="https://podminky.urs.cz/item/CS_URS_2024_01/735419116" TargetMode="External"/><Relationship Id="rId67" Type="http://schemas.openxmlformats.org/officeDocument/2006/relationships/hyperlink" Target="https://podminky.urs.cz/item/CS_URS_2024_01/735511101" TargetMode="External"/><Relationship Id="rId20" Type="http://schemas.openxmlformats.org/officeDocument/2006/relationships/hyperlink" Target="https://podminky.urs.cz/item/CS_URS_2024_01/733223205" TargetMode="External"/><Relationship Id="rId41" Type="http://schemas.openxmlformats.org/officeDocument/2006/relationships/hyperlink" Target="https://podminky.urs.cz/item/CS_URS_2024_01/734291123" TargetMode="External"/><Relationship Id="rId54" Type="http://schemas.openxmlformats.org/officeDocument/2006/relationships/hyperlink" Target="https://podminky.urs.cz/item/CS_URS_2024_01/735152678" TargetMode="External"/><Relationship Id="rId62" Type="http://schemas.openxmlformats.org/officeDocument/2006/relationships/hyperlink" Target="https://podminky.urs.cz/item/CS_URS_2024_01/735511010" TargetMode="External"/><Relationship Id="rId70" Type="http://schemas.openxmlformats.org/officeDocument/2006/relationships/hyperlink" Target="https://podminky.urs.cz/item/CS_URS_2024_01/73551113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21" t="s">
        <v>40</v>
      </c>
    </row>
    <row r="2" spans="1:7" ht="57.75" customHeight="1" x14ac:dyDescent="0.2">
      <c r="A2" s="367" t="s">
        <v>41</v>
      </c>
      <c r="B2" s="367"/>
      <c r="C2" s="367"/>
      <c r="D2" s="367"/>
      <c r="E2" s="367"/>
      <c r="F2" s="367"/>
      <c r="G2" s="367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5112">
    <tabColor rgb="FF66FF66"/>
  </sheetPr>
  <dimension ref="A1:O56"/>
  <sheetViews>
    <sheetView showGridLines="0" topLeftCell="B1" zoomScaleSheetLayoutView="75" workbookViewId="0">
      <selection activeCell="B1" sqref="B1:J1"/>
    </sheetView>
  </sheetViews>
  <sheetFormatPr defaultColWidth="9" defaultRowHeight="12.75" x14ac:dyDescent="0.2"/>
  <cols>
    <col min="1" max="1" width="8.42578125" hidden="1" customWidth="1"/>
    <col min="2" max="2" width="13.42578125" customWidth="1"/>
    <col min="3" max="3" width="7.42578125" style="52" customWidth="1"/>
    <col min="4" max="4" width="13" style="52" customWidth="1"/>
    <col min="5" max="5" width="9.7109375" style="52" customWidth="1"/>
    <col min="6" max="6" width="11.7109375" customWidth="1"/>
    <col min="7" max="9" width="13" customWidth="1"/>
    <col min="10" max="10" width="5.5703125" customWidth="1"/>
    <col min="11" max="11" width="4.28515625" customWidth="1"/>
    <col min="12" max="15" width="10.7109375" customWidth="1"/>
  </cols>
  <sheetData>
    <row r="1" spans="1:15" ht="33.75" customHeight="1" x14ac:dyDescent="0.2">
      <c r="A1" s="47" t="s">
        <v>38</v>
      </c>
      <c r="B1" s="368" t="s">
        <v>4</v>
      </c>
      <c r="C1" s="369"/>
      <c r="D1" s="369"/>
      <c r="E1" s="369"/>
      <c r="F1" s="369"/>
      <c r="G1" s="369"/>
      <c r="H1" s="369"/>
      <c r="I1" s="369"/>
      <c r="J1" s="370"/>
    </row>
    <row r="2" spans="1:15" ht="36" customHeight="1" x14ac:dyDescent="0.2">
      <c r="A2" s="2"/>
      <c r="B2" s="78" t="s">
        <v>24</v>
      </c>
      <c r="C2" s="79"/>
      <c r="D2" s="80"/>
      <c r="E2" s="377" t="s">
        <v>49</v>
      </c>
      <c r="F2" s="378"/>
      <c r="G2" s="378"/>
      <c r="H2" s="378"/>
      <c r="I2" s="378"/>
      <c r="J2" s="379"/>
      <c r="O2" s="1"/>
    </row>
    <row r="3" spans="1:15" ht="27" customHeight="1" x14ac:dyDescent="0.2">
      <c r="A3" s="2"/>
      <c r="B3" s="81" t="s">
        <v>47</v>
      </c>
      <c r="C3" s="79"/>
      <c r="D3" s="82" t="s">
        <v>45</v>
      </c>
      <c r="E3" s="380" t="s">
        <v>46</v>
      </c>
      <c r="F3" s="381"/>
      <c r="G3" s="381"/>
      <c r="H3" s="381"/>
      <c r="I3" s="381"/>
      <c r="J3" s="382"/>
    </row>
    <row r="4" spans="1:15" ht="23.25" customHeight="1" x14ac:dyDescent="0.2">
      <c r="A4" s="76">
        <v>613</v>
      </c>
      <c r="B4" s="83" t="s">
        <v>48</v>
      </c>
      <c r="C4" s="84"/>
      <c r="D4" s="85"/>
      <c r="E4" s="390" t="s">
        <v>44</v>
      </c>
      <c r="F4" s="391"/>
      <c r="G4" s="391"/>
      <c r="H4" s="391"/>
      <c r="I4" s="391"/>
      <c r="J4" s="392"/>
    </row>
    <row r="5" spans="1:15" ht="24" customHeight="1" x14ac:dyDescent="0.2">
      <c r="A5" s="2"/>
      <c r="B5" s="31" t="s">
        <v>23</v>
      </c>
      <c r="D5" s="395" t="s">
        <v>50</v>
      </c>
      <c r="E5" s="396"/>
      <c r="F5" s="396"/>
      <c r="G5" s="396"/>
      <c r="H5" s="18" t="s">
        <v>42</v>
      </c>
      <c r="I5" s="86" t="s">
        <v>54</v>
      </c>
      <c r="J5" s="8"/>
    </row>
    <row r="6" spans="1:15" ht="15.75" customHeight="1" x14ac:dyDescent="0.2">
      <c r="A6" s="2"/>
      <c r="B6" s="28"/>
      <c r="C6" s="55"/>
      <c r="D6" s="397" t="s">
        <v>51</v>
      </c>
      <c r="E6" s="398"/>
      <c r="F6" s="398"/>
      <c r="G6" s="398"/>
      <c r="H6" s="18" t="s">
        <v>36</v>
      </c>
      <c r="I6" s="22"/>
      <c r="J6" s="8"/>
    </row>
    <row r="7" spans="1:15" ht="15.75" customHeight="1" x14ac:dyDescent="0.2">
      <c r="A7" s="2"/>
      <c r="B7" s="29"/>
      <c r="C7" s="56"/>
      <c r="D7" s="77" t="s">
        <v>53</v>
      </c>
      <c r="E7" s="399" t="s">
        <v>52</v>
      </c>
      <c r="F7" s="400"/>
      <c r="G7" s="400"/>
      <c r="H7" s="24"/>
      <c r="I7" s="23"/>
      <c r="J7" s="34"/>
    </row>
    <row r="8" spans="1:15" ht="24" hidden="1" customHeight="1" x14ac:dyDescent="0.2">
      <c r="A8" s="2"/>
      <c r="B8" s="31" t="s">
        <v>21</v>
      </c>
      <c r="D8" s="51"/>
      <c r="H8" s="18" t="s">
        <v>42</v>
      </c>
      <c r="I8" s="22"/>
      <c r="J8" s="8"/>
    </row>
    <row r="9" spans="1:15" ht="15.75" hidden="1" customHeight="1" x14ac:dyDescent="0.2">
      <c r="A9" s="2"/>
      <c r="B9" s="2"/>
      <c r="D9" s="51"/>
      <c r="H9" s="18" t="s">
        <v>36</v>
      </c>
      <c r="I9" s="22"/>
      <c r="J9" s="8"/>
    </row>
    <row r="10" spans="1:15" ht="15.75" hidden="1" customHeight="1" x14ac:dyDescent="0.2">
      <c r="A10" s="2"/>
      <c r="B10" s="35"/>
      <c r="C10" s="56"/>
      <c r="D10" s="53"/>
      <c r="E10" s="57"/>
      <c r="F10" s="24"/>
      <c r="G10" s="14"/>
      <c r="H10" s="14"/>
      <c r="I10" s="36"/>
      <c r="J10" s="34"/>
    </row>
    <row r="11" spans="1:15" ht="24" customHeight="1" x14ac:dyDescent="0.2">
      <c r="A11" s="2"/>
      <c r="B11" s="31" t="s">
        <v>20</v>
      </c>
      <c r="D11" s="384" t="s">
        <v>55</v>
      </c>
      <c r="E11" s="384"/>
      <c r="F11" s="384"/>
      <c r="G11" s="384"/>
      <c r="H11" s="18" t="s">
        <v>42</v>
      </c>
      <c r="I11" s="87" t="s">
        <v>59</v>
      </c>
      <c r="J11" s="8"/>
    </row>
    <row r="12" spans="1:15" ht="15.75" customHeight="1" x14ac:dyDescent="0.2">
      <c r="A12" s="2"/>
      <c r="B12" s="28"/>
      <c r="C12" s="55"/>
      <c r="D12" s="389" t="s">
        <v>56</v>
      </c>
      <c r="E12" s="389"/>
      <c r="F12" s="389"/>
      <c r="G12" s="389"/>
      <c r="H12" s="18" t="s">
        <v>36</v>
      </c>
      <c r="I12" s="89"/>
      <c r="J12" s="8"/>
    </row>
    <row r="13" spans="1:15" ht="15.75" customHeight="1" x14ac:dyDescent="0.2">
      <c r="A13" s="2"/>
      <c r="B13" s="29"/>
      <c r="C13" s="56"/>
      <c r="D13" s="88" t="s">
        <v>58</v>
      </c>
      <c r="E13" s="393" t="s">
        <v>57</v>
      </c>
      <c r="F13" s="394"/>
      <c r="G13" s="394"/>
      <c r="H13" s="19"/>
      <c r="I13" s="23"/>
      <c r="J13" s="34"/>
    </row>
    <row r="14" spans="1:15" ht="24" customHeight="1" x14ac:dyDescent="0.2">
      <c r="A14" s="2"/>
      <c r="B14" s="43" t="s">
        <v>22</v>
      </c>
      <c r="C14" s="58"/>
      <c r="D14" s="59"/>
      <c r="E14" s="60"/>
      <c r="F14" s="44"/>
      <c r="G14" s="44"/>
      <c r="H14" s="45"/>
      <c r="I14" s="44"/>
      <c r="J14" s="46"/>
    </row>
    <row r="15" spans="1:15" ht="32.25" customHeight="1" x14ac:dyDescent="0.2">
      <c r="A15" s="2"/>
      <c r="B15" s="35" t="s">
        <v>34</v>
      </c>
      <c r="C15" s="61"/>
      <c r="D15" s="54"/>
      <c r="E15" s="383"/>
      <c r="F15" s="383"/>
      <c r="G15" s="385"/>
      <c r="H15" s="385"/>
      <c r="I15" s="385" t="s">
        <v>31</v>
      </c>
      <c r="J15" s="386"/>
    </row>
    <row r="16" spans="1:15" ht="23.25" customHeight="1" x14ac:dyDescent="0.2">
      <c r="A16" s="142" t="s">
        <v>26</v>
      </c>
      <c r="B16" s="38" t="s">
        <v>26</v>
      </c>
      <c r="C16" s="62"/>
      <c r="D16" s="63"/>
      <c r="E16" s="374"/>
      <c r="F16" s="375"/>
      <c r="G16" s="374"/>
      <c r="H16" s="375"/>
      <c r="I16" s="374">
        <f>SUMIF(F52:F52,A16,I52:I52)+SUMIF(F52:F52,"PSU",I52:I52)</f>
        <v>0</v>
      </c>
      <c r="J16" s="376"/>
    </row>
    <row r="17" spans="1:10" ht="23.25" customHeight="1" x14ac:dyDescent="0.2">
      <c r="A17" s="142" t="s">
        <v>27</v>
      </c>
      <c r="B17" s="38" t="s">
        <v>27</v>
      </c>
      <c r="C17" s="62"/>
      <c r="D17" s="63"/>
      <c r="E17" s="374"/>
      <c r="F17" s="375"/>
      <c r="G17" s="374"/>
      <c r="H17" s="375"/>
      <c r="I17" s="374">
        <f>SUMIF(F52:F52,A17,I52:I52)</f>
        <v>0</v>
      </c>
      <c r="J17" s="376"/>
    </row>
    <row r="18" spans="1:10" ht="23.25" customHeight="1" x14ac:dyDescent="0.2">
      <c r="A18" s="142" t="s">
        <v>28</v>
      </c>
      <c r="B18" s="38" t="s">
        <v>28</v>
      </c>
      <c r="C18" s="62"/>
      <c r="D18" s="63"/>
      <c r="E18" s="374"/>
      <c r="F18" s="375"/>
      <c r="G18" s="374"/>
      <c r="H18" s="375"/>
      <c r="I18" s="374">
        <f>SUMIF(F52:F52,A18,I52:I52)</f>
        <v>0</v>
      </c>
      <c r="J18" s="376"/>
    </row>
    <row r="19" spans="1:10" ht="23.25" customHeight="1" x14ac:dyDescent="0.2">
      <c r="A19" s="142" t="s">
        <v>70</v>
      </c>
      <c r="B19" s="38" t="s">
        <v>29</v>
      </c>
      <c r="C19" s="62"/>
      <c r="D19" s="63"/>
      <c r="E19" s="374"/>
      <c r="F19" s="375"/>
      <c r="G19" s="374"/>
      <c r="H19" s="375"/>
      <c r="I19" s="374">
        <f>SUMIF(F52:F52,A19,I52:I52)</f>
        <v>0</v>
      </c>
      <c r="J19" s="376"/>
    </row>
    <row r="20" spans="1:10" ht="23.25" customHeight="1" x14ac:dyDescent="0.2">
      <c r="A20" s="142" t="s">
        <v>71</v>
      </c>
      <c r="B20" s="38" t="s">
        <v>30</v>
      </c>
      <c r="C20" s="62"/>
      <c r="D20" s="63"/>
      <c r="E20" s="374"/>
      <c r="F20" s="375"/>
      <c r="G20" s="374"/>
      <c r="H20" s="375"/>
      <c r="I20" s="374">
        <f>SUMIF(F52:F52,A20,I52:I52)</f>
        <v>0</v>
      </c>
      <c r="J20" s="376"/>
    </row>
    <row r="21" spans="1:10" ht="23.25" customHeight="1" x14ac:dyDescent="0.2">
      <c r="A21" s="2"/>
      <c r="B21" s="48" t="s">
        <v>31</v>
      </c>
      <c r="C21" s="64"/>
      <c r="D21" s="65"/>
      <c r="E21" s="387"/>
      <c r="F21" s="388"/>
      <c r="G21" s="387"/>
      <c r="H21" s="388"/>
      <c r="I21" s="387">
        <f>SUM(I16:J20)</f>
        <v>0</v>
      </c>
      <c r="J21" s="406"/>
    </row>
    <row r="22" spans="1:10" ht="33" customHeight="1" x14ac:dyDescent="0.2">
      <c r="A22" s="2"/>
      <c r="B22" s="42" t="s">
        <v>35</v>
      </c>
      <c r="C22" s="62"/>
      <c r="D22" s="63"/>
      <c r="E22" s="66"/>
      <c r="F22" s="39"/>
      <c r="G22" s="33"/>
      <c r="H22" s="33"/>
      <c r="I22" s="33"/>
      <c r="J22" s="40"/>
    </row>
    <row r="23" spans="1:10" ht="23.25" customHeight="1" x14ac:dyDescent="0.2">
      <c r="A23" s="2">
        <f>ZakladDPHSni*SazbaDPH1/100</f>
        <v>0</v>
      </c>
      <c r="B23" s="38" t="s">
        <v>13</v>
      </c>
      <c r="C23" s="62"/>
      <c r="D23" s="63"/>
      <c r="E23" s="67">
        <v>12</v>
      </c>
      <c r="F23" s="39" t="s">
        <v>0</v>
      </c>
      <c r="G23" s="404">
        <f>ZakladDPHSniVypocet</f>
        <v>0</v>
      </c>
      <c r="H23" s="405"/>
      <c r="I23" s="405"/>
      <c r="J23" s="40" t="str">
        <f t="shared" ref="J23:J28" si="0">Mena</f>
        <v>CZK</v>
      </c>
    </row>
    <row r="24" spans="1:10" ht="23.25" customHeight="1" x14ac:dyDescent="0.2">
      <c r="A24" s="2">
        <f>(A23-INT(A23))*100</f>
        <v>0</v>
      </c>
      <c r="B24" s="38" t="s">
        <v>14</v>
      </c>
      <c r="C24" s="62"/>
      <c r="D24" s="63"/>
      <c r="E24" s="67">
        <f>SazbaDPH1</f>
        <v>12</v>
      </c>
      <c r="F24" s="39" t="s">
        <v>0</v>
      </c>
      <c r="G24" s="402">
        <f>A23</f>
        <v>0</v>
      </c>
      <c r="H24" s="403"/>
      <c r="I24" s="403"/>
      <c r="J24" s="40" t="str">
        <f t="shared" si="0"/>
        <v>CZK</v>
      </c>
    </row>
    <row r="25" spans="1:10" ht="23.25" customHeight="1" x14ac:dyDescent="0.2">
      <c r="A25" s="2">
        <f>ZakladDPHZakl*SazbaDPH2/100</f>
        <v>0</v>
      </c>
      <c r="B25" s="38" t="s">
        <v>15</v>
      </c>
      <c r="C25" s="62"/>
      <c r="D25" s="63"/>
      <c r="E25" s="67">
        <v>21</v>
      </c>
      <c r="F25" s="39" t="s">
        <v>0</v>
      </c>
      <c r="G25" s="404">
        <f>ZakladDPHZaklVypocet</f>
        <v>0</v>
      </c>
      <c r="H25" s="405"/>
      <c r="I25" s="405"/>
      <c r="J25" s="40" t="str">
        <f t="shared" si="0"/>
        <v>CZK</v>
      </c>
    </row>
    <row r="26" spans="1:10" ht="23.25" customHeight="1" x14ac:dyDescent="0.2">
      <c r="A26" s="2">
        <f>(A25-INT(A25))*100</f>
        <v>0</v>
      </c>
      <c r="B26" s="32" t="s">
        <v>16</v>
      </c>
      <c r="C26" s="68"/>
      <c r="D26" s="54"/>
      <c r="E26" s="69">
        <f>SazbaDPH2</f>
        <v>21</v>
      </c>
      <c r="F26" s="30" t="s">
        <v>0</v>
      </c>
      <c r="G26" s="371">
        <f>A25</f>
        <v>0</v>
      </c>
      <c r="H26" s="372"/>
      <c r="I26" s="372"/>
      <c r="J26" s="37" t="str">
        <f t="shared" si="0"/>
        <v>CZK</v>
      </c>
    </row>
    <row r="27" spans="1:10" ht="23.25" customHeight="1" thickBot="1" x14ac:dyDescent="0.25">
      <c r="A27" s="2">
        <f>ZakladDPHSni+DPHSni+ZakladDPHZakl+DPHZakl</f>
        <v>0</v>
      </c>
      <c r="B27" s="31" t="s">
        <v>5</v>
      </c>
      <c r="C27" s="70"/>
      <c r="D27" s="71"/>
      <c r="E27" s="70"/>
      <c r="F27" s="16"/>
      <c r="G27" s="373">
        <f>CenaCelkem-(ZakladDPHSni+DPHSni+ZakladDPHZakl+DPHZakl)</f>
        <v>0</v>
      </c>
      <c r="H27" s="373"/>
      <c r="I27" s="373"/>
      <c r="J27" s="41" t="str">
        <f t="shared" si="0"/>
        <v>CZK</v>
      </c>
    </row>
    <row r="28" spans="1:10" ht="27.75" hidden="1" customHeight="1" thickBot="1" x14ac:dyDescent="0.25">
      <c r="A28" s="2"/>
      <c r="B28" s="115" t="s">
        <v>25</v>
      </c>
      <c r="C28" s="116"/>
      <c r="D28" s="116"/>
      <c r="E28" s="117"/>
      <c r="F28" s="118"/>
      <c r="G28" s="407">
        <f>ZakladDPHSniVypocet+ZakladDPHZaklVypocet</f>
        <v>0</v>
      </c>
      <c r="H28" s="408"/>
      <c r="I28" s="408"/>
      <c r="J28" s="119" t="str">
        <f t="shared" si="0"/>
        <v>CZK</v>
      </c>
    </row>
    <row r="29" spans="1:10" ht="27.75" customHeight="1" thickBot="1" x14ac:dyDescent="0.25">
      <c r="A29" s="2">
        <f>(A27-INT(A27))*100</f>
        <v>0</v>
      </c>
      <c r="B29" s="115" t="s">
        <v>37</v>
      </c>
      <c r="C29" s="120"/>
      <c r="D29" s="120"/>
      <c r="E29" s="120"/>
      <c r="F29" s="121"/>
      <c r="G29" s="407">
        <f>A27</f>
        <v>0</v>
      </c>
      <c r="H29" s="407"/>
      <c r="I29" s="407"/>
      <c r="J29" s="122" t="s">
        <v>62</v>
      </c>
    </row>
    <row r="30" spans="1:10" ht="12.75" customHeight="1" x14ac:dyDescent="0.2">
      <c r="A30" s="2"/>
      <c r="B30" s="2"/>
      <c r="J30" s="9"/>
    </row>
    <row r="31" spans="1:10" ht="30" customHeight="1" x14ac:dyDescent="0.2">
      <c r="A31" s="2"/>
      <c r="B31" s="2"/>
      <c r="J31" s="9"/>
    </row>
    <row r="32" spans="1:10" ht="18.75" customHeight="1" x14ac:dyDescent="0.2">
      <c r="A32" s="2"/>
      <c r="B32" s="17"/>
      <c r="C32" s="72" t="s">
        <v>12</v>
      </c>
      <c r="D32" s="73"/>
      <c r="E32" s="73"/>
      <c r="F32" s="15" t="s">
        <v>11</v>
      </c>
      <c r="G32" s="26"/>
      <c r="H32" s="27"/>
      <c r="I32" s="26"/>
      <c r="J32" s="9"/>
    </row>
    <row r="33" spans="1:10" ht="47.25" customHeight="1" x14ac:dyDescent="0.2">
      <c r="A33" s="2"/>
      <c r="B33" s="2"/>
      <c r="J33" s="9"/>
    </row>
    <row r="34" spans="1:10" s="21" customFormat="1" ht="18.75" customHeight="1" x14ac:dyDescent="0.2">
      <c r="A34" s="20"/>
      <c r="B34" s="20"/>
      <c r="C34" s="74"/>
      <c r="D34" s="409"/>
      <c r="E34" s="410"/>
      <c r="G34" s="411"/>
      <c r="H34" s="412"/>
      <c r="I34" s="412"/>
      <c r="J34" s="25"/>
    </row>
    <row r="35" spans="1:10" ht="12.75" customHeight="1" x14ac:dyDescent="0.2">
      <c r="A35" s="2"/>
      <c r="B35" s="2"/>
      <c r="D35" s="401" t="s">
        <v>2</v>
      </c>
      <c r="E35" s="401"/>
      <c r="H35" s="10" t="s">
        <v>3</v>
      </c>
      <c r="J35" s="9"/>
    </row>
    <row r="36" spans="1:10" ht="13.5" customHeight="1" thickBot="1" x14ac:dyDescent="0.25">
      <c r="A36" s="11"/>
      <c r="B36" s="11"/>
      <c r="C36" s="75"/>
      <c r="D36" s="75"/>
      <c r="E36" s="75"/>
      <c r="F36" s="12"/>
      <c r="G36" s="12"/>
      <c r="H36" s="12"/>
      <c r="I36" s="12"/>
      <c r="J36" s="13"/>
    </row>
    <row r="37" spans="1:10" ht="27" hidden="1" customHeight="1" x14ac:dyDescent="0.2">
      <c r="B37" s="92" t="s">
        <v>17</v>
      </c>
      <c r="C37" s="93"/>
      <c r="D37" s="93"/>
      <c r="E37" s="93"/>
      <c r="F37" s="94"/>
      <c r="G37" s="94"/>
      <c r="H37" s="94"/>
      <c r="I37" s="94"/>
      <c r="J37" s="95"/>
    </row>
    <row r="38" spans="1:10" ht="25.5" hidden="1" customHeight="1" x14ac:dyDescent="0.2">
      <c r="A38" s="91" t="s">
        <v>39</v>
      </c>
      <c r="B38" s="96" t="s">
        <v>18</v>
      </c>
      <c r="C38" s="97" t="s">
        <v>6</v>
      </c>
      <c r="D38" s="97"/>
      <c r="E38" s="97"/>
      <c r="F38" s="98" t="str">
        <f>B23</f>
        <v>Základ pro sníženou DPH</v>
      </c>
      <c r="G38" s="98" t="str">
        <f>B25</f>
        <v>Základ pro základní DPH</v>
      </c>
      <c r="H38" s="99" t="s">
        <v>19</v>
      </c>
      <c r="I38" s="99" t="s">
        <v>1</v>
      </c>
      <c r="J38" s="100" t="s">
        <v>0</v>
      </c>
    </row>
    <row r="39" spans="1:10" ht="25.5" hidden="1" customHeight="1" x14ac:dyDescent="0.2">
      <c r="A39" s="91">
        <v>1</v>
      </c>
      <c r="B39" s="101" t="s">
        <v>60</v>
      </c>
      <c r="C39" s="413"/>
      <c r="D39" s="413"/>
      <c r="E39" s="413"/>
      <c r="F39" s="102">
        <f>'01 04 Pol'!AE16</f>
        <v>0</v>
      </c>
      <c r="G39" s="103">
        <f>'01 04 Pol'!AF16</f>
        <v>0</v>
      </c>
      <c r="H39" s="104">
        <f>(F39*SazbaDPH1/100)+(G39*SazbaDPH2/100)</f>
        <v>0</v>
      </c>
      <c r="I39" s="104">
        <f>F39+G39+H39</f>
        <v>0</v>
      </c>
      <c r="J39" s="105" t="str">
        <f>IF(CenaCelkemVypocet=0,"",I39/CenaCelkemVypocet*100)</f>
        <v/>
      </c>
    </row>
    <row r="40" spans="1:10" ht="25.5" hidden="1" customHeight="1" x14ac:dyDescent="0.2">
      <c r="A40" s="91">
        <v>2</v>
      </c>
      <c r="B40" s="106" t="s">
        <v>45</v>
      </c>
      <c r="C40" s="414" t="s">
        <v>46</v>
      </c>
      <c r="D40" s="414"/>
      <c r="E40" s="414"/>
      <c r="F40" s="107">
        <f>'01 04 Pol'!AE16</f>
        <v>0</v>
      </c>
      <c r="G40" s="108">
        <f>'01 04 Pol'!AF16</f>
        <v>0</v>
      </c>
      <c r="H40" s="108">
        <f>(F40*SazbaDPH1/100)+(G40*SazbaDPH2/100)</f>
        <v>0</v>
      </c>
      <c r="I40" s="108">
        <f>F40+G40+H40</f>
        <v>0</v>
      </c>
      <c r="J40" s="109" t="str">
        <f>IF(CenaCelkemVypocet=0,"",I40/CenaCelkemVypocet*100)</f>
        <v/>
      </c>
    </row>
    <row r="41" spans="1:10" ht="25.5" hidden="1" customHeight="1" x14ac:dyDescent="0.2">
      <c r="A41" s="91">
        <v>3</v>
      </c>
      <c r="B41" s="110" t="s">
        <v>43</v>
      </c>
      <c r="C41" s="413" t="s">
        <v>44</v>
      </c>
      <c r="D41" s="413"/>
      <c r="E41" s="413"/>
      <c r="F41" s="111">
        <f>'01 04 Pol'!AE16</f>
        <v>0</v>
      </c>
      <c r="G41" s="104">
        <f>'01 04 Pol'!AF16</f>
        <v>0</v>
      </c>
      <c r="H41" s="104">
        <f>(F41*SazbaDPH1/100)+(G41*SazbaDPH2/100)</f>
        <v>0</v>
      </c>
      <c r="I41" s="104">
        <f>F41+G41+H41</f>
        <v>0</v>
      </c>
      <c r="J41" s="105" t="str">
        <f>IF(CenaCelkemVypocet=0,"",I41/CenaCelkemVypocet*100)</f>
        <v/>
      </c>
    </row>
    <row r="42" spans="1:10" ht="25.5" hidden="1" customHeight="1" x14ac:dyDescent="0.2">
      <c r="A42" s="91"/>
      <c r="B42" s="415" t="s">
        <v>61</v>
      </c>
      <c r="C42" s="416"/>
      <c r="D42" s="416"/>
      <c r="E42" s="417"/>
      <c r="F42" s="112">
        <f>SUMIF(A39:A41,"=1",F39:F41)</f>
        <v>0</v>
      </c>
      <c r="G42" s="113">
        <f>SUMIF(A39:A41,"=1",G39:G41)</f>
        <v>0</v>
      </c>
      <c r="H42" s="113">
        <f>SUMIF(A39:A41,"=1",H39:H41)</f>
        <v>0</v>
      </c>
      <c r="I42" s="113">
        <f>SUMIF(A39:A41,"=1",I39:I41)</f>
        <v>0</v>
      </c>
      <c r="J42" s="114">
        <f>SUMIF(A39:A41,"=1",J39:J41)</f>
        <v>0</v>
      </c>
    </row>
    <row r="44" spans="1:10" x14ac:dyDescent="0.2">
      <c r="A44" t="s">
        <v>63</v>
      </c>
      <c r="B44" t="s">
        <v>119</v>
      </c>
    </row>
    <row r="45" spans="1:10" x14ac:dyDescent="0.2">
      <c r="A45" t="s">
        <v>64</v>
      </c>
      <c r="B45" t="s">
        <v>120</v>
      </c>
    </row>
    <row r="46" spans="1:10" x14ac:dyDescent="0.2">
      <c r="A46" t="s">
        <v>65</v>
      </c>
      <c r="B46" t="s">
        <v>121</v>
      </c>
    </row>
    <row r="49" spans="1:10" ht="15.75" x14ac:dyDescent="0.25">
      <c r="B49" s="123" t="s">
        <v>66</v>
      </c>
    </row>
    <row r="51" spans="1:10" ht="25.5" customHeight="1" x14ac:dyDescent="0.2">
      <c r="A51" s="125"/>
      <c r="B51" s="128" t="s">
        <v>18</v>
      </c>
      <c r="C51" s="128" t="s">
        <v>6</v>
      </c>
      <c r="D51" s="129"/>
      <c r="E51" s="129"/>
      <c r="F51" s="130" t="s">
        <v>67</v>
      </c>
      <c r="G51" s="130"/>
      <c r="H51" s="130"/>
      <c r="I51" s="130" t="s">
        <v>31</v>
      </c>
      <c r="J51" s="130" t="s">
        <v>0</v>
      </c>
    </row>
    <row r="52" spans="1:10" ht="36.75" customHeight="1" x14ac:dyDescent="0.2">
      <c r="A52" s="126"/>
      <c r="B52" s="131" t="s">
        <v>68</v>
      </c>
      <c r="C52" s="418" t="s">
        <v>69</v>
      </c>
      <c r="D52" s="419"/>
      <c r="E52" s="419"/>
      <c r="F52" s="140" t="s">
        <v>27</v>
      </c>
      <c r="G52" s="132"/>
      <c r="H52" s="132"/>
      <c r="I52" s="132">
        <f>'01 04 Pol'!G8</f>
        <v>0</v>
      </c>
      <c r="J52" s="137" t="str">
        <f>IF(I53=0,"",I52/I53*100)</f>
        <v/>
      </c>
    </row>
    <row r="53" spans="1:10" ht="25.5" customHeight="1" x14ac:dyDescent="0.2">
      <c r="A53" s="127"/>
      <c r="B53" s="133" t="s">
        <v>1</v>
      </c>
      <c r="C53" s="134"/>
      <c r="D53" s="135"/>
      <c r="E53" s="135"/>
      <c r="F53" s="141"/>
      <c r="G53" s="136"/>
      <c r="H53" s="136"/>
      <c r="I53" s="136">
        <f>I52</f>
        <v>0</v>
      </c>
      <c r="J53" s="138" t="str">
        <f>J52</f>
        <v/>
      </c>
    </row>
    <row r="54" spans="1:10" x14ac:dyDescent="0.2">
      <c r="F54" s="90"/>
      <c r="G54" s="90"/>
      <c r="H54" s="90"/>
      <c r="I54" s="90"/>
      <c r="J54" s="139"/>
    </row>
    <row r="55" spans="1:10" x14ac:dyDescent="0.2">
      <c r="F55" s="90"/>
      <c r="G55" s="90"/>
      <c r="H55" s="90"/>
      <c r="I55" s="90"/>
      <c r="J55" s="139"/>
    </row>
    <row r="56" spans="1:10" x14ac:dyDescent="0.2">
      <c r="F56" s="90"/>
      <c r="G56" s="90"/>
      <c r="H56" s="90"/>
      <c r="I56" s="90"/>
      <c r="J56" s="139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46">
    <mergeCell ref="C39:E39"/>
    <mergeCell ref="C40:E40"/>
    <mergeCell ref="C41:E41"/>
    <mergeCell ref="B42:E42"/>
    <mergeCell ref="C52:E52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2" manualBreakCount="2">
    <brk id="36" max="16383" man="1"/>
    <brk id="42" max="9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RowHeight="12.75" x14ac:dyDescent="0.2"/>
  <cols>
    <col min="1" max="1" width="4.28515625" style="3" customWidth="1"/>
    <col min="2" max="2" width="14.42578125" style="3" customWidth="1"/>
    <col min="3" max="3" width="38.28515625" style="7" customWidth="1"/>
    <col min="4" max="4" width="4.5703125" style="3" customWidth="1"/>
    <col min="5" max="5" width="10.5703125" style="3" customWidth="1"/>
    <col min="6" max="6" width="9.85546875" style="3" customWidth="1"/>
    <col min="7" max="7" width="12.7109375" style="3" customWidth="1"/>
    <col min="8" max="16384" width="9.140625" style="3"/>
  </cols>
  <sheetData>
    <row r="1" spans="1:7" ht="15.75" x14ac:dyDescent="0.2">
      <c r="A1" s="420" t="s">
        <v>7</v>
      </c>
      <c r="B1" s="420"/>
      <c r="C1" s="421"/>
      <c r="D1" s="420"/>
      <c r="E1" s="420"/>
      <c r="F1" s="420"/>
      <c r="G1" s="420"/>
    </row>
    <row r="2" spans="1:7" ht="24.95" customHeight="1" x14ac:dyDescent="0.2">
      <c r="A2" s="50" t="s">
        <v>8</v>
      </c>
      <c r="B2" s="49"/>
      <c r="C2" s="422"/>
      <c r="D2" s="422"/>
      <c r="E2" s="422"/>
      <c r="F2" s="422"/>
      <c r="G2" s="423"/>
    </row>
    <row r="3" spans="1:7" ht="24.95" customHeight="1" x14ac:dyDescent="0.2">
      <c r="A3" s="50" t="s">
        <v>9</v>
      </c>
      <c r="B3" s="49"/>
      <c r="C3" s="422"/>
      <c r="D3" s="422"/>
      <c r="E3" s="422"/>
      <c r="F3" s="422"/>
      <c r="G3" s="423"/>
    </row>
    <row r="4" spans="1:7" ht="24.95" customHeight="1" x14ac:dyDescent="0.2">
      <c r="A4" s="50" t="s">
        <v>10</v>
      </c>
      <c r="B4" s="49"/>
      <c r="C4" s="422"/>
      <c r="D4" s="422"/>
      <c r="E4" s="422"/>
      <c r="F4" s="422"/>
      <c r="G4" s="423"/>
    </row>
    <row r="5" spans="1:7" x14ac:dyDescent="0.2">
      <c r="B5" s="4"/>
      <c r="C5" s="5"/>
      <c r="D5" s="6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/>
  </sheetPr>
  <dimension ref="A1:BH5000"/>
  <sheetViews>
    <sheetView workbookViewId="0">
      <pane ySplit="7" topLeftCell="A8" activePane="bottomLeft" state="frozen"/>
      <selection pane="bottomLeft" activeCell="F13" sqref="F13"/>
    </sheetView>
  </sheetViews>
  <sheetFormatPr defaultRowHeight="12.75" outlineLevelRow="2" x14ac:dyDescent="0.2"/>
  <cols>
    <col min="1" max="1" width="3.42578125" customWidth="1"/>
    <col min="2" max="2" width="12.5703125" style="124" customWidth="1"/>
    <col min="3" max="3" width="38.28515625" style="124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438" t="s">
        <v>7</v>
      </c>
      <c r="B1" s="438"/>
      <c r="C1" s="438"/>
      <c r="D1" s="438"/>
      <c r="E1" s="438"/>
      <c r="F1" s="438"/>
      <c r="G1" s="438"/>
      <c r="AG1" t="s">
        <v>72</v>
      </c>
    </row>
    <row r="2" spans="1:60" ht="24.95" customHeight="1" x14ac:dyDescent="0.2">
      <c r="A2" s="50" t="s">
        <v>8</v>
      </c>
      <c r="B2" s="49"/>
      <c r="C2" s="439" t="s">
        <v>49</v>
      </c>
      <c r="D2" s="440"/>
      <c r="E2" s="440"/>
      <c r="F2" s="440"/>
      <c r="G2" s="441"/>
      <c r="AG2" t="s">
        <v>73</v>
      </c>
    </row>
    <row r="3" spans="1:60" ht="24.95" customHeight="1" x14ac:dyDescent="0.2">
      <c r="A3" s="50" t="s">
        <v>9</v>
      </c>
      <c r="B3" s="49" t="s">
        <v>45</v>
      </c>
      <c r="C3" s="439" t="s">
        <v>46</v>
      </c>
      <c r="D3" s="440"/>
      <c r="E3" s="440"/>
      <c r="F3" s="440"/>
      <c r="G3" s="441"/>
      <c r="AC3" s="124" t="s">
        <v>73</v>
      </c>
      <c r="AG3" t="s">
        <v>74</v>
      </c>
    </row>
    <row r="4" spans="1:60" ht="24.95" customHeight="1" x14ac:dyDescent="0.2">
      <c r="A4" s="143" t="s">
        <v>10</v>
      </c>
      <c r="B4" s="144"/>
      <c r="C4" s="442" t="s">
        <v>44</v>
      </c>
      <c r="D4" s="443"/>
      <c r="E4" s="443"/>
      <c r="F4" s="443"/>
      <c r="G4" s="444"/>
      <c r="AG4" t="s">
        <v>75</v>
      </c>
    </row>
    <row r="5" spans="1:60" x14ac:dyDescent="0.2">
      <c r="D5" s="10"/>
    </row>
    <row r="6" spans="1:60" ht="38.25" x14ac:dyDescent="0.2">
      <c r="A6" s="146" t="s">
        <v>76</v>
      </c>
      <c r="B6" s="148" t="s">
        <v>77</v>
      </c>
      <c r="C6" s="148" t="s">
        <v>78</v>
      </c>
      <c r="D6" s="147" t="s">
        <v>79</v>
      </c>
      <c r="E6" s="146" t="s">
        <v>80</v>
      </c>
      <c r="F6" s="145" t="s">
        <v>81</v>
      </c>
      <c r="G6" s="146" t="s">
        <v>31</v>
      </c>
      <c r="H6" s="149" t="s">
        <v>32</v>
      </c>
      <c r="I6" s="149" t="s">
        <v>82</v>
      </c>
      <c r="J6" s="149" t="s">
        <v>33</v>
      </c>
      <c r="K6" s="149" t="s">
        <v>83</v>
      </c>
      <c r="L6" s="149" t="s">
        <v>84</v>
      </c>
      <c r="M6" s="149" t="s">
        <v>85</v>
      </c>
      <c r="N6" s="149" t="s">
        <v>86</v>
      </c>
      <c r="O6" s="149" t="s">
        <v>87</v>
      </c>
      <c r="P6" s="149" t="s">
        <v>88</v>
      </c>
      <c r="Q6" s="149" t="s">
        <v>89</v>
      </c>
      <c r="R6" s="149" t="s">
        <v>90</v>
      </c>
      <c r="S6" s="149" t="s">
        <v>91</v>
      </c>
      <c r="T6" s="149" t="s">
        <v>92</v>
      </c>
      <c r="U6" s="149" t="s">
        <v>93</v>
      </c>
      <c r="V6" s="149" t="s">
        <v>94</v>
      </c>
      <c r="W6" s="149" t="s">
        <v>95</v>
      </c>
      <c r="X6" s="149" t="s">
        <v>96</v>
      </c>
      <c r="Y6" s="149" t="s">
        <v>97</v>
      </c>
    </row>
    <row r="7" spans="1:60" hidden="1" x14ac:dyDescent="0.2">
      <c r="A7" s="3"/>
      <c r="B7" s="4"/>
      <c r="C7" s="4"/>
      <c r="D7" s="6"/>
      <c r="E7" s="151"/>
      <c r="F7" s="152"/>
      <c r="G7" s="152"/>
      <c r="H7" s="152"/>
      <c r="I7" s="152"/>
      <c r="J7" s="152"/>
      <c r="K7" s="152"/>
      <c r="L7" s="152"/>
      <c r="M7" s="152"/>
      <c r="N7" s="151"/>
      <c r="O7" s="151"/>
      <c r="P7" s="151"/>
      <c r="Q7" s="151"/>
      <c r="R7" s="152"/>
      <c r="S7" s="152"/>
      <c r="T7" s="152"/>
      <c r="U7" s="152"/>
      <c r="V7" s="152"/>
      <c r="W7" s="152"/>
      <c r="X7" s="152"/>
      <c r="Y7" s="152"/>
    </row>
    <row r="8" spans="1:60" x14ac:dyDescent="0.2">
      <c r="A8" s="164" t="s">
        <v>98</v>
      </c>
      <c r="B8" s="165" t="s">
        <v>68</v>
      </c>
      <c r="C8" s="177" t="s">
        <v>69</v>
      </c>
      <c r="D8" s="166"/>
      <c r="E8" s="167"/>
      <c r="F8" s="168"/>
      <c r="G8" s="169">
        <f>SUMIF(AG9:AG14,"&lt;&gt;NOR",G9:G14)</f>
        <v>0</v>
      </c>
      <c r="H8" s="163"/>
      <c r="I8" s="163">
        <f>SUM(I9:I14)</f>
        <v>0</v>
      </c>
      <c r="J8" s="163"/>
      <c r="K8" s="163">
        <f>SUM(K9:K14)</f>
        <v>6020386.4399999995</v>
      </c>
      <c r="L8" s="163"/>
      <c r="M8" s="163">
        <f>SUM(M9:M14)</f>
        <v>0</v>
      </c>
      <c r="N8" s="162"/>
      <c r="O8" s="162">
        <f>SUM(O9:O14)</f>
        <v>0</v>
      </c>
      <c r="P8" s="162"/>
      <c r="Q8" s="162">
        <f>SUM(Q9:Q14)</f>
        <v>0</v>
      </c>
      <c r="R8" s="163"/>
      <c r="S8" s="163"/>
      <c r="T8" s="163"/>
      <c r="U8" s="163"/>
      <c r="V8" s="163">
        <f>SUM(V9:V14)</f>
        <v>0</v>
      </c>
      <c r="W8" s="163"/>
      <c r="X8" s="163"/>
      <c r="Y8" s="163"/>
      <c r="AG8" t="s">
        <v>99</v>
      </c>
    </row>
    <row r="9" spans="1:60" outlineLevel="1" x14ac:dyDescent="0.2">
      <c r="A9" s="171">
        <v>1</v>
      </c>
      <c r="B9" s="172" t="s">
        <v>100</v>
      </c>
      <c r="C9" s="178" t="s">
        <v>44</v>
      </c>
      <c r="D9" s="173" t="s">
        <v>101</v>
      </c>
      <c r="E9" s="174">
        <v>1</v>
      </c>
      <c r="F9" s="175"/>
      <c r="G9" s="176">
        <f>ROUND(E9*F9,2)</f>
        <v>0</v>
      </c>
      <c r="H9" s="161">
        <v>0</v>
      </c>
      <c r="I9" s="160">
        <f>ROUND(E9*H9,2)</f>
        <v>0</v>
      </c>
      <c r="J9" s="161">
        <v>4593617.88</v>
      </c>
      <c r="K9" s="160">
        <f>ROUND(E9*J9,2)</f>
        <v>4593617.88</v>
      </c>
      <c r="L9" s="160">
        <v>21</v>
      </c>
      <c r="M9" s="160">
        <f>G9*(1+L9/100)</f>
        <v>0</v>
      </c>
      <c r="N9" s="159">
        <v>0</v>
      </c>
      <c r="O9" s="159">
        <f>ROUND(E9*N9,2)</f>
        <v>0</v>
      </c>
      <c r="P9" s="159">
        <v>0</v>
      </c>
      <c r="Q9" s="159">
        <f>ROUND(E9*P9,2)</f>
        <v>0</v>
      </c>
      <c r="R9" s="160"/>
      <c r="S9" s="160" t="s">
        <v>102</v>
      </c>
      <c r="T9" s="160" t="s">
        <v>103</v>
      </c>
      <c r="U9" s="160">
        <v>0</v>
      </c>
      <c r="V9" s="160">
        <f>ROUND(E9*U9,2)</f>
        <v>0</v>
      </c>
      <c r="W9" s="160"/>
      <c r="X9" s="160" t="s">
        <v>104</v>
      </c>
      <c r="Y9" s="160" t="s">
        <v>105</v>
      </c>
      <c r="Z9" s="150"/>
      <c r="AA9" s="150"/>
      <c r="AB9" s="150"/>
      <c r="AC9" s="150"/>
      <c r="AD9" s="150"/>
      <c r="AE9" s="150"/>
      <c r="AF9" s="150"/>
      <c r="AG9" s="150" t="s">
        <v>106</v>
      </c>
      <c r="AH9" s="150"/>
      <c r="AI9" s="150"/>
      <c r="AJ9" s="150"/>
      <c r="AK9" s="150"/>
      <c r="AL9" s="150"/>
      <c r="AM9" s="150"/>
      <c r="AN9" s="150"/>
      <c r="AO9" s="150"/>
      <c r="AP9" s="150"/>
      <c r="AQ9" s="150"/>
      <c r="AR9" s="150"/>
      <c r="AS9" s="150"/>
      <c r="AT9" s="150"/>
      <c r="AU9" s="150"/>
      <c r="AV9" s="150"/>
      <c r="AW9" s="150"/>
      <c r="AX9" s="150"/>
      <c r="AY9" s="150"/>
      <c r="AZ9" s="150"/>
      <c r="BA9" s="150"/>
      <c r="BB9" s="150"/>
      <c r="BC9" s="150"/>
      <c r="BD9" s="150"/>
      <c r="BE9" s="150"/>
      <c r="BF9" s="150"/>
      <c r="BG9" s="150"/>
      <c r="BH9" s="150"/>
    </row>
    <row r="10" spans="1:60" outlineLevel="2" x14ac:dyDescent="0.2">
      <c r="A10" s="157"/>
      <c r="B10" s="158"/>
      <c r="C10" s="436" t="s">
        <v>107</v>
      </c>
      <c r="D10" s="437"/>
      <c r="E10" s="437"/>
      <c r="F10" s="437"/>
      <c r="G10" s="437"/>
      <c r="H10" s="160"/>
      <c r="I10" s="160"/>
      <c r="J10" s="160"/>
      <c r="K10" s="160"/>
      <c r="L10" s="160"/>
      <c r="M10" s="160"/>
      <c r="N10" s="159"/>
      <c r="O10" s="159"/>
      <c r="P10" s="159"/>
      <c r="Q10" s="159"/>
      <c r="R10" s="160"/>
      <c r="S10" s="160"/>
      <c r="T10" s="160"/>
      <c r="U10" s="160"/>
      <c r="V10" s="160"/>
      <c r="W10" s="160"/>
      <c r="X10" s="160"/>
      <c r="Y10" s="160"/>
      <c r="Z10" s="150"/>
      <c r="AA10" s="150"/>
      <c r="AB10" s="150"/>
      <c r="AC10" s="150"/>
      <c r="AD10" s="150"/>
      <c r="AE10" s="150"/>
      <c r="AF10" s="150"/>
      <c r="AG10" s="150" t="s">
        <v>108</v>
      </c>
      <c r="AH10" s="150"/>
      <c r="AI10" s="150"/>
      <c r="AJ10" s="150"/>
      <c r="AK10" s="150"/>
      <c r="AL10" s="150"/>
      <c r="AM10" s="150"/>
      <c r="AN10" s="150"/>
      <c r="AO10" s="150"/>
      <c r="AP10" s="150"/>
      <c r="AQ10" s="150"/>
      <c r="AR10" s="150"/>
      <c r="AS10" s="150"/>
      <c r="AT10" s="150"/>
      <c r="AU10" s="150"/>
      <c r="AV10" s="150"/>
      <c r="AW10" s="150"/>
      <c r="AX10" s="150"/>
      <c r="AY10" s="150"/>
      <c r="AZ10" s="150"/>
      <c r="BA10" s="150"/>
      <c r="BB10" s="150"/>
      <c r="BC10" s="150"/>
      <c r="BD10" s="150"/>
      <c r="BE10" s="150"/>
      <c r="BF10" s="150"/>
      <c r="BG10" s="150"/>
      <c r="BH10" s="150"/>
    </row>
    <row r="11" spans="1:60" outlineLevel="1" x14ac:dyDescent="0.2">
      <c r="A11" s="171">
        <v>2</v>
      </c>
      <c r="B11" s="172" t="s">
        <v>109</v>
      </c>
      <c r="C11" s="178" t="s">
        <v>110</v>
      </c>
      <c r="D11" s="173" t="s">
        <v>101</v>
      </c>
      <c r="E11" s="174">
        <v>1</v>
      </c>
      <c r="F11" s="175"/>
      <c r="G11" s="176">
        <f>ROUND(E11*F11,2)</f>
        <v>0</v>
      </c>
      <c r="H11" s="161">
        <v>0</v>
      </c>
      <c r="I11" s="160">
        <f>ROUND(E11*H11,2)</f>
        <v>0</v>
      </c>
      <c r="J11" s="161">
        <v>1244109</v>
      </c>
      <c r="K11" s="160">
        <f>ROUND(E11*J11,2)</f>
        <v>1244109</v>
      </c>
      <c r="L11" s="160">
        <v>21</v>
      </c>
      <c r="M11" s="160">
        <f>G11*(1+L11/100)</f>
        <v>0</v>
      </c>
      <c r="N11" s="159">
        <v>0</v>
      </c>
      <c r="O11" s="159">
        <f>ROUND(E11*N11,2)</f>
        <v>0</v>
      </c>
      <c r="P11" s="159">
        <v>0</v>
      </c>
      <c r="Q11" s="159">
        <f>ROUND(E11*P11,2)</f>
        <v>0</v>
      </c>
      <c r="R11" s="160"/>
      <c r="S11" s="160" t="s">
        <v>102</v>
      </c>
      <c r="T11" s="160" t="s">
        <v>103</v>
      </c>
      <c r="U11" s="160">
        <v>0</v>
      </c>
      <c r="V11" s="160">
        <f>ROUND(E11*U11,2)</f>
        <v>0</v>
      </c>
      <c r="W11" s="160"/>
      <c r="X11" s="160" t="s">
        <v>104</v>
      </c>
      <c r="Y11" s="160" t="s">
        <v>105</v>
      </c>
      <c r="Z11" s="150"/>
      <c r="AA11" s="150"/>
      <c r="AB11" s="150"/>
      <c r="AC11" s="150"/>
      <c r="AD11" s="150"/>
      <c r="AE11" s="150"/>
      <c r="AF11" s="150"/>
      <c r="AG11" s="150" t="s">
        <v>106</v>
      </c>
      <c r="AH11" s="150"/>
      <c r="AI11" s="150"/>
      <c r="AJ11" s="150"/>
      <c r="AK11" s="150"/>
      <c r="AL11" s="150"/>
      <c r="AM11" s="150"/>
      <c r="AN11" s="150"/>
      <c r="AO11" s="150"/>
      <c r="AP11" s="150"/>
      <c r="AQ11" s="150"/>
      <c r="AR11" s="150"/>
      <c r="AS11" s="150"/>
      <c r="AT11" s="150"/>
      <c r="AU11" s="150"/>
      <c r="AV11" s="150"/>
      <c r="AW11" s="150"/>
      <c r="AX11" s="150"/>
      <c r="AY11" s="150"/>
      <c r="AZ11" s="150"/>
      <c r="BA11" s="150"/>
      <c r="BB11" s="150"/>
      <c r="BC11" s="150"/>
      <c r="BD11" s="150"/>
      <c r="BE11" s="150"/>
      <c r="BF11" s="150"/>
      <c r="BG11" s="150"/>
      <c r="BH11" s="150"/>
    </row>
    <row r="12" spans="1:60" outlineLevel="2" x14ac:dyDescent="0.2">
      <c r="A12" s="157"/>
      <c r="B12" s="158"/>
      <c r="C12" s="436" t="s">
        <v>111</v>
      </c>
      <c r="D12" s="437"/>
      <c r="E12" s="437"/>
      <c r="F12" s="437"/>
      <c r="G12" s="437"/>
      <c r="H12" s="160"/>
      <c r="I12" s="160"/>
      <c r="J12" s="160"/>
      <c r="K12" s="160"/>
      <c r="L12" s="160"/>
      <c r="M12" s="160"/>
      <c r="N12" s="159"/>
      <c r="O12" s="159"/>
      <c r="P12" s="159"/>
      <c r="Q12" s="159"/>
      <c r="R12" s="160"/>
      <c r="S12" s="160"/>
      <c r="T12" s="160"/>
      <c r="U12" s="160"/>
      <c r="V12" s="160"/>
      <c r="W12" s="160"/>
      <c r="X12" s="160"/>
      <c r="Y12" s="160"/>
      <c r="Z12" s="150"/>
      <c r="AA12" s="150"/>
      <c r="AB12" s="150"/>
      <c r="AC12" s="150"/>
      <c r="AD12" s="150"/>
      <c r="AE12" s="150"/>
      <c r="AF12" s="150"/>
      <c r="AG12" s="150" t="s">
        <v>108</v>
      </c>
      <c r="AH12" s="150"/>
      <c r="AI12" s="150"/>
      <c r="AJ12" s="150"/>
      <c r="AK12" s="150"/>
      <c r="AL12" s="150"/>
      <c r="AM12" s="150"/>
      <c r="AN12" s="150"/>
      <c r="AO12" s="150"/>
      <c r="AP12" s="150"/>
      <c r="AQ12" s="150"/>
      <c r="AR12" s="150"/>
      <c r="AS12" s="150"/>
      <c r="AT12" s="150"/>
      <c r="AU12" s="150"/>
      <c r="AV12" s="150"/>
      <c r="AW12" s="150"/>
      <c r="AX12" s="150"/>
      <c r="AY12" s="150"/>
      <c r="AZ12" s="150"/>
      <c r="BA12" s="150"/>
      <c r="BB12" s="150"/>
      <c r="BC12" s="150"/>
      <c r="BD12" s="150"/>
      <c r="BE12" s="150"/>
      <c r="BF12" s="150"/>
      <c r="BG12" s="150"/>
      <c r="BH12" s="150"/>
    </row>
    <row r="13" spans="1:60" outlineLevel="1" x14ac:dyDescent="0.2">
      <c r="A13" s="171">
        <v>3</v>
      </c>
      <c r="B13" s="172" t="s">
        <v>112</v>
      </c>
      <c r="C13" s="178" t="s">
        <v>113</v>
      </c>
      <c r="D13" s="173" t="s">
        <v>101</v>
      </c>
      <c r="E13" s="174">
        <v>1</v>
      </c>
      <c r="F13" s="175"/>
      <c r="G13" s="176">
        <f>ROUND(E13*F13,2)</f>
        <v>0</v>
      </c>
      <c r="H13" s="161">
        <v>0</v>
      </c>
      <c r="I13" s="160">
        <f>ROUND(E13*H13,2)</f>
        <v>0</v>
      </c>
      <c r="J13" s="161">
        <v>182659.56</v>
      </c>
      <c r="K13" s="160">
        <f>ROUND(E13*J13,2)</f>
        <v>182659.56</v>
      </c>
      <c r="L13" s="160">
        <v>21</v>
      </c>
      <c r="M13" s="160">
        <f>G13*(1+L13/100)</f>
        <v>0</v>
      </c>
      <c r="N13" s="159">
        <v>0</v>
      </c>
      <c r="O13" s="159">
        <f>ROUND(E13*N13,2)</f>
        <v>0</v>
      </c>
      <c r="P13" s="159">
        <v>0</v>
      </c>
      <c r="Q13" s="159">
        <f>ROUND(E13*P13,2)</f>
        <v>0</v>
      </c>
      <c r="R13" s="160"/>
      <c r="S13" s="160" t="s">
        <v>102</v>
      </c>
      <c r="T13" s="160" t="s">
        <v>103</v>
      </c>
      <c r="U13" s="160">
        <v>0</v>
      </c>
      <c r="V13" s="160">
        <f>ROUND(E13*U13,2)</f>
        <v>0</v>
      </c>
      <c r="W13" s="160"/>
      <c r="X13" s="160" t="s">
        <v>104</v>
      </c>
      <c r="Y13" s="160" t="s">
        <v>105</v>
      </c>
      <c r="Z13" s="150"/>
      <c r="AA13" s="150"/>
      <c r="AB13" s="150"/>
      <c r="AC13" s="150"/>
      <c r="AD13" s="150"/>
      <c r="AE13" s="150"/>
      <c r="AF13" s="150"/>
      <c r="AG13" s="150" t="s">
        <v>106</v>
      </c>
      <c r="AH13" s="150"/>
      <c r="AI13" s="150"/>
      <c r="AJ13" s="150"/>
      <c r="AK13" s="150"/>
      <c r="AL13" s="150"/>
      <c r="AM13" s="150"/>
      <c r="AN13" s="150"/>
      <c r="AO13" s="150"/>
      <c r="AP13" s="150"/>
      <c r="AQ13" s="150"/>
      <c r="AR13" s="150"/>
      <c r="AS13" s="150"/>
      <c r="AT13" s="150"/>
      <c r="AU13" s="150"/>
      <c r="AV13" s="150"/>
      <c r="AW13" s="150"/>
      <c r="AX13" s="150"/>
      <c r="AY13" s="150"/>
      <c r="AZ13" s="150"/>
      <c r="BA13" s="150"/>
      <c r="BB13" s="150"/>
      <c r="BC13" s="150"/>
      <c r="BD13" s="150"/>
      <c r="BE13" s="150"/>
      <c r="BF13" s="150"/>
      <c r="BG13" s="150"/>
      <c r="BH13" s="150"/>
    </row>
    <row r="14" spans="1:60" outlineLevel="2" x14ac:dyDescent="0.2">
      <c r="A14" s="157"/>
      <c r="B14" s="158"/>
      <c r="C14" s="436" t="s">
        <v>114</v>
      </c>
      <c r="D14" s="437"/>
      <c r="E14" s="437"/>
      <c r="F14" s="437"/>
      <c r="G14" s="437"/>
      <c r="H14" s="160"/>
      <c r="I14" s="160"/>
      <c r="J14" s="160"/>
      <c r="K14" s="160"/>
      <c r="L14" s="160"/>
      <c r="M14" s="160"/>
      <c r="N14" s="159"/>
      <c r="O14" s="159"/>
      <c r="P14" s="159"/>
      <c r="Q14" s="159"/>
      <c r="R14" s="160"/>
      <c r="S14" s="160"/>
      <c r="T14" s="160"/>
      <c r="U14" s="160"/>
      <c r="V14" s="160"/>
      <c r="W14" s="160"/>
      <c r="X14" s="160"/>
      <c r="Y14" s="160"/>
      <c r="Z14" s="150"/>
      <c r="AA14" s="150"/>
      <c r="AB14" s="150"/>
      <c r="AC14" s="150"/>
      <c r="AD14" s="150"/>
      <c r="AE14" s="150"/>
      <c r="AF14" s="150"/>
      <c r="AG14" s="150" t="s">
        <v>108</v>
      </c>
      <c r="AH14" s="150"/>
      <c r="AI14" s="150"/>
      <c r="AJ14" s="150"/>
      <c r="AK14" s="150"/>
      <c r="AL14" s="150"/>
      <c r="AM14" s="150"/>
      <c r="AN14" s="150"/>
      <c r="AO14" s="150"/>
      <c r="AP14" s="150"/>
      <c r="AQ14" s="150"/>
      <c r="AR14" s="150"/>
      <c r="AS14" s="150"/>
      <c r="AT14" s="150"/>
      <c r="AU14" s="150"/>
      <c r="AV14" s="150"/>
      <c r="AW14" s="150"/>
      <c r="AX14" s="150"/>
      <c r="AY14" s="150"/>
      <c r="AZ14" s="150"/>
      <c r="BA14" s="150"/>
      <c r="BB14" s="150"/>
      <c r="BC14" s="150"/>
      <c r="BD14" s="150"/>
      <c r="BE14" s="150"/>
      <c r="BF14" s="150"/>
      <c r="BG14" s="150"/>
      <c r="BH14" s="150"/>
    </row>
    <row r="15" spans="1:60" x14ac:dyDescent="0.2">
      <c r="A15" s="3"/>
      <c r="B15" s="4"/>
      <c r="C15" s="179"/>
      <c r="D15" s="6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AE15">
        <v>12</v>
      </c>
      <c r="AF15">
        <v>21</v>
      </c>
      <c r="AG15" t="s">
        <v>84</v>
      </c>
    </row>
    <row r="16" spans="1:60" x14ac:dyDescent="0.2">
      <c r="A16" s="153"/>
      <c r="B16" s="154" t="s">
        <v>31</v>
      </c>
      <c r="C16" s="180"/>
      <c r="D16" s="155"/>
      <c r="E16" s="156"/>
      <c r="F16" s="156"/>
      <c r="G16" s="170">
        <f>G8</f>
        <v>0</v>
      </c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AE16">
        <f>SUMIF(L7:L14,AE15,G7:G14)</f>
        <v>0</v>
      </c>
      <c r="AF16">
        <f>SUMIF(L7:L14,AF15,G7:G14)</f>
        <v>0</v>
      </c>
      <c r="AG16" t="s">
        <v>115</v>
      </c>
    </row>
    <row r="17" spans="1:33" x14ac:dyDescent="0.2">
      <c r="A17" s="3"/>
      <c r="B17" s="4"/>
      <c r="C17" s="179"/>
      <c r="D17" s="6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</row>
    <row r="18" spans="1:33" x14ac:dyDescent="0.2">
      <c r="A18" s="3"/>
      <c r="B18" s="4"/>
      <c r="C18" s="179"/>
      <c r="D18" s="6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</row>
    <row r="19" spans="1:33" x14ac:dyDescent="0.2">
      <c r="A19" s="445" t="s">
        <v>116</v>
      </c>
      <c r="B19" s="445"/>
      <c r="C19" s="446"/>
      <c r="D19" s="6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</row>
    <row r="20" spans="1:33" x14ac:dyDescent="0.2">
      <c r="A20" s="424"/>
      <c r="B20" s="425"/>
      <c r="C20" s="426"/>
      <c r="D20" s="425"/>
      <c r="E20" s="425"/>
      <c r="F20" s="425"/>
      <c r="G20" s="427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AG20" t="s">
        <v>117</v>
      </c>
    </row>
    <row r="21" spans="1:33" x14ac:dyDescent="0.2">
      <c r="A21" s="428"/>
      <c r="B21" s="429"/>
      <c r="C21" s="430"/>
      <c r="D21" s="429"/>
      <c r="E21" s="429"/>
      <c r="F21" s="429"/>
      <c r="G21" s="431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</row>
    <row r="22" spans="1:33" x14ac:dyDescent="0.2">
      <c r="A22" s="428"/>
      <c r="B22" s="429"/>
      <c r="C22" s="430"/>
      <c r="D22" s="429"/>
      <c r="E22" s="429"/>
      <c r="F22" s="429"/>
      <c r="G22" s="431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</row>
    <row r="23" spans="1:33" x14ac:dyDescent="0.2">
      <c r="A23" s="428"/>
      <c r="B23" s="429"/>
      <c r="C23" s="430"/>
      <c r="D23" s="429"/>
      <c r="E23" s="429"/>
      <c r="F23" s="429"/>
      <c r="G23" s="431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</row>
    <row r="24" spans="1:33" x14ac:dyDescent="0.2">
      <c r="A24" s="432"/>
      <c r="B24" s="433"/>
      <c r="C24" s="434"/>
      <c r="D24" s="433"/>
      <c r="E24" s="433"/>
      <c r="F24" s="433"/>
      <c r="G24" s="435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</row>
    <row r="25" spans="1:33" x14ac:dyDescent="0.2">
      <c r="A25" s="3"/>
      <c r="B25" s="4"/>
      <c r="C25" s="179"/>
      <c r="D25" s="6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</row>
    <row r="26" spans="1:33" x14ac:dyDescent="0.2">
      <c r="C26" s="181"/>
      <c r="D26" s="10"/>
      <c r="AG26" t="s">
        <v>118</v>
      </c>
    </row>
    <row r="27" spans="1:33" x14ac:dyDescent="0.2">
      <c r="D27" s="10"/>
    </row>
    <row r="28" spans="1:33" x14ac:dyDescent="0.2">
      <c r="D28" s="10"/>
    </row>
    <row r="29" spans="1:33" x14ac:dyDescent="0.2">
      <c r="D29" s="10"/>
    </row>
    <row r="30" spans="1:33" x14ac:dyDescent="0.2">
      <c r="D30" s="10"/>
    </row>
    <row r="31" spans="1:33" x14ac:dyDescent="0.2">
      <c r="D31" s="10"/>
    </row>
    <row r="32" spans="1:33" x14ac:dyDescent="0.2">
      <c r="D32" s="10"/>
    </row>
    <row r="33" spans="4:4" x14ac:dyDescent="0.2">
      <c r="D33" s="10"/>
    </row>
    <row r="34" spans="4:4" x14ac:dyDescent="0.2">
      <c r="D34" s="10"/>
    </row>
    <row r="35" spans="4:4" x14ac:dyDescent="0.2">
      <c r="D35" s="10"/>
    </row>
    <row r="36" spans="4:4" x14ac:dyDescent="0.2">
      <c r="D36" s="10"/>
    </row>
    <row r="37" spans="4:4" x14ac:dyDescent="0.2">
      <c r="D37" s="10"/>
    </row>
    <row r="38" spans="4:4" x14ac:dyDescent="0.2">
      <c r="D38" s="10"/>
    </row>
    <row r="39" spans="4:4" x14ac:dyDescent="0.2">
      <c r="D39" s="10"/>
    </row>
    <row r="40" spans="4:4" x14ac:dyDescent="0.2">
      <c r="D40" s="10"/>
    </row>
    <row r="41" spans="4:4" x14ac:dyDescent="0.2">
      <c r="D41" s="10"/>
    </row>
    <row r="42" spans="4:4" x14ac:dyDescent="0.2">
      <c r="D42" s="10"/>
    </row>
    <row r="43" spans="4:4" x14ac:dyDescent="0.2">
      <c r="D43" s="10"/>
    </row>
    <row r="44" spans="4:4" x14ac:dyDescent="0.2">
      <c r="D44" s="10"/>
    </row>
    <row r="45" spans="4:4" x14ac:dyDescent="0.2">
      <c r="D45" s="10"/>
    </row>
    <row r="46" spans="4:4" x14ac:dyDescent="0.2">
      <c r="D46" s="10"/>
    </row>
    <row r="47" spans="4:4" x14ac:dyDescent="0.2">
      <c r="D47" s="10"/>
    </row>
    <row r="48" spans="4:4" x14ac:dyDescent="0.2">
      <c r="D48" s="10"/>
    </row>
    <row r="49" spans="4:4" x14ac:dyDescent="0.2">
      <c r="D49" s="10"/>
    </row>
    <row r="50" spans="4:4" x14ac:dyDescent="0.2">
      <c r="D50" s="10"/>
    </row>
    <row r="51" spans="4:4" x14ac:dyDescent="0.2">
      <c r="D51" s="10"/>
    </row>
    <row r="52" spans="4:4" x14ac:dyDescent="0.2">
      <c r="D52" s="10"/>
    </row>
    <row r="53" spans="4:4" x14ac:dyDescent="0.2">
      <c r="D53" s="10"/>
    </row>
    <row r="54" spans="4:4" x14ac:dyDescent="0.2">
      <c r="D54" s="10"/>
    </row>
    <row r="55" spans="4:4" x14ac:dyDescent="0.2">
      <c r="D55" s="10"/>
    </row>
    <row r="56" spans="4:4" x14ac:dyDescent="0.2">
      <c r="D56" s="10"/>
    </row>
    <row r="57" spans="4:4" x14ac:dyDescent="0.2">
      <c r="D57" s="10"/>
    </row>
    <row r="58" spans="4:4" x14ac:dyDescent="0.2">
      <c r="D58" s="10"/>
    </row>
    <row r="59" spans="4:4" x14ac:dyDescent="0.2">
      <c r="D59" s="10"/>
    </row>
    <row r="60" spans="4:4" x14ac:dyDescent="0.2">
      <c r="D60" s="10"/>
    </row>
    <row r="61" spans="4:4" x14ac:dyDescent="0.2">
      <c r="D61" s="10"/>
    </row>
    <row r="62" spans="4:4" x14ac:dyDescent="0.2">
      <c r="D62" s="10"/>
    </row>
    <row r="63" spans="4:4" x14ac:dyDescent="0.2">
      <c r="D63" s="10"/>
    </row>
    <row r="64" spans="4:4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mergeCells count="9">
    <mergeCell ref="A20:G24"/>
    <mergeCell ref="C10:G10"/>
    <mergeCell ref="C12:G12"/>
    <mergeCell ref="C14:G14"/>
    <mergeCell ref="A1:G1"/>
    <mergeCell ref="C2:G2"/>
    <mergeCell ref="C3:G3"/>
    <mergeCell ref="C4:G4"/>
    <mergeCell ref="A19:C19"/>
  </mergeCells>
  <pageMargins left="0.59055118110236204" right="0.196850393700787" top="0.78740157499999996" bottom="0.78740157499999996" header="0.3" footer="0.3"/>
  <pageSetup paperSize="9" orientation="portrait" verticalDpi="0" r:id="rId1"/>
  <headerFooter>
    <oddFooter>&amp;RStránka &amp;P z &amp;N&amp;LZpracováno programem BUILDpower S,  © RTS, a.s.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5919A3-1AB0-4106-9E84-37BFF2573372}">
  <dimension ref="B2:BM318"/>
  <sheetViews>
    <sheetView tabSelected="1" workbookViewId="0">
      <selection activeCell="I91" sqref="I91:I316"/>
    </sheetView>
  </sheetViews>
  <sheetFormatPr defaultRowHeight="12.75" x14ac:dyDescent="0.2"/>
  <cols>
    <col min="1" max="1" width="7.140625" customWidth="1"/>
    <col min="2" max="2" width="1" customWidth="1"/>
    <col min="3" max="3" width="3.5703125" customWidth="1"/>
    <col min="4" max="4" width="3.7109375" customWidth="1"/>
    <col min="5" max="5" width="14.7109375" customWidth="1"/>
    <col min="6" max="6" width="43.5703125" customWidth="1"/>
    <col min="7" max="7" width="6.42578125" customWidth="1"/>
    <col min="8" max="8" width="12" customWidth="1"/>
    <col min="9" max="9" width="13.5703125" customWidth="1"/>
    <col min="10" max="11" width="19.140625" customWidth="1"/>
    <col min="12" max="12" width="8" customWidth="1"/>
    <col min="13" max="13" width="9.28515625" hidden="1" customWidth="1"/>
    <col min="15" max="20" width="12.140625" hidden="1" customWidth="1"/>
    <col min="21" max="21" width="14" hidden="1" customWidth="1"/>
    <col min="22" max="22" width="10.5703125" customWidth="1"/>
    <col min="23" max="23" width="14" customWidth="1"/>
    <col min="24" max="24" width="10.5703125" customWidth="1"/>
    <col min="25" max="25" width="12.85546875" customWidth="1"/>
    <col min="26" max="26" width="9.42578125" customWidth="1"/>
    <col min="27" max="27" width="12.85546875" customWidth="1"/>
    <col min="28" max="28" width="14" customWidth="1"/>
    <col min="29" max="29" width="9.42578125" customWidth="1"/>
    <col min="30" max="30" width="12.85546875" customWidth="1"/>
    <col min="31" max="31" width="14" customWidth="1"/>
  </cols>
  <sheetData>
    <row r="2" spans="2:46" ht="36.950000000000003" customHeight="1" x14ac:dyDescent="0.2">
      <c r="L2" s="451"/>
      <c r="M2" s="451"/>
      <c r="N2" s="451"/>
      <c r="O2" s="451"/>
      <c r="P2" s="451"/>
      <c r="Q2" s="451"/>
      <c r="R2" s="451"/>
      <c r="S2" s="451"/>
      <c r="T2" s="451"/>
      <c r="U2" s="451"/>
      <c r="V2" s="451"/>
      <c r="AT2" s="183" t="s">
        <v>122</v>
      </c>
    </row>
    <row r="3" spans="2:46" ht="6.95" customHeight="1" x14ac:dyDescent="0.2">
      <c r="B3" s="184"/>
      <c r="C3" s="185"/>
      <c r="D3" s="185"/>
      <c r="E3" s="185"/>
      <c r="F3" s="185"/>
      <c r="G3" s="185"/>
      <c r="H3" s="185"/>
      <c r="I3" s="185"/>
      <c r="J3" s="185"/>
      <c r="K3" s="185"/>
      <c r="L3" s="186"/>
      <c r="AT3" s="183" t="s">
        <v>123</v>
      </c>
    </row>
    <row r="4" spans="2:46" ht="24.95" customHeight="1" x14ac:dyDescent="0.2">
      <c r="B4" s="186"/>
      <c r="D4" s="187" t="s">
        <v>124</v>
      </c>
      <c r="L4" s="186"/>
      <c r="M4" s="188" t="s">
        <v>125</v>
      </c>
      <c r="AT4" s="183" t="s">
        <v>126</v>
      </c>
    </row>
    <row r="5" spans="2:46" ht="6.95" customHeight="1" x14ac:dyDescent="0.2">
      <c r="B5" s="186"/>
      <c r="L5" s="186"/>
    </row>
    <row r="6" spans="2:46" ht="12" customHeight="1" x14ac:dyDescent="0.2">
      <c r="B6" s="186"/>
      <c r="D6" s="189" t="s">
        <v>24</v>
      </c>
      <c r="L6" s="186"/>
    </row>
    <row r="7" spans="2:46" ht="26.25" customHeight="1" x14ac:dyDescent="0.2">
      <c r="B7" s="186"/>
      <c r="E7" s="449" t="str">
        <f>'[2]Rekapitulace stavby'!K6</f>
        <v>Zámek Brandýs nad Orlicí, záchrana kulturní památky a její zpřístupnění veřejnosti, Etapa 3 – stavební úpravy, obnova pr</v>
      </c>
      <c r="F7" s="450"/>
      <c r="G7" s="450"/>
      <c r="H7" s="450"/>
      <c r="L7" s="186"/>
    </row>
    <row r="8" spans="2:46" s="190" customFormat="1" ht="12" customHeight="1" x14ac:dyDescent="0.2">
      <c r="B8" s="191"/>
      <c r="D8" s="189" t="s">
        <v>47</v>
      </c>
      <c r="L8" s="191"/>
    </row>
    <row r="9" spans="2:46" s="190" customFormat="1" ht="16.5" customHeight="1" x14ac:dyDescent="0.2">
      <c r="B9" s="191"/>
      <c r="E9" s="447" t="s">
        <v>127</v>
      </c>
      <c r="F9" s="448"/>
      <c r="G9" s="448"/>
      <c r="H9" s="448"/>
      <c r="L9" s="191"/>
    </row>
    <row r="10" spans="2:46" s="190" customFormat="1" x14ac:dyDescent="0.2">
      <c r="B10" s="191"/>
      <c r="L10" s="191"/>
    </row>
    <row r="11" spans="2:46" s="190" customFormat="1" ht="12" customHeight="1" x14ac:dyDescent="0.2">
      <c r="B11" s="191"/>
      <c r="D11" s="189" t="s">
        <v>128</v>
      </c>
      <c r="F11" s="192" t="s">
        <v>129</v>
      </c>
      <c r="I11" s="189" t="s">
        <v>130</v>
      </c>
      <c r="J11" s="192" t="s">
        <v>129</v>
      </c>
      <c r="L11" s="191"/>
    </row>
    <row r="12" spans="2:46" s="190" customFormat="1" ht="12" customHeight="1" x14ac:dyDescent="0.2">
      <c r="B12" s="191"/>
      <c r="D12" s="189" t="s">
        <v>131</v>
      </c>
      <c r="F12" s="192" t="s">
        <v>132</v>
      </c>
      <c r="I12" s="189" t="s">
        <v>133</v>
      </c>
      <c r="J12" s="193" t="str">
        <f>'[2]Rekapitulace stavby'!AN8</f>
        <v>21. 3. 2024</v>
      </c>
      <c r="L12" s="191"/>
    </row>
    <row r="13" spans="2:46" s="190" customFormat="1" ht="10.9" customHeight="1" x14ac:dyDescent="0.2">
      <c r="B13" s="191"/>
      <c r="L13" s="191"/>
    </row>
    <row r="14" spans="2:46" s="190" customFormat="1" ht="12" customHeight="1" x14ac:dyDescent="0.2">
      <c r="B14" s="191"/>
      <c r="D14" s="189" t="s">
        <v>134</v>
      </c>
      <c r="I14" s="189" t="s">
        <v>135</v>
      </c>
      <c r="J14" s="192" t="s">
        <v>129</v>
      </c>
      <c r="L14" s="191"/>
    </row>
    <row r="15" spans="2:46" s="190" customFormat="1" ht="18" customHeight="1" x14ac:dyDescent="0.2">
      <c r="B15" s="191"/>
      <c r="E15" s="192" t="s">
        <v>136</v>
      </c>
      <c r="I15" s="189" t="s">
        <v>36</v>
      </c>
      <c r="J15" s="192" t="s">
        <v>129</v>
      </c>
      <c r="L15" s="191"/>
    </row>
    <row r="16" spans="2:46" s="190" customFormat="1" ht="6.95" customHeight="1" x14ac:dyDescent="0.2">
      <c r="B16" s="191"/>
      <c r="L16" s="191"/>
    </row>
    <row r="17" spans="2:12" s="190" customFormat="1" ht="12" customHeight="1" x14ac:dyDescent="0.2">
      <c r="B17" s="191"/>
      <c r="D17" s="189" t="s">
        <v>20</v>
      </c>
      <c r="I17" s="189" t="s">
        <v>135</v>
      </c>
      <c r="J17" s="192" t="str">
        <f>'[2]Rekapitulace stavby'!AN13</f>
        <v/>
      </c>
      <c r="L17" s="191"/>
    </row>
    <row r="18" spans="2:12" s="190" customFormat="1" ht="18" customHeight="1" x14ac:dyDescent="0.2">
      <c r="B18" s="191"/>
      <c r="E18" s="452" t="str">
        <f>'[2]Rekapitulace stavby'!E14</f>
        <v xml:space="preserve"> </v>
      </c>
      <c r="F18" s="452"/>
      <c r="G18" s="452"/>
      <c r="H18" s="452"/>
      <c r="I18" s="189" t="s">
        <v>36</v>
      </c>
      <c r="J18" s="192" t="str">
        <f>'[2]Rekapitulace stavby'!AN14</f>
        <v/>
      </c>
      <c r="L18" s="191"/>
    </row>
    <row r="19" spans="2:12" s="190" customFormat="1" ht="6.95" customHeight="1" x14ac:dyDescent="0.2">
      <c r="B19" s="191"/>
      <c r="L19" s="191"/>
    </row>
    <row r="20" spans="2:12" s="190" customFormat="1" ht="12" customHeight="1" x14ac:dyDescent="0.2">
      <c r="B20" s="191"/>
      <c r="D20" s="189" t="s">
        <v>21</v>
      </c>
      <c r="I20" s="189" t="s">
        <v>135</v>
      </c>
      <c r="J20" s="192" t="s">
        <v>129</v>
      </c>
      <c r="L20" s="191"/>
    </row>
    <row r="21" spans="2:12" s="190" customFormat="1" ht="18" customHeight="1" x14ac:dyDescent="0.2">
      <c r="B21" s="191"/>
      <c r="E21" s="192" t="s">
        <v>137</v>
      </c>
      <c r="I21" s="189" t="s">
        <v>36</v>
      </c>
      <c r="J21" s="192" t="s">
        <v>129</v>
      </c>
      <c r="L21" s="191"/>
    </row>
    <row r="22" spans="2:12" s="190" customFormat="1" ht="6.95" customHeight="1" x14ac:dyDescent="0.2">
      <c r="B22" s="191"/>
      <c r="L22" s="191"/>
    </row>
    <row r="23" spans="2:12" s="190" customFormat="1" ht="12" customHeight="1" x14ac:dyDescent="0.2">
      <c r="B23" s="191"/>
      <c r="D23" s="189" t="s">
        <v>138</v>
      </c>
      <c r="I23" s="189" t="s">
        <v>135</v>
      </c>
      <c r="J23" s="192" t="str">
        <f>IF('[2]Rekapitulace stavby'!AN19="","",'[2]Rekapitulace stavby'!AN19)</f>
        <v/>
      </c>
      <c r="L23" s="191"/>
    </row>
    <row r="24" spans="2:12" s="190" customFormat="1" ht="18" customHeight="1" x14ac:dyDescent="0.2">
      <c r="B24" s="191"/>
      <c r="E24" s="192" t="str">
        <f>IF('[2]Rekapitulace stavby'!E20="","",'[2]Rekapitulace stavby'!E20)</f>
        <v xml:space="preserve"> </v>
      </c>
      <c r="I24" s="189" t="s">
        <v>36</v>
      </c>
      <c r="J24" s="192" t="str">
        <f>IF('[2]Rekapitulace stavby'!AN20="","",'[2]Rekapitulace stavby'!AN20)</f>
        <v/>
      </c>
      <c r="L24" s="191"/>
    </row>
    <row r="25" spans="2:12" s="190" customFormat="1" ht="6.95" customHeight="1" x14ac:dyDescent="0.2">
      <c r="B25" s="191"/>
      <c r="L25" s="191"/>
    </row>
    <row r="26" spans="2:12" s="190" customFormat="1" ht="12" customHeight="1" x14ac:dyDescent="0.2">
      <c r="B26" s="191"/>
      <c r="D26" s="189" t="s">
        <v>139</v>
      </c>
      <c r="L26" s="191"/>
    </row>
    <row r="27" spans="2:12" s="182" customFormat="1" ht="16.5" customHeight="1" x14ac:dyDescent="0.2">
      <c r="B27" s="194"/>
      <c r="E27" s="453" t="s">
        <v>129</v>
      </c>
      <c r="F27" s="453"/>
      <c r="G27" s="453"/>
      <c r="H27" s="453"/>
      <c r="L27" s="194"/>
    </row>
    <row r="28" spans="2:12" s="190" customFormat="1" ht="6.95" customHeight="1" x14ac:dyDescent="0.2">
      <c r="B28" s="191"/>
      <c r="L28" s="191"/>
    </row>
    <row r="29" spans="2:12" s="190" customFormat="1" ht="6.95" customHeight="1" x14ac:dyDescent="0.2">
      <c r="B29" s="191"/>
      <c r="D29" s="196"/>
      <c r="E29" s="196"/>
      <c r="F29" s="196"/>
      <c r="G29" s="196"/>
      <c r="H29" s="196"/>
      <c r="I29" s="196"/>
      <c r="J29" s="196"/>
      <c r="K29" s="196"/>
      <c r="L29" s="191"/>
    </row>
    <row r="30" spans="2:12" s="190" customFormat="1" ht="25.35" customHeight="1" x14ac:dyDescent="0.2">
      <c r="B30" s="191"/>
      <c r="D30" s="197" t="s">
        <v>140</v>
      </c>
      <c r="J30" s="198">
        <f>ROUND(J91, 2)</f>
        <v>0</v>
      </c>
      <c r="L30" s="191"/>
    </row>
    <row r="31" spans="2:12" s="190" customFormat="1" ht="6.95" customHeight="1" x14ac:dyDescent="0.2">
      <c r="B31" s="191"/>
      <c r="D31" s="196"/>
      <c r="E31" s="196"/>
      <c r="F31" s="196"/>
      <c r="G31" s="196"/>
      <c r="H31" s="196"/>
      <c r="I31" s="196"/>
      <c r="J31" s="196"/>
      <c r="K31" s="196"/>
      <c r="L31" s="191"/>
    </row>
    <row r="32" spans="2:12" s="190" customFormat="1" ht="14.45" customHeight="1" x14ac:dyDescent="0.2">
      <c r="B32" s="191"/>
      <c r="F32" s="199" t="s">
        <v>141</v>
      </c>
      <c r="I32" s="199" t="s">
        <v>142</v>
      </c>
      <c r="J32" s="199" t="s">
        <v>143</v>
      </c>
      <c r="L32" s="191"/>
    </row>
    <row r="33" spans="2:12" s="190" customFormat="1" ht="14.45" customHeight="1" x14ac:dyDescent="0.2">
      <c r="B33" s="191"/>
      <c r="D33" s="200" t="s">
        <v>84</v>
      </c>
      <c r="E33" s="189" t="s">
        <v>144</v>
      </c>
      <c r="F33" s="201">
        <f>ROUND((SUM(BE91:BE317)),  2)</f>
        <v>0</v>
      </c>
      <c r="I33" s="202">
        <v>0.21</v>
      </c>
      <c r="J33" s="201">
        <f>ROUND(((SUM(BE91:BE317))*I33),  2)</f>
        <v>0</v>
      </c>
      <c r="L33" s="191"/>
    </row>
    <row r="34" spans="2:12" s="190" customFormat="1" ht="14.45" customHeight="1" x14ac:dyDescent="0.2">
      <c r="B34" s="191"/>
      <c r="E34" s="189" t="s">
        <v>145</v>
      </c>
      <c r="F34" s="201">
        <f>ROUND((SUM(BF91:BF317)),  2)</f>
        <v>0</v>
      </c>
      <c r="I34" s="202">
        <v>0.12</v>
      </c>
      <c r="J34" s="201">
        <f>ROUND(((SUM(BF91:BF317))*I34),  2)</f>
        <v>0</v>
      </c>
      <c r="L34" s="191"/>
    </row>
    <row r="35" spans="2:12" s="190" customFormat="1" ht="14.45" hidden="1" customHeight="1" x14ac:dyDescent="0.2">
      <c r="B35" s="191"/>
      <c r="E35" s="189" t="s">
        <v>146</v>
      </c>
      <c r="F35" s="201">
        <f>ROUND((SUM(BG91:BG317)),  2)</f>
        <v>0</v>
      </c>
      <c r="I35" s="202">
        <v>0.21</v>
      </c>
      <c r="J35" s="201">
        <f>0</f>
        <v>0</v>
      </c>
      <c r="L35" s="191"/>
    </row>
    <row r="36" spans="2:12" s="190" customFormat="1" ht="14.45" hidden="1" customHeight="1" x14ac:dyDescent="0.2">
      <c r="B36" s="191"/>
      <c r="E36" s="189" t="s">
        <v>147</v>
      </c>
      <c r="F36" s="201">
        <f>ROUND((SUM(BH91:BH317)),  2)</f>
        <v>0</v>
      </c>
      <c r="I36" s="202">
        <v>0.12</v>
      </c>
      <c r="J36" s="201">
        <f>0</f>
        <v>0</v>
      </c>
      <c r="L36" s="191"/>
    </row>
    <row r="37" spans="2:12" s="190" customFormat="1" ht="14.45" hidden="1" customHeight="1" x14ac:dyDescent="0.2">
      <c r="B37" s="191"/>
      <c r="E37" s="189" t="s">
        <v>148</v>
      </c>
      <c r="F37" s="201">
        <f>ROUND((SUM(BI91:BI317)),  2)</f>
        <v>0</v>
      </c>
      <c r="I37" s="202">
        <v>0</v>
      </c>
      <c r="J37" s="201">
        <f>0</f>
        <v>0</v>
      </c>
      <c r="L37" s="191"/>
    </row>
    <row r="38" spans="2:12" s="190" customFormat="1" ht="6.95" customHeight="1" x14ac:dyDescent="0.2">
      <c r="B38" s="191"/>
      <c r="L38" s="191"/>
    </row>
    <row r="39" spans="2:12" s="190" customFormat="1" ht="25.35" customHeight="1" x14ac:dyDescent="0.2">
      <c r="B39" s="191"/>
      <c r="C39" s="203"/>
      <c r="D39" s="204" t="s">
        <v>85</v>
      </c>
      <c r="E39" s="205"/>
      <c r="F39" s="205"/>
      <c r="G39" s="206" t="s">
        <v>12</v>
      </c>
      <c r="H39" s="207" t="s">
        <v>62</v>
      </c>
      <c r="I39" s="205"/>
      <c r="J39" s="208">
        <f>SUM(J30:J37)</f>
        <v>0</v>
      </c>
      <c r="K39" s="209"/>
      <c r="L39" s="191"/>
    </row>
    <row r="40" spans="2:12" s="190" customFormat="1" ht="14.45" customHeight="1" x14ac:dyDescent="0.2">
      <c r="B40" s="210"/>
      <c r="C40" s="211"/>
      <c r="D40" s="211"/>
      <c r="E40" s="211"/>
      <c r="F40" s="211"/>
      <c r="G40" s="211"/>
      <c r="H40" s="211"/>
      <c r="I40" s="211"/>
      <c r="J40" s="211"/>
      <c r="K40" s="211"/>
      <c r="L40" s="191"/>
    </row>
    <row r="44" spans="2:12" s="190" customFormat="1" ht="6.95" customHeight="1" x14ac:dyDescent="0.2">
      <c r="B44" s="212"/>
      <c r="C44" s="213"/>
      <c r="D44" s="213"/>
      <c r="E44" s="213"/>
      <c r="F44" s="213"/>
      <c r="G44" s="213"/>
      <c r="H44" s="213"/>
      <c r="I44" s="213"/>
      <c r="J44" s="213"/>
      <c r="K44" s="213"/>
      <c r="L44" s="191"/>
    </row>
    <row r="45" spans="2:12" s="190" customFormat="1" ht="24.95" customHeight="1" x14ac:dyDescent="0.2">
      <c r="B45" s="191"/>
      <c r="C45" s="187" t="s">
        <v>149</v>
      </c>
      <c r="L45" s="191"/>
    </row>
    <row r="46" spans="2:12" s="190" customFormat="1" ht="6.95" customHeight="1" x14ac:dyDescent="0.2">
      <c r="B46" s="191"/>
      <c r="L46" s="191"/>
    </row>
    <row r="47" spans="2:12" s="190" customFormat="1" ht="12" customHeight="1" x14ac:dyDescent="0.2">
      <c r="B47" s="191"/>
      <c r="C47" s="189" t="s">
        <v>24</v>
      </c>
      <c r="L47" s="191"/>
    </row>
    <row r="48" spans="2:12" s="190" customFormat="1" ht="26.25" customHeight="1" x14ac:dyDescent="0.2">
      <c r="B48" s="191"/>
      <c r="E48" s="449" t="str">
        <f>E7</f>
        <v>Zámek Brandýs nad Orlicí, záchrana kulturní památky a její zpřístupnění veřejnosti, Etapa 3 – stavební úpravy, obnova pr</v>
      </c>
      <c r="F48" s="450"/>
      <c r="G48" s="450"/>
      <c r="H48" s="450"/>
      <c r="L48" s="191"/>
    </row>
    <row r="49" spans="2:47" s="190" customFormat="1" ht="12" customHeight="1" x14ac:dyDescent="0.2">
      <c r="B49" s="191"/>
      <c r="C49" s="189" t="s">
        <v>47</v>
      </c>
      <c r="L49" s="191"/>
    </row>
    <row r="50" spans="2:47" s="190" customFormat="1" ht="16.5" customHeight="1" x14ac:dyDescent="0.2">
      <c r="B50" s="191"/>
      <c r="E50" s="447" t="str">
        <f>E9</f>
        <v>D.1.5. - VYTÁPĚNÍ</v>
      </c>
      <c r="F50" s="448"/>
      <c r="G50" s="448"/>
      <c r="H50" s="448"/>
      <c r="L50" s="191"/>
    </row>
    <row r="51" spans="2:47" s="190" customFormat="1" ht="6.95" customHeight="1" x14ac:dyDescent="0.2">
      <c r="B51" s="191"/>
      <c r="L51" s="191"/>
    </row>
    <row r="52" spans="2:47" s="190" customFormat="1" ht="12" customHeight="1" x14ac:dyDescent="0.2">
      <c r="B52" s="191"/>
      <c r="C52" s="189" t="s">
        <v>131</v>
      </c>
      <c r="F52" s="192" t="str">
        <f>F12</f>
        <v>Brandýs nad Orlicí č.p. 1</v>
      </c>
      <c r="I52" s="189" t="s">
        <v>133</v>
      </c>
      <c r="J52" s="193" t="str">
        <f>IF(J12="","",J12)</f>
        <v>21. 3. 2024</v>
      </c>
      <c r="L52" s="191"/>
    </row>
    <row r="53" spans="2:47" s="190" customFormat="1" ht="6.95" customHeight="1" x14ac:dyDescent="0.2">
      <c r="B53" s="191"/>
      <c r="L53" s="191"/>
    </row>
    <row r="54" spans="2:47" s="190" customFormat="1" ht="40.15" customHeight="1" x14ac:dyDescent="0.2">
      <c r="B54" s="191"/>
      <c r="C54" s="189" t="s">
        <v>134</v>
      </c>
      <c r="F54" s="192" t="str">
        <f>E15</f>
        <v>ORLICE s.r.o., Na Štěpnici 851, 562 01 Ústí nad Or</v>
      </c>
      <c r="I54" s="189" t="s">
        <v>21</v>
      </c>
      <c r="J54" s="195" t="str">
        <f>E21</f>
        <v>Jiří Kamenický, Na Špici 211, 561 17 Dlouhá Třebov</v>
      </c>
      <c r="L54" s="191"/>
    </row>
    <row r="55" spans="2:47" s="190" customFormat="1" ht="15.2" customHeight="1" x14ac:dyDescent="0.2">
      <c r="B55" s="191"/>
      <c r="C55" s="189" t="s">
        <v>20</v>
      </c>
      <c r="F55" s="192" t="str">
        <f>IF(E18="","",E18)</f>
        <v xml:space="preserve"> </v>
      </c>
      <c r="I55" s="189" t="s">
        <v>138</v>
      </c>
      <c r="J55" s="195" t="str">
        <f>E24</f>
        <v xml:space="preserve"> </v>
      </c>
      <c r="L55" s="191"/>
    </row>
    <row r="56" spans="2:47" s="190" customFormat="1" ht="10.35" customHeight="1" x14ac:dyDescent="0.2">
      <c r="B56" s="191"/>
      <c r="L56" s="191"/>
    </row>
    <row r="57" spans="2:47" s="190" customFormat="1" ht="29.25" customHeight="1" x14ac:dyDescent="0.2">
      <c r="B57" s="191"/>
      <c r="C57" s="214" t="s">
        <v>150</v>
      </c>
      <c r="D57" s="203"/>
      <c r="E57" s="203"/>
      <c r="F57" s="203"/>
      <c r="G57" s="203"/>
      <c r="H57" s="203"/>
      <c r="I57" s="203"/>
      <c r="J57" s="215" t="s">
        <v>151</v>
      </c>
      <c r="K57" s="203"/>
      <c r="L57" s="191"/>
    </row>
    <row r="58" spans="2:47" s="190" customFormat="1" ht="10.35" customHeight="1" x14ac:dyDescent="0.2">
      <c r="B58" s="191"/>
      <c r="L58" s="191"/>
    </row>
    <row r="59" spans="2:47" s="190" customFormat="1" ht="22.9" customHeight="1" x14ac:dyDescent="0.2">
      <c r="B59" s="191"/>
      <c r="C59" s="216" t="s">
        <v>152</v>
      </c>
      <c r="J59" s="198">
        <f>J91</f>
        <v>0</v>
      </c>
      <c r="L59" s="191"/>
      <c r="AU59" s="183" t="s">
        <v>153</v>
      </c>
    </row>
    <row r="60" spans="2:47" s="217" customFormat="1" ht="24.95" customHeight="1" x14ac:dyDescent="0.2">
      <c r="B60" s="218"/>
      <c r="D60" s="219" t="s">
        <v>154</v>
      </c>
      <c r="E60" s="220"/>
      <c r="F60" s="220"/>
      <c r="G60" s="220"/>
      <c r="H60" s="220"/>
      <c r="I60" s="220"/>
      <c r="J60" s="221">
        <f>J92</f>
        <v>0</v>
      </c>
      <c r="L60" s="218"/>
    </row>
    <row r="61" spans="2:47" s="222" customFormat="1" ht="19.899999999999999" customHeight="1" x14ac:dyDescent="0.2">
      <c r="B61" s="223"/>
      <c r="D61" s="224" t="s">
        <v>155</v>
      </c>
      <c r="E61" s="225"/>
      <c r="F61" s="225"/>
      <c r="G61" s="225"/>
      <c r="H61" s="225"/>
      <c r="I61" s="225"/>
      <c r="J61" s="226">
        <f>J93</f>
        <v>0</v>
      </c>
      <c r="L61" s="223"/>
    </row>
    <row r="62" spans="2:47" s="222" customFormat="1" ht="19.899999999999999" customHeight="1" x14ac:dyDescent="0.2">
      <c r="B62" s="223"/>
      <c r="D62" s="224" t="s">
        <v>156</v>
      </c>
      <c r="E62" s="225"/>
      <c r="F62" s="225"/>
      <c r="G62" s="225"/>
      <c r="H62" s="225"/>
      <c r="I62" s="225"/>
      <c r="J62" s="226">
        <f>J105</f>
        <v>0</v>
      </c>
      <c r="L62" s="223"/>
    </row>
    <row r="63" spans="2:47" s="222" customFormat="1" ht="19.899999999999999" customHeight="1" x14ac:dyDescent="0.2">
      <c r="B63" s="223"/>
      <c r="D63" s="224" t="s">
        <v>157</v>
      </c>
      <c r="E63" s="225"/>
      <c r="F63" s="225"/>
      <c r="G63" s="225"/>
      <c r="H63" s="225"/>
      <c r="I63" s="225"/>
      <c r="J63" s="226">
        <f>J123</f>
        <v>0</v>
      </c>
      <c r="L63" s="223"/>
    </row>
    <row r="64" spans="2:47" s="222" customFormat="1" ht="19.899999999999999" customHeight="1" x14ac:dyDescent="0.2">
      <c r="B64" s="223"/>
      <c r="D64" s="224" t="s">
        <v>158</v>
      </c>
      <c r="E64" s="225"/>
      <c r="F64" s="225"/>
      <c r="G64" s="225"/>
      <c r="H64" s="225"/>
      <c r="I64" s="225"/>
      <c r="J64" s="226">
        <f>J141</f>
        <v>0</v>
      </c>
      <c r="L64" s="223"/>
    </row>
    <row r="65" spans="2:12" s="222" customFormat="1" ht="19.899999999999999" customHeight="1" x14ac:dyDescent="0.2">
      <c r="B65" s="223"/>
      <c r="D65" s="224" t="s">
        <v>159</v>
      </c>
      <c r="E65" s="225"/>
      <c r="F65" s="225"/>
      <c r="G65" s="225"/>
      <c r="H65" s="225"/>
      <c r="I65" s="225"/>
      <c r="J65" s="226">
        <f>J165</f>
        <v>0</v>
      </c>
      <c r="L65" s="223"/>
    </row>
    <row r="66" spans="2:12" s="222" customFormat="1" ht="19.899999999999999" customHeight="1" x14ac:dyDescent="0.2">
      <c r="B66" s="223"/>
      <c r="D66" s="224" t="s">
        <v>160</v>
      </c>
      <c r="E66" s="225"/>
      <c r="F66" s="225"/>
      <c r="G66" s="225"/>
      <c r="H66" s="225"/>
      <c r="I66" s="225"/>
      <c r="J66" s="226">
        <f>J198</f>
        <v>0</v>
      </c>
      <c r="L66" s="223"/>
    </row>
    <row r="67" spans="2:12" s="222" customFormat="1" ht="19.899999999999999" customHeight="1" x14ac:dyDescent="0.2">
      <c r="B67" s="223"/>
      <c r="D67" s="224" t="s">
        <v>161</v>
      </c>
      <c r="E67" s="225"/>
      <c r="F67" s="225"/>
      <c r="G67" s="225"/>
      <c r="H67" s="225"/>
      <c r="I67" s="225"/>
      <c r="J67" s="226">
        <f>J242</f>
        <v>0</v>
      </c>
      <c r="L67" s="223"/>
    </row>
    <row r="68" spans="2:12" s="222" customFormat="1" ht="19.899999999999999" customHeight="1" x14ac:dyDescent="0.2">
      <c r="B68" s="223"/>
      <c r="D68" s="224" t="s">
        <v>162</v>
      </c>
      <c r="E68" s="225"/>
      <c r="F68" s="225"/>
      <c r="G68" s="225"/>
      <c r="H68" s="225"/>
      <c r="I68" s="225"/>
      <c r="J68" s="226">
        <f>J308</f>
        <v>0</v>
      </c>
      <c r="L68" s="223"/>
    </row>
    <row r="69" spans="2:12" s="222" customFormat="1" ht="19.899999999999999" customHeight="1" x14ac:dyDescent="0.2">
      <c r="B69" s="223"/>
      <c r="D69" s="224" t="s">
        <v>163</v>
      </c>
      <c r="E69" s="225"/>
      <c r="F69" s="225"/>
      <c r="G69" s="225"/>
      <c r="H69" s="225"/>
      <c r="I69" s="225"/>
      <c r="J69" s="226">
        <f>J310</f>
        <v>0</v>
      </c>
      <c r="L69" s="223"/>
    </row>
    <row r="70" spans="2:12" s="217" customFormat="1" ht="24.95" customHeight="1" x14ac:dyDescent="0.2">
      <c r="B70" s="218"/>
      <c r="D70" s="219" t="s">
        <v>164</v>
      </c>
      <c r="E70" s="220"/>
      <c r="F70" s="220"/>
      <c r="G70" s="220"/>
      <c r="H70" s="220"/>
      <c r="I70" s="220"/>
      <c r="J70" s="221">
        <f>J314</f>
        <v>0</v>
      </c>
      <c r="L70" s="218"/>
    </row>
    <row r="71" spans="2:12" s="222" customFormat="1" ht="19.899999999999999" customHeight="1" x14ac:dyDescent="0.2">
      <c r="B71" s="223"/>
      <c r="D71" s="224" t="s">
        <v>165</v>
      </c>
      <c r="E71" s="225"/>
      <c r="F71" s="225"/>
      <c r="G71" s="225"/>
      <c r="H71" s="225"/>
      <c r="I71" s="225"/>
      <c r="J71" s="226">
        <f>J315</f>
        <v>0</v>
      </c>
      <c r="L71" s="223"/>
    </row>
    <row r="72" spans="2:12" s="190" customFormat="1" ht="21.75" customHeight="1" x14ac:dyDescent="0.2">
      <c r="B72" s="191"/>
      <c r="L72" s="191"/>
    </row>
    <row r="73" spans="2:12" s="190" customFormat="1" ht="6.95" customHeight="1" x14ac:dyDescent="0.2">
      <c r="B73" s="210"/>
      <c r="C73" s="211"/>
      <c r="D73" s="211"/>
      <c r="E73" s="211"/>
      <c r="F73" s="211"/>
      <c r="G73" s="211"/>
      <c r="H73" s="211"/>
      <c r="I73" s="211"/>
      <c r="J73" s="211"/>
      <c r="K73" s="211"/>
      <c r="L73" s="191"/>
    </row>
    <row r="77" spans="2:12" s="190" customFormat="1" ht="6.95" customHeight="1" x14ac:dyDescent="0.2">
      <c r="B77" s="212"/>
      <c r="C77" s="213"/>
      <c r="D77" s="213"/>
      <c r="E77" s="213"/>
      <c r="F77" s="213"/>
      <c r="G77" s="213"/>
      <c r="H77" s="213"/>
      <c r="I77" s="213"/>
      <c r="J77" s="213"/>
      <c r="K77" s="213"/>
      <c r="L77" s="191"/>
    </row>
    <row r="78" spans="2:12" s="190" customFormat="1" ht="24.95" customHeight="1" x14ac:dyDescent="0.2">
      <c r="B78" s="191"/>
      <c r="C78" s="187" t="s">
        <v>166</v>
      </c>
      <c r="L78" s="191"/>
    </row>
    <row r="79" spans="2:12" s="190" customFormat="1" ht="6.95" customHeight="1" x14ac:dyDescent="0.2">
      <c r="B79" s="191"/>
      <c r="L79" s="191"/>
    </row>
    <row r="80" spans="2:12" s="190" customFormat="1" ht="12" customHeight="1" x14ac:dyDescent="0.2">
      <c r="B80" s="191"/>
      <c r="C80" s="189" t="s">
        <v>24</v>
      </c>
      <c r="L80" s="191"/>
    </row>
    <row r="81" spans="2:65" s="190" customFormat="1" ht="26.25" customHeight="1" x14ac:dyDescent="0.2">
      <c r="B81" s="191"/>
      <c r="E81" s="449" t="str">
        <f>E7</f>
        <v>Zámek Brandýs nad Orlicí, záchrana kulturní památky a její zpřístupnění veřejnosti, Etapa 3 – stavební úpravy, obnova pr</v>
      </c>
      <c r="F81" s="450"/>
      <c r="G81" s="450"/>
      <c r="H81" s="450"/>
      <c r="L81" s="191"/>
    </row>
    <row r="82" spans="2:65" s="190" customFormat="1" ht="12" customHeight="1" x14ac:dyDescent="0.2">
      <c r="B82" s="191"/>
      <c r="C82" s="189" t="s">
        <v>47</v>
      </c>
      <c r="L82" s="191"/>
    </row>
    <row r="83" spans="2:65" s="190" customFormat="1" ht="16.5" customHeight="1" x14ac:dyDescent="0.2">
      <c r="B83" s="191"/>
      <c r="E83" s="447" t="str">
        <f>E9</f>
        <v>D.1.5. - VYTÁPĚNÍ</v>
      </c>
      <c r="F83" s="448"/>
      <c r="G83" s="448"/>
      <c r="H83" s="448"/>
      <c r="L83" s="191"/>
    </row>
    <row r="84" spans="2:65" s="190" customFormat="1" ht="6.95" customHeight="1" x14ac:dyDescent="0.2">
      <c r="B84" s="191"/>
      <c r="L84" s="191"/>
    </row>
    <row r="85" spans="2:65" s="190" customFormat="1" ht="12" customHeight="1" x14ac:dyDescent="0.2">
      <c r="B85" s="191"/>
      <c r="C85" s="189" t="s">
        <v>131</v>
      </c>
      <c r="F85" s="192" t="str">
        <f>F12</f>
        <v>Brandýs nad Orlicí č.p. 1</v>
      </c>
      <c r="I85" s="189" t="s">
        <v>133</v>
      </c>
      <c r="J85" s="193" t="str">
        <f>IF(J12="","",J12)</f>
        <v>21. 3. 2024</v>
      </c>
      <c r="L85" s="191"/>
    </row>
    <row r="86" spans="2:65" s="190" customFormat="1" ht="6.95" customHeight="1" x14ac:dyDescent="0.2">
      <c r="B86" s="191"/>
      <c r="L86" s="191"/>
    </row>
    <row r="87" spans="2:65" s="190" customFormat="1" ht="40.15" customHeight="1" x14ac:dyDescent="0.2">
      <c r="B87" s="191"/>
      <c r="C87" s="189" t="s">
        <v>134</v>
      </c>
      <c r="F87" s="192" t="str">
        <f>E15</f>
        <v>ORLICE s.r.o., Na Štěpnici 851, 562 01 Ústí nad Or</v>
      </c>
      <c r="I87" s="189" t="s">
        <v>21</v>
      </c>
      <c r="J87" s="195" t="str">
        <f>E21</f>
        <v>Jiří Kamenický, Na Špici 211, 561 17 Dlouhá Třebov</v>
      </c>
      <c r="L87" s="191"/>
    </row>
    <row r="88" spans="2:65" s="190" customFormat="1" ht="15.2" customHeight="1" x14ac:dyDescent="0.2">
      <c r="B88" s="191"/>
      <c r="C88" s="189" t="s">
        <v>20</v>
      </c>
      <c r="F88" s="192" t="str">
        <f>IF(E18="","",E18)</f>
        <v xml:space="preserve"> </v>
      </c>
      <c r="I88" s="189" t="s">
        <v>138</v>
      </c>
      <c r="J88" s="195" t="str">
        <f>E24</f>
        <v xml:space="preserve"> </v>
      </c>
      <c r="L88" s="191"/>
    </row>
    <row r="89" spans="2:65" s="190" customFormat="1" ht="10.35" customHeight="1" x14ac:dyDescent="0.2">
      <c r="B89" s="191"/>
      <c r="L89" s="191"/>
    </row>
    <row r="90" spans="2:65" s="72" customFormat="1" ht="29.25" customHeight="1" x14ac:dyDescent="0.2">
      <c r="B90" s="227"/>
      <c r="C90" s="228" t="s">
        <v>167</v>
      </c>
      <c r="D90" s="229" t="s">
        <v>168</v>
      </c>
      <c r="E90" s="229" t="s">
        <v>169</v>
      </c>
      <c r="F90" s="229" t="s">
        <v>170</v>
      </c>
      <c r="G90" s="229" t="s">
        <v>79</v>
      </c>
      <c r="H90" s="229" t="s">
        <v>80</v>
      </c>
      <c r="I90" s="229" t="s">
        <v>171</v>
      </c>
      <c r="J90" s="229" t="s">
        <v>151</v>
      </c>
      <c r="K90" s="230" t="s">
        <v>172</v>
      </c>
      <c r="L90" s="227"/>
      <c r="M90" s="231" t="s">
        <v>129</v>
      </c>
      <c r="N90" s="232" t="s">
        <v>84</v>
      </c>
      <c r="O90" s="232" t="s">
        <v>173</v>
      </c>
      <c r="P90" s="232" t="s">
        <v>174</v>
      </c>
      <c r="Q90" s="232" t="s">
        <v>175</v>
      </c>
      <c r="R90" s="232" t="s">
        <v>176</v>
      </c>
      <c r="S90" s="232" t="s">
        <v>177</v>
      </c>
      <c r="T90" s="233" t="s">
        <v>178</v>
      </c>
    </row>
    <row r="91" spans="2:65" s="190" customFormat="1" ht="22.9" customHeight="1" x14ac:dyDescent="0.25">
      <c r="B91" s="191"/>
      <c r="C91" s="234" t="s">
        <v>179</v>
      </c>
      <c r="J91" s="235">
        <f>BK91</f>
        <v>0</v>
      </c>
      <c r="L91" s="191"/>
      <c r="M91" s="236"/>
      <c r="N91" s="196"/>
      <c r="O91" s="196"/>
      <c r="P91" s="237">
        <f>P92+P314</f>
        <v>1187.7613279999998</v>
      </c>
      <c r="Q91" s="196"/>
      <c r="R91" s="237">
        <f>R92+R314</f>
        <v>5.6378338520999991</v>
      </c>
      <c r="S91" s="196"/>
      <c r="T91" s="238">
        <f>T92+T314</f>
        <v>0.224</v>
      </c>
      <c r="AT91" s="183" t="s">
        <v>180</v>
      </c>
      <c r="AU91" s="183" t="s">
        <v>153</v>
      </c>
      <c r="BK91" s="239">
        <f>BK92+BK314</f>
        <v>0</v>
      </c>
    </row>
    <row r="92" spans="2:65" s="240" customFormat="1" ht="25.9" customHeight="1" x14ac:dyDescent="0.2">
      <c r="B92" s="241"/>
      <c r="D92" s="242" t="s">
        <v>180</v>
      </c>
      <c r="E92" s="243" t="s">
        <v>27</v>
      </c>
      <c r="F92" s="243" t="s">
        <v>181</v>
      </c>
      <c r="J92" s="244">
        <f>BK92</f>
        <v>0</v>
      </c>
      <c r="L92" s="241"/>
      <c r="M92" s="245"/>
      <c r="P92" s="246">
        <f>P93+P105+P123+P141+P165+P198+P242+P308+P310</f>
        <v>1187.7613279999998</v>
      </c>
      <c r="R92" s="246">
        <f>R93+R105+R123+R141+R165+R198+R242+R308+R310</f>
        <v>5.6378338520999991</v>
      </c>
      <c r="T92" s="247">
        <f>T93+T105+T123+T141+T165+T198+T242+T308+T310</f>
        <v>0.224</v>
      </c>
      <c r="AR92" s="242" t="s">
        <v>123</v>
      </c>
      <c r="AT92" s="248" t="s">
        <v>180</v>
      </c>
      <c r="AU92" s="248" t="s">
        <v>182</v>
      </c>
      <c r="AY92" s="242" t="s">
        <v>183</v>
      </c>
      <c r="BK92" s="249">
        <f>BK93+BK105+BK123+BK141+BK165+BK198+BK242+BK308+BK310</f>
        <v>0</v>
      </c>
    </row>
    <row r="93" spans="2:65" s="240" customFormat="1" ht="22.9" customHeight="1" x14ac:dyDescent="0.2">
      <c r="B93" s="241"/>
      <c r="D93" s="242" t="s">
        <v>180</v>
      </c>
      <c r="E93" s="250" t="s">
        <v>184</v>
      </c>
      <c r="F93" s="250" t="s">
        <v>185</v>
      </c>
      <c r="J93" s="251">
        <f>BK93</f>
        <v>0</v>
      </c>
      <c r="L93" s="241"/>
      <c r="M93" s="245"/>
      <c r="P93" s="246">
        <f>SUM(P94:P104)</f>
        <v>39.780900000000003</v>
      </c>
      <c r="R93" s="246">
        <f>SUM(R94:R104)</f>
        <v>0.10005</v>
      </c>
      <c r="T93" s="247">
        <f>SUM(T94:T104)</f>
        <v>0</v>
      </c>
      <c r="AR93" s="242" t="s">
        <v>123</v>
      </c>
      <c r="AT93" s="248" t="s">
        <v>180</v>
      </c>
      <c r="AU93" s="248" t="s">
        <v>186</v>
      </c>
      <c r="AY93" s="242" t="s">
        <v>183</v>
      </c>
      <c r="BK93" s="249">
        <f>SUM(BK94:BK104)</f>
        <v>0</v>
      </c>
    </row>
    <row r="94" spans="2:65" s="190" customFormat="1" ht="37.9" customHeight="1" x14ac:dyDescent="0.2">
      <c r="B94" s="191"/>
      <c r="C94" s="252" t="s">
        <v>186</v>
      </c>
      <c r="D94" s="252" t="s">
        <v>187</v>
      </c>
      <c r="E94" s="253" t="s">
        <v>188</v>
      </c>
      <c r="F94" s="254" t="s">
        <v>189</v>
      </c>
      <c r="G94" s="255" t="s">
        <v>190</v>
      </c>
      <c r="H94" s="256">
        <v>1200</v>
      </c>
      <c r="I94" s="257"/>
      <c r="J94" s="257">
        <f>ROUND(I94*H94,2)</f>
        <v>0</v>
      </c>
      <c r="K94" s="254" t="s">
        <v>191</v>
      </c>
      <c r="L94" s="191"/>
      <c r="M94" s="258" t="s">
        <v>129</v>
      </c>
      <c r="N94" s="259" t="s">
        <v>144</v>
      </c>
      <c r="O94" s="260">
        <v>3.3000000000000002E-2</v>
      </c>
      <c r="P94" s="260">
        <f>O94*H94</f>
        <v>39.6</v>
      </c>
      <c r="Q94" s="260">
        <v>0</v>
      </c>
      <c r="R94" s="260">
        <f>Q94*H94</f>
        <v>0</v>
      </c>
      <c r="S94" s="260">
        <v>0</v>
      </c>
      <c r="T94" s="261">
        <f>S94*H94</f>
        <v>0</v>
      </c>
      <c r="AR94" s="262" t="s">
        <v>192</v>
      </c>
      <c r="AT94" s="262" t="s">
        <v>187</v>
      </c>
      <c r="AU94" s="262" t="s">
        <v>123</v>
      </c>
      <c r="AY94" s="183" t="s">
        <v>183</v>
      </c>
      <c r="BE94" s="263">
        <f>IF(N94="základní",J94,0)</f>
        <v>0</v>
      </c>
      <c r="BF94" s="263">
        <f>IF(N94="snížená",J94,0)</f>
        <v>0</v>
      </c>
      <c r="BG94" s="263">
        <f>IF(N94="zákl. přenesená",J94,0)</f>
        <v>0</v>
      </c>
      <c r="BH94" s="263">
        <f>IF(N94="sníž. přenesená",J94,0)</f>
        <v>0</v>
      </c>
      <c r="BI94" s="263">
        <f>IF(N94="nulová",J94,0)</f>
        <v>0</v>
      </c>
      <c r="BJ94" s="183" t="s">
        <v>186</v>
      </c>
      <c r="BK94" s="263">
        <f>ROUND(I94*H94,2)</f>
        <v>0</v>
      </c>
      <c r="BL94" s="183" t="s">
        <v>192</v>
      </c>
      <c r="BM94" s="262" t="s">
        <v>193</v>
      </c>
    </row>
    <row r="95" spans="2:65" s="190" customFormat="1" x14ac:dyDescent="0.2">
      <c r="B95" s="191"/>
      <c r="D95" s="264" t="s">
        <v>194</v>
      </c>
      <c r="F95" s="265" t="s">
        <v>195</v>
      </c>
      <c r="L95" s="191"/>
      <c r="M95" s="266"/>
      <c r="T95" s="267"/>
      <c r="AT95" s="183" t="s">
        <v>194</v>
      </c>
      <c r="AU95" s="183" t="s">
        <v>123</v>
      </c>
    </row>
    <row r="96" spans="2:65" s="190" customFormat="1" ht="24.2" customHeight="1" x14ac:dyDescent="0.2">
      <c r="B96" s="191"/>
      <c r="C96" s="268" t="s">
        <v>123</v>
      </c>
      <c r="D96" s="268" t="s">
        <v>196</v>
      </c>
      <c r="E96" s="269" t="s">
        <v>197</v>
      </c>
      <c r="F96" s="270" t="s">
        <v>198</v>
      </c>
      <c r="G96" s="271" t="s">
        <v>190</v>
      </c>
      <c r="H96" s="272">
        <v>440</v>
      </c>
      <c r="I96" s="273"/>
      <c r="J96" s="273">
        <f t="shared" ref="J96:J103" si="0">ROUND(I96*H96,2)</f>
        <v>0</v>
      </c>
      <c r="K96" s="270" t="s">
        <v>191</v>
      </c>
      <c r="L96" s="274"/>
      <c r="M96" s="275" t="s">
        <v>129</v>
      </c>
      <c r="N96" s="276" t="s">
        <v>144</v>
      </c>
      <c r="O96" s="260">
        <v>0</v>
      </c>
      <c r="P96" s="260">
        <f t="shared" ref="P96:P103" si="1">O96*H96</f>
        <v>0</v>
      </c>
      <c r="Q96" s="260">
        <v>3.0000000000000001E-5</v>
      </c>
      <c r="R96" s="260">
        <f t="shared" ref="R96:R103" si="2">Q96*H96</f>
        <v>1.32E-2</v>
      </c>
      <c r="S96" s="260">
        <v>0</v>
      </c>
      <c r="T96" s="261">
        <f t="shared" ref="T96:T103" si="3">S96*H96</f>
        <v>0</v>
      </c>
      <c r="AR96" s="262" t="s">
        <v>199</v>
      </c>
      <c r="AT96" s="262" t="s">
        <v>196</v>
      </c>
      <c r="AU96" s="262" t="s">
        <v>123</v>
      </c>
      <c r="AY96" s="183" t="s">
        <v>183</v>
      </c>
      <c r="BE96" s="263">
        <f t="shared" ref="BE96:BE103" si="4">IF(N96="základní",J96,0)</f>
        <v>0</v>
      </c>
      <c r="BF96" s="263">
        <f t="shared" ref="BF96:BF103" si="5">IF(N96="snížená",J96,0)</f>
        <v>0</v>
      </c>
      <c r="BG96" s="263">
        <f t="shared" ref="BG96:BG103" si="6">IF(N96="zákl. přenesená",J96,0)</f>
        <v>0</v>
      </c>
      <c r="BH96" s="263">
        <f t="shared" ref="BH96:BH103" si="7">IF(N96="sníž. přenesená",J96,0)</f>
        <v>0</v>
      </c>
      <c r="BI96" s="263">
        <f t="shared" ref="BI96:BI103" si="8">IF(N96="nulová",J96,0)</f>
        <v>0</v>
      </c>
      <c r="BJ96" s="183" t="s">
        <v>186</v>
      </c>
      <c r="BK96" s="263">
        <f t="shared" ref="BK96:BK103" si="9">ROUND(I96*H96,2)</f>
        <v>0</v>
      </c>
      <c r="BL96" s="183" t="s">
        <v>192</v>
      </c>
      <c r="BM96" s="262" t="s">
        <v>200</v>
      </c>
    </row>
    <row r="97" spans="2:65" s="190" customFormat="1" ht="24.2" customHeight="1" x14ac:dyDescent="0.2">
      <c r="B97" s="191"/>
      <c r="C97" s="268" t="s">
        <v>201</v>
      </c>
      <c r="D97" s="268" t="s">
        <v>196</v>
      </c>
      <c r="E97" s="269" t="s">
        <v>202</v>
      </c>
      <c r="F97" s="270" t="s">
        <v>203</v>
      </c>
      <c r="G97" s="271" t="s">
        <v>190</v>
      </c>
      <c r="H97" s="272">
        <v>80</v>
      </c>
      <c r="I97" s="273"/>
      <c r="J97" s="273">
        <f t="shared" si="0"/>
        <v>0</v>
      </c>
      <c r="K97" s="270" t="s">
        <v>191</v>
      </c>
      <c r="L97" s="274"/>
      <c r="M97" s="275" t="s">
        <v>129</v>
      </c>
      <c r="N97" s="276" t="s">
        <v>144</v>
      </c>
      <c r="O97" s="260">
        <v>0</v>
      </c>
      <c r="P97" s="260">
        <f t="shared" si="1"/>
        <v>0</v>
      </c>
      <c r="Q97" s="260">
        <v>4.0000000000000003E-5</v>
      </c>
      <c r="R97" s="260">
        <f t="shared" si="2"/>
        <v>3.2000000000000002E-3</v>
      </c>
      <c r="S97" s="260">
        <v>0</v>
      </c>
      <c r="T97" s="261">
        <f t="shared" si="3"/>
        <v>0</v>
      </c>
      <c r="AR97" s="262" t="s">
        <v>199</v>
      </c>
      <c r="AT97" s="262" t="s">
        <v>196</v>
      </c>
      <c r="AU97" s="262" t="s">
        <v>123</v>
      </c>
      <c r="AY97" s="183" t="s">
        <v>183</v>
      </c>
      <c r="BE97" s="263">
        <f t="shared" si="4"/>
        <v>0</v>
      </c>
      <c r="BF97" s="263">
        <f t="shared" si="5"/>
        <v>0</v>
      </c>
      <c r="BG97" s="263">
        <f t="shared" si="6"/>
        <v>0</v>
      </c>
      <c r="BH97" s="263">
        <f t="shared" si="7"/>
        <v>0</v>
      </c>
      <c r="BI97" s="263">
        <f t="shared" si="8"/>
        <v>0</v>
      </c>
      <c r="BJ97" s="183" t="s">
        <v>186</v>
      </c>
      <c r="BK97" s="263">
        <f t="shared" si="9"/>
        <v>0</v>
      </c>
      <c r="BL97" s="183" t="s">
        <v>192</v>
      </c>
      <c r="BM97" s="262" t="s">
        <v>204</v>
      </c>
    </row>
    <row r="98" spans="2:65" s="190" customFormat="1" ht="24.2" customHeight="1" x14ac:dyDescent="0.2">
      <c r="B98" s="191"/>
      <c r="C98" s="268" t="s">
        <v>205</v>
      </c>
      <c r="D98" s="268" t="s">
        <v>196</v>
      </c>
      <c r="E98" s="269" t="s">
        <v>206</v>
      </c>
      <c r="F98" s="270" t="s">
        <v>207</v>
      </c>
      <c r="G98" s="271" t="s">
        <v>190</v>
      </c>
      <c r="H98" s="272">
        <v>210</v>
      </c>
      <c r="I98" s="273"/>
      <c r="J98" s="273">
        <f t="shared" si="0"/>
        <v>0</v>
      </c>
      <c r="K98" s="270" t="s">
        <v>191</v>
      </c>
      <c r="L98" s="274"/>
      <c r="M98" s="275" t="s">
        <v>129</v>
      </c>
      <c r="N98" s="276" t="s">
        <v>144</v>
      </c>
      <c r="O98" s="260">
        <v>0</v>
      </c>
      <c r="P98" s="260">
        <f t="shared" si="1"/>
        <v>0</v>
      </c>
      <c r="Q98" s="260">
        <v>8.0000000000000007E-5</v>
      </c>
      <c r="R98" s="260">
        <f t="shared" si="2"/>
        <v>1.6800000000000002E-2</v>
      </c>
      <c r="S98" s="260">
        <v>0</v>
      </c>
      <c r="T98" s="261">
        <f t="shared" si="3"/>
        <v>0</v>
      </c>
      <c r="AR98" s="262" t="s">
        <v>199</v>
      </c>
      <c r="AT98" s="262" t="s">
        <v>196</v>
      </c>
      <c r="AU98" s="262" t="s">
        <v>123</v>
      </c>
      <c r="AY98" s="183" t="s">
        <v>183</v>
      </c>
      <c r="BE98" s="263">
        <f t="shared" si="4"/>
        <v>0</v>
      </c>
      <c r="BF98" s="263">
        <f t="shared" si="5"/>
        <v>0</v>
      </c>
      <c r="BG98" s="263">
        <f t="shared" si="6"/>
        <v>0</v>
      </c>
      <c r="BH98" s="263">
        <f t="shared" si="7"/>
        <v>0</v>
      </c>
      <c r="BI98" s="263">
        <f t="shared" si="8"/>
        <v>0</v>
      </c>
      <c r="BJ98" s="183" t="s">
        <v>186</v>
      </c>
      <c r="BK98" s="263">
        <f t="shared" si="9"/>
        <v>0</v>
      </c>
      <c r="BL98" s="183" t="s">
        <v>192</v>
      </c>
      <c r="BM98" s="262" t="s">
        <v>208</v>
      </c>
    </row>
    <row r="99" spans="2:65" s="190" customFormat="1" ht="24.2" customHeight="1" x14ac:dyDescent="0.2">
      <c r="B99" s="191"/>
      <c r="C99" s="268" t="s">
        <v>209</v>
      </c>
      <c r="D99" s="268" t="s">
        <v>196</v>
      </c>
      <c r="E99" s="269" t="s">
        <v>210</v>
      </c>
      <c r="F99" s="270" t="s">
        <v>211</v>
      </c>
      <c r="G99" s="271" t="s">
        <v>190</v>
      </c>
      <c r="H99" s="272">
        <v>125</v>
      </c>
      <c r="I99" s="273"/>
      <c r="J99" s="273">
        <f t="shared" si="0"/>
        <v>0</v>
      </c>
      <c r="K99" s="270" t="s">
        <v>191</v>
      </c>
      <c r="L99" s="274"/>
      <c r="M99" s="275" t="s">
        <v>129</v>
      </c>
      <c r="N99" s="276" t="s">
        <v>144</v>
      </c>
      <c r="O99" s="260">
        <v>0</v>
      </c>
      <c r="P99" s="260">
        <f t="shared" si="1"/>
        <v>0</v>
      </c>
      <c r="Q99" s="260">
        <v>1.2E-4</v>
      </c>
      <c r="R99" s="260">
        <f t="shared" si="2"/>
        <v>1.5000000000000001E-2</v>
      </c>
      <c r="S99" s="260">
        <v>0</v>
      </c>
      <c r="T99" s="261">
        <f t="shared" si="3"/>
        <v>0</v>
      </c>
      <c r="AR99" s="262" t="s">
        <v>199</v>
      </c>
      <c r="AT99" s="262" t="s">
        <v>196</v>
      </c>
      <c r="AU99" s="262" t="s">
        <v>123</v>
      </c>
      <c r="AY99" s="183" t="s">
        <v>183</v>
      </c>
      <c r="BE99" s="263">
        <f t="shared" si="4"/>
        <v>0</v>
      </c>
      <c r="BF99" s="263">
        <f t="shared" si="5"/>
        <v>0</v>
      </c>
      <c r="BG99" s="263">
        <f t="shared" si="6"/>
        <v>0</v>
      </c>
      <c r="BH99" s="263">
        <f t="shared" si="7"/>
        <v>0</v>
      </c>
      <c r="BI99" s="263">
        <f t="shared" si="8"/>
        <v>0</v>
      </c>
      <c r="BJ99" s="183" t="s">
        <v>186</v>
      </c>
      <c r="BK99" s="263">
        <f t="shared" si="9"/>
        <v>0</v>
      </c>
      <c r="BL99" s="183" t="s">
        <v>192</v>
      </c>
      <c r="BM99" s="262" t="s">
        <v>212</v>
      </c>
    </row>
    <row r="100" spans="2:65" s="190" customFormat="1" ht="24.2" customHeight="1" x14ac:dyDescent="0.2">
      <c r="B100" s="191"/>
      <c r="C100" s="268" t="s">
        <v>213</v>
      </c>
      <c r="D100" s="268" t="s">
        <v>196</v>
      </c>
      <c r="E100" s="269" t="s">
        <v>214</v>
      </c>
      <c r="F100" s="270" t="s">
        <v>215</v>
      </c>
      <c r="G100" s="271" t="s">
        <v>190</v>
      </c>
      <c r="H100" s="272">
        <v>165</v>
      </c>
      <c r="I100" s="273"/>
      <c r="J100" s="273">
        <f t="shared" si="0"/>
        <v>0</v>
      </c>
      <c r="K100" s="270" t="s">
        <v>191</v>
      </c>
      <c r="L100" s="274"/>
      <c r="M100" s="275" t="s">
        <v>129</v>
      </c>
      <c r="N100" s="276" t="s">
        <v>144</v>
      </c>
      <c r="O100" s="260">
        <v>0</v>
      </c>
      <c r="P100" s="260">
        <f t="shared" si="1"/>
        <v>0</v>
      </c>
      <c r="Q100" s="260">
        <v>1.2999999999999999E-4</v>
      </c>
      <c r="R100" s="260">
        <f t="shared" si="2"/>
        <v>2.1449999999999997E-2</v>
      </c>
      <c r="S100" s="260">
        <v>0</v>
      </c>
      <c r="T100" s="261">
        <f t="shared" si="3"/>
        <v>0</v>
      </c>
      <c r="AR100" s="262" t="s">
        <v>199</v>
      </c>
      <c r="AT100" s="262" t="s">
        <v>196</v>
      </c>
      <c r="AU100" s="262" t="s">
        <v>123</v>
      </c>
      <c r="AY100" s="183" t="s">
        <v>183</v>
      </c>
      <c r="BE100" s="263">
        <f t="shared" si="4"/>
        <v>0</v>
      </c>
      <c r="BF100" s="263">
        <f t="shared" si="5"/>
        <v>0</v>
      </c>
      <c r="BG100" s="263">
        <f t="shared" si="6"/>
        <v>0</v>
      </c>
      <c r="BH100" s="263">
        <f t="shared" si="7"/>
        <v>0</v>
      </c>
      <c r="BI100" s="263">
        <f t="shared" si="8"/>
        <v>0</v>
      </c>
      <c r="BJ100" s="183" t="s">
        <v>186</v>
      </c>
      <c r="BK100" s="263">
        <f t="shared" si="9"/>
        <v>0</v>
      </c>
      <c r="BL100" s="183" t="s">
        <v>192</v>
      </c>
      <c r="BM100" s="262" t="s">
        <v>216</v>
      </c>
    </row>
    <row r="101" spans="2:65" s="190" customFormat="1" ht="24.2" customHeight="1" x14ac:dyDescent="0.2">
      <c r="B101" s="191"/>
      <c r="C101" s="268" t="s">
        <v>217</v>
      </c>
      <c r="D101" s="268" t="s">
        <v>196</v>
      </c>
      <c r="E101" s="269" t="s">
        <v>218</v>
      </c>
      <c r="F101" s="270" t="s">
        <v>219</v>
      </c>
      <c r="G101" s="271" t="s">
        <v>190</v>
      </c>
      <c r="H101" s="272">
        <v>140</v>
      </c>
      <c r="I101" s="273"/>
      <c r="J101" s="273">
        <f t="shared" si="0"/>
        <v>0</v>
      </c>
      <c r="K101" s="270" t="s">
        <v>191</v>
      </c>
      <c r="L101" s="274"/>
      <c r="M101" s="275" t="s">
        <v>129</v>
      </c>
      <c r="N101" s="276" t="s">
        <v>144</v>
      </c>
      <c r="O101" s="260">
        <v>0</v>
      </c>
      <c r="P101" s="260">
        <f t="shared" si="1"/>
        <v>0</v>
      </c>
      <c r="Q101" s="260">
        <v>1.6000000000000001E-4</v>
      </c>
      <c r="R101" s="260">
        <f t="shared" si="2"/>
        <v>2.2400000000000003E-2</v>
      </c>
      <c r="S101" s="260">
        <v>0</v>
      </c>
      <c r="T101" s="261">
        <f t="shared" si="3"/>
        <v>0</v>
      </c>
      <c r="AR101" s="262" t="s">
        <v>199</v>
      </c>
      <c r="AT101" s="262" t="s">
        <v>196</v>
      </c>
      <c r="AU101" s="262" t="s">
        <v>123</v>
      </c>
      <c r="AY101" s="183" t="s">
        <v>183</v>
      </c>
      <c r="BE101" s="263">
        <f t="shared" si="4"/>
        <v>0</v>
      </c>
      <c r="BF101" s="263">
        <f t="shared" si="5"/>
        <v>0</v>
      </c>
      <c r="BG101" s="263">
        <f t="shared" si="6"/>
        <v>0</v>
      </c>
      <c r="BH101" s="263">
        <f t="shared" si="7"/>
        <v>0</v>
      </c>
      <c r="BI101" s="263">
        <f t="shared" si="8"/>
        <v>0</v>
      </c>
      <c r="BJ101" s="183" t="s">
        <v>186</v>
      </c>
      <c r="BK101" s="263">
        <f t="shared" si="9"/>
        <v>0</v>
      </c>
      <c r="BL101" s="183" t="s">
        <v>192</v>
      </c>
      <c r="BM101" s="262" t="s">
        <v>220</v>
      </c>
    </row>
    <row r="102" spans="2:65" s="190" customFormat="1" ht="16.5" customHeight="1" x14ac:dyDescent="0.2">
      <c r="B102" s="191"/>
      <c r="C102" s="268" t="s">
        <v>221</v>
      </c>
      <c r="D102" s="268" t="s">
        <v>196</v>
      </c>
      <c r="E102" s="269" t="s">
        <v>222</v>
      </c>
      <c r="F102" s="270" t="s">
        <v>223</v>
      </c>
      <c r="G102" s="271" t="s">
        <v>190</v>
      </c>
      <c r="H102" s="272">
        <v>40</v>
      </c>
      <c r="I102" s="273"/>
      <c r="J102" s="273">
        <f t="shared" si="0"/>
        <v>0</v>
      </c>
      <c r="K102" s="270" t="s">
        <v>129</v>
      </c>
      <c r="L102" s="274"/>
      <c r="M102" s="275" t="s">
        <v>129</v>
      </c>
      <c r="N102" s="276" t="s">
        <v>144</v>
      </c>
      <c r="O102" s="260">
        <v>0</v>
      </c>
      <c r="P102" s="260">
        <f t="shared" si="1"/>
        <v>0</v>
      </c>
      <c r="Q102" s="260">
        <v>2.0000000000000001E-4</v>
      </c>
      <c r="R102" s="260">
        <f t="shared" si="2"/>
        <v>8.0000000000000002E-3</v>
      </c>
      <c r="S102" s="260">
        <v>0</v>
      </c>
      <c r="T102" s="261">
        <f t="shared" si="3"/>
        <v>0</v>
      </c>
      <c r="AR102" s="262" t="s">
        <v>199</v>
      </c>
      <c r="AT102" s="262" t="s">
        <v>196</v>
      </c>
      <c r="AU102" s="262" t="s">
        <v>123</v>
      </c>
      <c r="AY102" s="183" t="s">
        <v>183</v>
      </c>
      <c r="BE102" s="263">
        <f t="shared" si="4"/>
        <v>0</v>
      </c>
      <c r="BF102" s="263">
        <f t="shared" si="5"/>
        <v>0</v>
      </c>
      <c r="BG102" s="263">
        <f t="shared" si="6"/>
        <v>0</v>
      </c>
      <c r="BH102" s="263">
        <f t="shared" si="7"/>
        <v>0</v>
      </c>
      <c r="BI102" s="263">
        <f t="shared" si="8"/>
        <v>0</v>
      </c>
      <c r="BJ102" s="183" t="s">
        <v>186</v>
      </c>
      <c r="BK102" s="263">
        <f t="shared" si="9"/>
        <v>0</v>
      </c>
      <c r="BL102" s="183" t="s">
        <v>192</v>
      </c>
      <c r="BM102" s="262" t="s">
        <v>224</v>
      </c>
    </row>
    <row r="103" spans="2:65" s="190" customFormat="1" ht="55.5" customHeight="1" x14ac:dyDescent="0.2">
      <c r="B103" s="191"/>
      <c r="C103" s="252" t="s">
        <v>225</v>
      </c>
      <c r="D103" s="252" t="s">
        <v>187</v>
      </c>
      <c r="E103" s="253" t="s">
        <v>226</v>
      </c>
      <c r="F103" s="254" t="s">
        <v>227</v>
      </c>
      <c r="G103" s="255" t="s">
        <v>228</v>
      </c>
      <c r="H103" s="256">
        <v>0.1</v>
      </c>
      <c r="I103" s="257"/>
      <c r="J103" s="257">
        <f t="shared" si="0"/>
        <v>0</v>
      </c>
      <c r="K103" s="254" t="s">
        <v>191</v>
      </c>
      <c r="L103" s="191"/>
      <c r="M103" s="258" t="s">
        <v>129</v>
      </c>
      <c r="N103" s="259" t="s">
        <v>144</v>
      </c>
      <c r="O103" s="260">
        <v>1.8089999999999999</v>
      </c>
      <c r="P103" s="260">
        <f t="shared" si="1"/>
        <v>0.18090000000000001</v>
      </c>
      <c r="Q103" s="260">
        <v>0</v>
      </c>
      <c r="R103" s="260">
        <f t="shared" si="2"/>
        <v>0</v>
      </c>
      <c r="S103" s="260">
        <v>0</v>
      </c>
      <c r="T103" s="261">
        <f t="shared" si="3"/>
        <v>0</v>
      </c>
      <c r="AR103" s="262" t="s">
        <v>192</v>
      </c>
      <c r="AT103" s="262" t="s">
        <v>187</v>
      </c>
      <c r="AU103" s="262" t="s">
        <v>123</v>
      </c>
      <c r="AY103" s="183" t="s">
        <v>183</v>
      </c>
      <c r="BE103" s="263">
        <f t="shared" si="4"/>
        <v>0</v>
      </c>
      <c r="BF103" s="263">
        <f t="shared" si="5"/>
        <v>0</v>
      </c>
      <c r="BG103" s="263">
        <f t="shared" si="6"/>
        <v>0</v>
      </c>
      <c r="BH103" s="263">
        <f t="shared" si="7"/>
        <v>0</v>
      </c>
      <c r="BI103" s="263">
        <f t="shared" si="8"/>
        <v>0</v>
      </c>
      <c r="BJ103" s="183" t="s">
        <v>186</v>
      </c>
      <c r="BK103" s="263">
        <f t="shared" si="9"/>
        <v>0</v>
      </c>
      <c r="BL103" s="183" t="s">
        <v>192</v>
      </c>
      <c r="BM103" s="262" t="s">
        <v>229</v>
      </c>
    </row>
    <row r="104" spans="2:65" s="190" customFormat="1" x14ac:dyDescent="0.2">
      <c r="B104" s="191"/>
      <c r="D104" s="264" t="s">
        <v>194</v>
      </c>
      <c r="F104" s="265" t="s">
        <v>230</v>
      </c>
      <c r="L104" s="191"/>
      <c r="M104" s="266"/>
      <c r="T104" s="267"/>
      <c r="AT104" s="183" t="s">
        <v>194</v>
      </c>
      <c r="AU104" s="183" t="s">
        <v>123</v>
      </c>
    </row>
    <row r="105" spans="2:65" s="240" customFormat="1" ht="22.9" customHeight="1" x14ac:dyDescent="0.2">
      <c r="B105" s="241"/>
      <c r="D105" s="242" t="s">
        <v>180</v>
      </c>
      <c r="E105" s="250" t="s">
        <v>231</v>
      </c>
      <c r="F105" s="250" t="s">
        <v>232</v>
      </c>
      <c r="J105" s="251">
        <f>BK105</f>
        <v>0</v>
      </c>
      <c r="L105" s="241"/>
      <c r="M105" s="245"/>
      <c r="P105" s="246">
        <f>SUM(P106:P122)</f>
        <v>4.2748600000000012</v>
      </c>
      <c r="R105" s="246">
        <f>SUM(R106:R122)</f>
        <v>1.1199999999999998E-2</v>
      </c>
      <c r="T105" s="247">
        <f>SUM(T106:T122)</f>
        <v>0</v>
      </c>
      <c r="AR105" s="242" t="s">
        <v>123</v>
      </c>
      <c r="AT105" s="248" t="s">
        <v>180</v>
      </c>
      <c r="AU105" s="248" t="s">
        <v>186</v>
      </c>
      <c r="AY105" s="242" t="s">
        <v>183</v>
      </c>
      <c r="BK105" s="249">
        <f>SUM(BK106:BK122)</f>
        <v>0</v>
      </c>
    </row>
    <row r="106" spans="2:65" s="190" customFormat="1" ht="33" customHeight="1" x14ac:dyDescent="0.2">
      <c r="B106" s="191"/>
      <c r="C106" s="252" t="s">
        <v>233</v>
      </c>
      <c r="D106" s="252" t="s">
        <v>187</v>
      </c>
      <c r="E106" s="253" t="s">
        <v>234</v>
      </c>
      <c r="F106" s="254" t="s">
        <v>235</v>
      </c>
      <c r="G106" s="255" t="s">
        <v>190</v>
      </c>
      <c r="H106" s="256">
        <v>4</v>
      </c>
      <c r="I106" s="257"/>
      <c r="J106" s="257">
        <f>ROUND(I106*H106,2)</f>
        <v>0</v>
      </c>
      <c r="K106" s="254" t="s">
        <v>191</v>
      </c>
      <c r="L106" s="191"/>
      <c r="M106" s="258" t="s">
        <v>129</v>
      </c>
      <c r="N106" s="259" t="s">
        <v>144</v>
      </c>
      <c r="O106" s="260">
        <v>0.61599999999999999</v>
      </c>
      <c r="P106" s="260">
        <f>O106*H106</f>
        <v>2.464</v>
      </c>
      <c r="Q106" s="260">
        <v>1.2600000000000001E-3</v>
      </c>
      <c r="R106" s="260">
        <f>Q106*H106</f>
        <v>5.0400000000000002E-3</v>
      </c>
      <c r="S106" s="260">
        <v>0</v>
      </c>
      <c r="T106" s="261">
        <f>S106*H106</f>
        <v>0</v>
      </c>
      <c r="AR106" s="262" t="s">
        <v>192</v>
      </c>
      <c r="AT106" s="262" t="s">
        <v>187</v>
      </c>
      <c r="AU106" s="262" t="s">
        <v>123</v>
      </c>
      <c r="AY106" s="183" t="s">
        <v>183</v>
      </c>
      <c r="BE106" s="263">
        <f>IF(N106="základní",J106,0)</f>
        <v>0</v>
      </c>
      <c r="BF106" s="263">
        <f>IF(N106="snížená",J106,0)</f>
        <v>0</v>
      </c>
      <c r="BG106" s="263">
        <f>IF(N106="zákl. přenesená",J106,0)</f>
        <v>0</v>
      </c>
      <c r="BH106" s="263">
        <f>IF(N106="sníž. přenesená",J106,0)</f>
        <v>0</v>
      </c>
      <c r="BI106" s="263">
        <f>IF(N106="nulová",J106,0)</f>
        <v>0</v>
      </c>
      <c r="BJ106" s="183" t="s">
        <v>186</v>
      </c>
      <c r="BK106" s="263">
        <f>ROUND(I106*H106,2)</f>
        <v>0</v>
      </c>
      <c r="BL106" s="183" t="s">
        <v>192</v>
      </c>
      <c r="BM106" s="262" t="s">
        <v>236</v>
      </c>
    </row>
    <row r="107" spans="2:65" s="190" customFormat="1" x14ac:dyDescent="0.2">
      <c r="B107" s="191"/>
      <c r="D107" s="264" t="s">
        <v>194</v>
      </c>
      <c r="F107" s="265" t="s">
        <v>237</v>
      </c>
      <c r="L107" s="191"/>
      <c r="M107" s="266"/>
      <c r="T107" s="267"/>
      <c r="AT107" s="183" t="s">
        <v>194</v>
      </c>
      <c r="AU107" s="183" t="s">
        <v>123</v>
      </c>
    </row>
    <row r="108" spans="2:65" s="190" customFormat="1" ht="33" customHeight="1" x14ac:dyDescent="0.2">
      <c r="B108" s="191"/>
      <c r="C108" s="252" t="s">
        <v>238</v>
      </c>
      <c r="D108" s="252" t="s">
        <v>187</v>
      </c>
      <c r="E108" s="253" t="s">
        <v>239</v>
      </c>
      <c r="F108" s="254" t="s">
        <v>240</v>
      </c>
      <c r="G108" s="255" t="s">
        <v>241</v>
      </c>
      <c r="H108" s="256">
        <v>1</v>
      </c>
      <c r="I108" s="257"/>
      <c r="J108" s="257">
        <f>ROUND(I108*H108,2)</f>
        <v>0</v>
      </c>
      <c r="K108" s="254" t="s">
        <v>191</v>
      </c>
      <c r="L108" s="191"/>
      <c r="M108" s="258" t="s">
        <v>129</v>
      </c>
      <c r="N108" s="259" t="s">
        <v>144</v>
      </c>
      <c r="O108" s="260">
        <v>0.14000000000000001</v>
      </c>
      <c r="P108" s="260">
        <f>O108*H108</f>
        <v>0.14000000000000001</v>
      </c>
      <c r="Q108" s="260">
        <v>1.8000000000000001E-4</v>
      </c>
      <c r="R108" s="260">
        <f>Q108*H108</f>
        <v>1.8000000000000001E-4</v>
      </c>
      <c r="S108" s="260">
        <v>0</v>
      </c>
      <c r="T108" s="261">
        <f>S108*H108</f>
        <v>0</v>
      </c>
      <c r="AR108" s="262" t="s">
        <v>192</v>
      </c>
      <c r="AT108" s="262" t="s">
        <v>187</v>
      </c>
      <c r="AU108" s="262" t="s">
        <v>123</v>
      </c>
      <c r="AY108" s="183" t="s">
        <v>183</v>
      </c>
      <c r="BE108" s="263">
        <f>IF(N108="základní",J108,0)</f>
        <v>0</v>
      </c>
      <c r="BF108" s="263">
        <f>IF(N108="snížená",J108,0)</f>
        <v>0</v>
      </c>
      <c r="BG108" s="263">
        <f>IF(N108="zákl. přenesená",J108,0)</f>
        <v>0</v>
      </c>
      <c r="BH108" s="263">
        <f>IF(N108="sníž. přenesená",J108,0)</f>
        <v>0</v>
      </c>
      <c r="BI108" s="263">
        <f>IF(N108="nulová",J108,0)</f>
        <v>0</v>
      </c>
      <c r="BJ108" s="183" t="s">
        <v>186</v>
      </c>
      <c r="BK108" s="263">
        <f>ROUND(I108*H108,2)</f>
        <v>0</v>
      </c>
      <c r="BL108" s="183" t="s">
        <v>192</v>
      </c>
      <c r="BM108" s="262" t="s">
        <v>242</v>
      </c>
    </row>
    <row r="109" spans="2:65" s="190" customFormat="1" x14ac:dyDescent="0.2">
      <c r="B109" s="191"/>
      <c r="D109" s="264" t="s">
        <v>194</v>
      </c>
      <c r="F109" s="265" t="s">
        <v>243</v>
      </c>
      <c r="L109" s="191"/>
      <c r="M109" s="266"/>
      <c r="T109" s="267"/>
      <c r="AT109" s="183" t="s">
        <v>194</v>
      </c>
      <c r="AU109" s="183" t="s">
        <v>123</v>
      </c>
    </row>
    <row r="110" spans="2:65" s="190" customFormat="1" ht="24.2" customHeight="1" x14ac:dyDescent="0.2">
      <c r="B110" s="191"/>
      <c r="C110" s="252" t="s">
        <v>244</v>
      </c>
      <c r="D110" s="252" t="s">
        <v>187</v>
      </c>
      <c r="E110" s="253" t="s">
        <v>245</v>
      </c>
      <c r="F110" s="254" t="s">
        <v>246</v>
      </c>
      <c r="G110" s="255" t="s">
        <v>241</v>
      </c>
      <c r="H110" s="256">
        <v>2</v>
      </c>
      <c r="I110" s="257"/>
      <c r="J110" s="257">
        <f>ROUND(I110*H110,2)</f>
        <v>0</v>
      </c>
      <c r="K110" s="254" t="s">
        <v>191</v>
      </c>
      <c r="L110" s="191"/>
      <c r="M110" s="258" t="s">
        <v>129</v>
      </c>
      <c r="N110" s="259" t="s">
        <v>144</v>
      </c>
      <c r="O110" s="260">
        <v>0.22700000000000001</v>
      </c>
      <c r="P110" s="260">
        <f>O110*H110</f>
        <v>0.45400000000000001</v>
      </c>
      <c r="Q110" s="260">
        <v>5.1999999999999995E-4</v>
      </c>
      <c r="R110" s="260">
        <f>Q110*H110</f>
        <v>1.0399999999999999E-3</v>
      </c>
      <c r="S110" s="260">
        <v>0</v>
      </c>
      <c r="T110" s="261">
        <f>S110*H110</f>
        <v>0</v>
      </c>
      <c r="AR110" s="262" t="s">
        <v>192</v>
      </c>
      <c r="AT110" s="262" t="s">
        <v>187</v>
      </c>
      <c r="AU110" s="262" t="s">
        <v>123</v>
      </c>
      <c r="AY110" s="183" t="s">
        <v>183</v>
      </c>
      <c r="BE110" s="263">
        <f>IF(N110="základní",J110,0)</f>
        <v>0</v>
      </c>
      <c r="BF110" s="263">
        <f>IF(N110="snížená",J110,0)</f>
        <v>0</v>
      </c>
      <c r="BG110" s="263">
        <f>IF(N110="zákl. přenesená",J110,0)</f>
        <v>0</v>
      </c>
      <c r="BH110" s="263">
        <f>IF(N110="sníž. přenesená",J110,0)</f>
        <v>0</v>
      </c>
      <c r="BI110" s="263">
        <f>IF(N110="nulová",J110,0)</f>
        <v>0</v>
      </c>
      <c r="BJ110" s="183" t="s">
        <v>186</v>
      </c>
      <c r="BK110" s="263">
        <f>ROUND(I110*H110,2)</f>
        <v>0</v>
      </c>
      <c r="BL110" s="183" t="s">
        <v>192</v>
      </c>
      <c r="BM110" s="262" t="s">
        <v>247</v>
      </c>
    </row>
    <row r="111" spans="2:65" s="190" customFormat="1" x14ac:dyDescent="0.2">
      <c r="B111" s="191"/>
      <c r="D111" s="264" t="s">
        <v>194</v>
      </c>
      <c r="F111" s="265" t="s">
        <v>248</v>
      </c>
      <c r="L111" s="191"/>
      <c r="M111" s="266"/>
      <c r="T111" s="267"/>
      <c r="AT111" s="183" t="s">
        <v>194</v>
      </c>
      <c r="AU111" s="183" t="s">
        <v>123</v>
      </c>
    </row>
    <row r="112" spans="2:65" s="190" customFormat="1" ht="33" customHeight="1" x14ac:dyDescent="0.2">
      <c r="B112" s="191"/>
      <c r="C112" s="252" t="s">
        <v>249</v>
      </c>
      <c r="D112" s="252" t="s">
        <v>187</v>
      </c>
      <c r="E112" s="253" t="s">
        <v>250</v>
      </c>
      <c r="F112" s="254" t="s">
        <v>251</v>
      </c>
      <c r="G112" s="255" t="s">
        <v>241</v>
      </c>
      <c r="H112" s="256">
        <v>1</v>
      </c>
      <c r="I112" s="257"/>
      <c r="J112" s="257">
        <f>ROUND(I112*H112,2)</f>
        <v>0</v>
      </c>
      <c r="K112" s="254" t="s">
        <v>191</v>
      </c>
      <c r="L112" s="191"/>
      <c r="M112" s="258" t="s">
        <v>129</v>
      </c>
      <c r="N112" s="259" t="s">
        <v>144</v>
      </c>
      <c r="O112" s="260">
        <v>0.2</v>
      </c>
      <c r="P112" s="260">
        <f>O112*H112</f>
        <v>0.2</v>
      </c>
      <c r="Q112" s="260">
        <v>1.82E-3</v>
      </c>
      <c r="R112" s="260">
        <f>Q112*H112</f>
        <v>1.82E-3</v>
      </c>
      <c r="S112" s="260">
        <v>0</v>
      </c>
      <c r="T112" s="261">
        <f>S112*H112</f>
        <v>0</v>
      </c>
      <c r="AR112" s="262" t="s">
        <v>192</v>
      </c>
      <c r="AT112" s="262" t="s">
        <v>187</v>
      </c>
      <c r="AU112" s="262" t="s">
        <v>123</v>
      </c>
      <c r="AY112" s="183" t="s">
        <v>183</v>
      </c>
      <c r="BE112" s="263">
        <f>IF(N112="základní",J112,0)</f>
        <v>0</v>
      </c>
      <c r="BF112" s="263">
        <f>IF(N112="snížená",J112,0)</f>
        <v>0</v>
      </c>
      <c r="BG112" s="263">
        <f>IF(N112="zákl. přenesená",J112,0)</f>
        <v>0</v>
      </c>
      <c r="BH112" s="263">
        <f>IF(N112="sníž. přenesená",J112,0)</f>
        <v>0</v>
      </c>
      <c r="BI112" s="263">
        <f>IF(N112="nulová",J112,0)</f>
        <v>0</v>
      </c>
      <c r="BJ112" s="183" t="s">
        <v>186</v>
      </c>
      <c r="BK112" s="263">
        <f>ROUND(I112*H112,2)</f>
        <v>0</v>
      </c>
      <c r="BL112" s="183" t="s">
        <v>192</v>
      </c>
      <c r="BM112" s="262" t="s">
        <v>252</v>
      </c>
    </row>
    <row r="113" spans="2:65" s="190" customFormat="1" x14ac:dyDescent="0.2">
      <c r="B113" s="191"/>
      <c r="D113" s="264" t="s">
        <v>194</v>
      </c>
      <c r="F113" s="265" t="s">
        <v>253</v>
      </c>
      <c r="L113" s="191"/>
      <c r="M113" s="266"/>
      <c r="T113" s="267"/>
      <c r="AT113" s="183" t="s">
        <v>194</v>
      </c>
      <c r="AU113" s="183" t="s">
        <v>123</v>
      </c>
    </row>
    <row r="114" spans="2:65" s="190" customFormat="1" ht="24.2" customHeight="1" x14ac:dyDescent="0.2">
      <c r="B114" s="191"/>
      <c r="C114" s="252" t="s">
        <v>254</v>
      </c>
      <c r="D114" s="252" t="s">
        <v>187</v>
      </c>
      <c r="E114" s="253" t="s">
        <v>255</v>
      </c>
      <c r="F114" s="254" t="s">
        <v>256</v>
      </c>
      <c r="G114" s="255" t="s">
        <v>241</v>
      </c>
      <c r="H114" s="256">
        <v>1</v>
      </c>
      <c r="I114" s="257"/>
      <c r="J114" s="257">
        <f>ROUND(I114*H114,2)</f>
        <v>0</v>
      </c>
      <c r="K114" s="254" t="s">
        <v>191</v>
      </c>
      <c r="L114" s="191"/>
      <c r="M114" s="258" t="s">
        <v>129</v>
      </c>
      <c r="N114" s="259" t="s">
        <v>144</v>
      </c>
      <c r="O114" s="260">
        <v>0.2</v>
      </c>
      <c r="P114" s="260">
        <f>O114*H114</f>
        <v>0.2</v>
      </c>
      <c r="Q114" s="260">
        <v>3.4000000000000002E-4</v>
      </c>
      <c r="R114" s="260">
        <f>Q114*H114</f>
        <v>3.4000000000000002E-4</v>
      </c>
      <c r="S114" s="260">
        <v>0</v>
      </c>
      <c r="T114" s="261">
        <f>S114*H114</f>
        <v>0</v>
      </c>
      <c r="AR114" s="262" t="s">
        <v>192</v>
      </c>
      <c r="AT114" s="262" t="s">
        <v>187</v>
      </c>
      <c r="AU114" s="262" t="s">
        <v>123</v>
      </c>
      <c r="AY114" s="183" t="s">
        <v>183</v>
      </c>
      <c r="BE114" s="263">
        <f>IF(N114="základní",J114,0)</f>
        <v>0</v>
      </c>
      <c r="BF114" s="263">
        <f>IF(N114="snížená",J114,0)</f>
        <v>0</v>
      </c>
      <c r="BG114" s="263">
        <f>IF(N114="zákl. přenesená",J114,0)</f>
        <v>0</v>
      </c>
      <c r="BH114" s="263">
        <f>IF(N114="sníž. přenesená",J114,0)</f>
        <v>0</v>
      </c>
      <c r="BI114" s="263">
        <f>IF(N114="nulová",J114,0)</f>
        <v>0</v>
      </c>
      <c r="BJ114" s="183" t="s">
        <v>186</v>
      </c>
      <c r="BK114" s="263">
        <f>ROUND(I114*H114,2)</f>
        <v>0</v>
      </c>
      <c r="BL114" s="183" t="s">
        <v>192</v>
      </c>
      <c r="BM114" s="262" t="s">
        <v>257</v>
      </c>
    </row>
    <row r="115" spans="2:65" s="190" customFormat="1" x14ac:dyDescent="0.2">
      <c r="B115" s="191"/>
      <c r="D115" s="264" t="s">
        <v>194</v>
      </c>
      <c r="F115" s="265" t="s">
        <v>258</v>
      </c>
      <c r="L115" s="191"/>
      <c r="M115" s="266"/>
      <c r="T115" s="267"/>
      <c r="AT115" s="183" t="s">
        <v>194</v>
      </c>
      <c r="AU115" s="183" t="s">
        <v>123</v>
      </c>
    </row>
    <row r="116" spans="2:65" s="190" customFormat="1" ht="33" customHeight="1" x14ac:dyDescent="0.2">
      <c r="B116" s="191"/>
      <c r="C116" s="252" t="s">
        <v>259</v>
      </c>
      <c r="D116" s="252" t="s">
        <v>187</v>
      </c>
      <c r="E116" s="253" t="s">
        <v>260</v>
      </c>
      <c r="F116" s="254" t="s">
        <v>261</v>
      </c>
      <c r="G116" s="255" t="s">
        <v>241</v>
      </c>
      <c r="H116" s="256">
        <v>1</v>
      </c>
      <c r="I116" s="257"/>
      <c r="J116" s="257">
        <f>ROUND(I116*H116,2)</f>
        <v>0</v>
      </c>
      <c r="K116" s="254" t="s">
        <v>191</v>
      </c>
      <c r="L116" s="191"/>
      <c r="M116" s="258" t="s">
        <v>129</v>
      </c>
      <c r="N116" s="259" t="s">
        <v>144</v>
      </c>
      <c r="O116" s="260">
        <v>0.375</v>
      </c>
      <c r="P116" s="260">
        <f>O116*H116</f>
        <v>0.375</v>
      </c>
      <c r="Q116" s="260">
        <v>1.2700000000000001E-3</v>
      </c>
      <c r="R116" s="260">
        <f>Q116*H116</f>
        <v>1.2700000000000001E-3</v>
      </c>
      <c r="S116" s="260">
        <v>0</v>
      </c>
      <c r="T116" s="261">
        <f>S116*H116</f>
        <v>0</v>
      </c>
      <c r="AR116" s="262" t="s">
        <v>205</v>
      </c>
      <c r="AT116" s="262" t="s">
        <v>187</v>
      </c>
      <c r="AU116" s="262" t="s">
        <v>123</v>
      </c>
      <c r="AY116" s="183" t="s">
        <v>183</v>
      </c>
      <c r="BE116" s="263">
        <f>IF(N116="základní",J116,0)</f>
        <v>0</v>
      </c>
      <c r="BF116" s="263">
        <f>IF(N116="snížená",J116,0)</f>
        <v>0</v>
      </c>
      <c r="BG116" s="263">
        <f>IF(N116="zákl. přenesená",J116,0)</f>
        <v>0</v>
      </c>
      <c r="BH116" s="263">
        <f>IF(N116="sníž. přenesená",J116,0)</f>
        <v>0</v>
      </c>
      <c r="BI116" s="263">
        <f>IF(N116="nulová",J116,0)</f>
        <v>0</v>
      </c>
      <c r="BJ116" s="183" t="s">
        <v>186</v>
      </c>
      <c r="BK116" s="263">
        <f>ROUND(I116*H116,2)</f>
        <v>0</v>
      </c>
      <c r="BL116" s="183" t="s">
        <v>205</v>
      </c>
      <c r="BM116" s="262" t="s">
        <v>262</v>
      </c>
    </row>
    <row r="117" spans="2:65" s="190" customFormat="1" x14ac:dyDescent="0.2">
      <c r="B117" s="191"/>
      <c r="D117" s="264" t="s">
        <v>194</v>
      </c>
      <c r="F117" s="265" t="s">
        <v>263</v>
      </c>
      <c r="L117" s="191"/>
      <c r="M117" s="266"/>
      <c r="T117" s="267"/>
      <c r="AT117" s="183" t="s">
        <v>194</v>
      </c>
      <c r="AU117" s="183" t="s">
        <v>123</v>
      </c>
    </row>
    <row r="118" spans="2:65" s="190" customFormat="1" ht="24.2" customHeight="1" x14ac:dyDescent="0.2">
      <c r="B118" s="191"/>
      <c r="C118" s="268" t="s">
        <v>192</v>
      </c>
      <c r="D118" s="268" t="s">
        <v>196</v>
      </c>
      <c r="E118" s="269" t="s">
        <v>264</v>
      </c>
      <c r="F118" s="270" t="s">
        <v>265</v>
      </c>
      <c r="G118" s="271" t="s">
        <v>266</v>
      </c>
      <c r="H118" s="272">
        <v>1</v>
      </c>
      <c r="I118" s="273"/>
      <c r="J118" s="273">
        <f>ROUND(I118*H118,2)</f>
        <v>0</v>
      </c>
      <c r="K118" s="270" t="s">
        <v>129</v>
      </c>
      <c r="L118" s="274"/>
      <c r="M118" s="275" t="s">
        <v>129</v>
      </c>
      <c r="N118" s="276" t="s">
        <v>144</v>
      </c>
      <c r="O118" s="260">
        <v>0</v>
      </c>
      <c r="P118" s="260">
        <f>O118*H118</f>
        <v>0</v>
      </c>
      <c r="Q118" s="260">
        <v>2.0000000000000002E-5</v>
      </c>
      <c r="R118" s="260">
        <f>Q118*H118</f>
        <v>2.0000000000000002E-5</v>
      </c>
      <c r="S118" s="260">
        <v>0</v>
      </c>
      <c r="T118" s="261">
        <f>S118*H118</f>
        <v>0</v>
      </c>
      <c r="AR118" s="262" t="s">
        <v>199</v>
      </c>
      <c r="AT118" s="262" t="s">
        <v>196</v>
      </c>
      <c r="AU118" s="262" t="s">
        <v>123</v>
      </c>
      <c r="AY118" s="183" t="s">
        <v>183</v>
      </c>
      <c r="BE118" s="263">
        <f>IF(N118="základní",J118,0)</f>
        <v>0</v>
      </c>
      <c r="BF118" s="263">
        <f>IF(N118="snížená",J118,0)</f>
        <v>0</v>
      </c>
      <c r="BG118" s="263">
        <f>IF(N118="zákl. přenesená",J118,0)</f>
        <v>0</v>
      </c>
      <c r="BH118" s="263">
        <f>IF(N118="sníž. přenesená",J118,0)</f>
        <v>0</v>
      </c>
      <c r="BI118" s="263">
        <f>IF(N118="nulová",J118,0)</f>
        <v>0</v>
      </c>
      <c r="BJ118" s="183" t="s">
        <v>186</v>
      </c>
      <c r="BK118" s="263">
        <f>ROUND(I118*H118,2)</f>
        <v>0</v>
      </c>
      <c r="BL118" s="183" t="s">
        <v>192</v>
      </c>
      <c r="BM118" s="262" t="s">
        <v>267</v>
      </c>
    </row>
    <row r="119" spans="2:65" s="190" customFormat="1" ht="33" customHeight="1" x14ac:dyDescent="0.2">
      <c r="B119" s="191"/>
      <c r="C119" s="268" t="s">
        <v>268</v>
      </c>
      <c r="D119" s="268" t="s">
        <v>196</v>
      </c>
      <c r="E119" s="269" t="s">
        <v>269</v>
      </c>
      <c r="F119" s="270" t="s">
        <v>270</v>
      </c>
      <c r="G119" s="271" t="s">
        <v>241</v>
      </c>
      <c r="H119" s="272">
        <v>1</v>
      </c>
      <c r="I119" s="273"/>
      <c r="J119" s="273">
        <f>ROUND(I119*H119,2)</f>
        <v>0</v>
      </c>
      <c r="K119" s="270" t="s">
        <v>129</v>
      </c>
      <c r="L119" s="274"/>
      <c r="M119" s="275" t="s">
        <v>129</v>
      </c>
      <c r="N119" s="276" t="s">
        <v>144</v>
      </c>
      <c r="O119" s="260">
        <v>0</v>
      </c>
      <c r="P119" s="260">
        <f>O119*H119</f>
        <v>0</v>
      </c>
      <c r="Q119" s="260">
        <v>2.0000000000000002E-5</v>
      </c>
      <c r="R119" s="260">
        <f>Q119*H119</f>
        <v>2.0000000000000002E-5</v>
      </c>
      <c r="S119" s="260">
        <v>0</v>
      </c>
      <c r="T119" s="261">
        <f>S119*H119</f>
        <v>0</v>
      </c>
      <c r="AR119" s="262" t="s">
        <v>199</v>
      </c>
      <c r="AT119" s="262" t="s">
        <v>196</v>
      </c>
      <c r="AU119" s="262" t="s">
        <v>123</v>
      </c>
      <c r="AY119" s="183" t="s">
        <v>183</v>
      </c>
      <c r="BE119" s="263">
        <f>IF(N119="základní",J119,0)</f>
        <v>0</v>
      </c>
      <c r="BF119" s="263">
        <f>IF(N119="snížená",J119,0)</f>
        <v>0</v>
      </c>
      <c r="BG119" s="263">
        <f>IF(N119="zákl. přenesená",J119,0)</f>
        <v>0</v>
      </c>
      <c r="BH119" s="263">
        <f>IF(N119="sníž. přenesená",J119,0)</f>
        <v>0</v>
      </c>
      <c r="BI119" s="263">
        <f>IF(N119="nulová",J119,0)</f>
        <v>0</v>
      </c>
      <c r="BJ119" s="183" t="s">
        <v>186</v>
      </c>
      <c r="BK119" s="263">
        <f>ROUND(I119*H119,2)</f>
        <v>0</v>
      </c>
      <c r="BL119" s="183" t="s">
        <v>192</v>
      </c>
      <c r="BM119" s="262" t="s">
        <v>271</v>
      </c>
    </row>
    <row r="120" spans="2:65" s="190" customFormat="1" ht="24.2" customHeight="1" x14ac:dyDescent="0.2">
      <c r="B120" s="191"/>
      <c r="C120" s="252" t="s">
        <v>272</v>
      </c>
      <c r="D120" s="252" t="s">
        <v>187</v>
      </c>
      <c r="E120" s="253" t="s">
        <v>273</v>
      </c>
      <c r="F120" s="254" t="s">
        <v>274</v>
      </c>
      <c r="G120" s="255" t="s">
        <v>241</v>
      </c>
      <c r="H120" s="256">
        <v>1</v>
      </c>
      <c r="I120" s="257"/>
      <c r="J120" s="257">
        <f>ROUND(I120*H120,2)</f>
        <v>0</v>
      </c>
      <c r="K120" s="254" t="s">
        <v>129</v>
      </c>
      <c r="L120" s="191"/>
      <c r="M120" s="258" t="s">
        <v>129</v>
      </c>
      <c r="N120" s="259" t="s">
        <v>144</v>
      </c>
      <c r="O120" s="260">
        <v>0.433</v>
      </c>
      <c r="P120" s="260">
        <f>O120*H120</f>
        <v>0.433</v>
      </c>
      <c r="Q120" s="260">
        <v>1.47E-3</v>
      </c>
      <c r="R120" s="260">
        <f>Q120*H120</f>
        <v>1.47E-3</v>
      </c>
      <c r="S120" s="260">
        <v>0</v>
      </c>
      <c r="T120" s="261">
        <f>S120*H120</f>
        <v>0</v>
      </c>
      <c r="AR120" s="262" t="s">
        <v>192</v>
      </c>
      <c r="AT120" s="262" t="s">
        <v>187</v>
      </c>
      <c r="AU120" s="262" t="s">
        <v>123</v>
      </c>
      <c r="AY120" s="183" t="s">
        <v>183</v>
      </c>
      <c r="BE120" s="263">
        <f>IF(N120="základní",J120,0)</f>
        <v>0</v>
      </c>
      <c r="BF120" s="263">
        <f>IF(N120="snížená",J120,0)</f>
        <v>0</v>
      </c>
      <c r="BG120" s="263">
        <f>IF(N120="zákl. přenesená",J120,0)</f>
        <v>0</v>
      </c>
      <c r="BH120" s="263">
        <f>IF(N120="sníž. přenesená",J120,0)</f>
        <v>0</v>
      </c>
      <c r="BI120" s="263">
        <f>IF(N120="nulová",J120,0)</f>
        <v>0</v>
      </c>
      <c r="BJ120" s="183" t="s">
        <v>186</v>
      </c>
      <c r="BK120" s="263">
        <f>ROUND(I120*H120,2)</f>
        <v>0</v>
      </c>
      <c r="BL120" s="183" t="s">
        <v>192</v>
      </c>
      <c r="BM120" s="262" t="s">
        <v>275</v>
      </c>
    </row>
    <row r="121" spans="2:65" s="190" customFormat="1" ht="49.15" customHeight="1" x14ac:dyDescent="0.2">
      <c r="B121" s="191"/>
      <c r="C121" s="252" t="s">
        <v>276</v>
      </c>
      <c r="D121" s="252" t="s">
        <v>187</v>
      </c>
      <c r="E121" s="253" t="s">
        <v>277</v>
      </c>
      <c r="F121" s="254" t="s">
        <v>278</v>
      </c>
      <c r="G121" s="255" t="s">
        <v>228</v>
      </c>
      <c r="H121" s="256">
        <v>0.01</v>
      </c>
      <c r="I121" s="257"/>
      <c r="J121" s="257">
        <f>ROUND(I121*H121,2)</f>
        <v>0</v>
      </c>
      <c r="K121" s="254" t="s">
        <v>191</v>
      </c>
      <c r="L121" s="191"/>
      <c r="M121" s="258" t="s">
        <v>129</v>
      </c>
      <c r="N121" s="259" t="s">
        <v>144</v>
      </c>
      <c r="O121" s="260">
        <v>0.88600000000000001</v>
      </c>
      <c r="P121" s="260">
        <f>O121*H121</f>
        <v>8.8599999999999998E-3</v>
      </c>
      <c r="Q121" s="260">
        <v>0</v>
      </c>
      <c r="R121" s="260">
        <f>Q121*H121</f>
        <v>0</v>
      </c>
      <c r="S121" s="260">
        <v>0</v>
      </c>
      <c r="T121" s="261">
        <f>S121*H121</f>
        <v>0</v>
      </c>
      <c r="AR121" s="262" t="s">
        <v>192</v>
      </c>
      <c r="AT121" s="262" t="s">
        <v>187</v>
      </c>
      <c r="AU121" s="262" t="s">
        <v>123</v>
      </c>
      <c r="AY121" s="183" t="s">
        <v>183</v>
      </c>
      <c r="BE121" s="263">
        <f>IF(N121="základní",J121,0)</f>
        <v>0</v>
      </c>
      <c r="BF121" s="263">
        <f>IF(N121="snížená",J121,0)</f>
        <v>0</v>
      </c>
      <c r="BG121" s="263">
        <f>IF(N121="zákl. přenesená",J121,0)</f>
        <v>0</v>
      </c>
      <c r="BH121" s="263">
        <f>IF(N121="sníž. přenesená",J121,0)</f>
        <v>0</v>
      </c>
      <c r="BI121" s="263">
        <f>IF(N121="nulová",J121,0)</f>
        <v>0</v>
      </c>
      <c r="BJ121" s="183" t="s">
        <v>186</v>
      </c>
      <c r="BK121" s="263">
        <f>ROUND(I121*H121,2)</f>
        <v>0</v>
      </c>
      <c r="BL121" s="183" t="s">
        <v>192</v>
      </c>
      <c r="BM121" s="262" t="s">
        <v>279</v>
      </c>
    </row>
    <row r="122" spans="2:65" s="190" customFormat="1" x14ac:dyDescent="0.2">
      <c r="B122" s="191"/>
      <c r="D122" s="264" t="s">
        <v>194</v>
      </c>
      <c r="F122" s="265" t="s">
        <v>280</v>
      </c>
      <c r="L122" s="191"/>
      <c r="M122" s="266"/>
      <c r="T122" s="267"/>
      <c r="AT122" s="183" t="s">
        <v>194</v>
      </c>
      <c r="AU122" s="183" t="s">
        <v>123</v>
      </c>
    </row>
    <row r="123" spans="2:65" s="240" customFormat="1" ht="22.9" customHeight="1" x14ac:dyDescent="0.2">
      <c r="B123" s="241"/>
      <c r="D123" s="242" t="s">
        <v>180</v>
      </c>
      <c r="E123" s="250" t="s">
        <v>281</v>
      </c>
      <c r="F123" s="250" t="s">
        <v>282</v>
      </c>
      <c r="J123" s="251">
        <f>BK123</f>
        <v>0</v>
      </c>
      <c r="L123" s="241"/>
      <c r="M123" s="245"/>
      <c r="P123" s="246">
        <f>SUM(P124:P140)</f>
        <v>9.6790249999999993</v>
      </c>
      <c r="R123" s="246">
        <f>SUM(R124:R140)</f>
        <v>7.8700000000000003E-3</v>
      </c>
      <c r="T123" s="247">
        <f>SUM(T124:T140)</f>
        <v>0</v>
      </c>
      <c r="AR123" s="242" t="s">
        <v>123</v>
      </c>
      <c r="AT123" s="248" t="s">
        <v>180</v>
      </c>
      <c r="AU123" s="248" t="s">
        <v>186</v>
      </c>
      <c r="AY123" s="242" t="s">
        <v>183</v>
      </c>
      <c r="BK123" s="249">
        <f>SUM(BK124:BK140)</f>
        <v>0</v>
      </c>
    </row>
    <row r="124" spans="2:65" s="190" customFormat="1" ht="24.2" customHeight="1" x14ac:dyDescent="0.2">
      <c r="B124" s="191"/>
      <c r="C124" s="252" t="s">
        <v>283</v>
      </c>
      <c r="D124" s="252" t="s">
        <v>187</v>
      </c>
      <c r="E124" s="253" t="s">
        <v>284</v>
      </c>
      <c r="F124" s="254" t="s">
        <v>285</v>
      </c>
      <c r="G124" s="255" t="s">
        <v>266</v>
      </c>
      <c r="H124" s="256">
        <v>2</v>
      </c>
      <c r="I124" s="257"/>
      <c r="J124" s="257">
        <f>ROUND(I124*H124,2)</f>
        <v>0</v>
      </c>
      <c r="K124" s="254" t="s">
        <v>129</v>
      </c>
      <c r="L124" s="191"/>
      <c r="M124" s="258" t="s">
        <v>129</v>
      </c>
      <c r="N124" s="259" t="s">
        <v>144</v>
      </c>
      <c r="O124" s="260">
        <v>4.7539999999999996</v>
      </c>
      <c r="P124" s="260">
        <f>O124*H124</f>
        <v>9.5079999999999991</v>
      </c>
      <c r="Q124" s="260">
        <v>2.6099999999999999E-3</v>
      </c>
      <c r="R124" s="260">
        <f>Q124*H124</f>
        <v>5.2199999999999998E-3</v>
      </c>
      <c r="S124" s="260">
        <v>0</v>
      </c>
      <c r="T124" s="261">
        <f>S124*H124</f>
        <v>0</v>
      </c>
      <c r="AR124" s="262" t="s">
        <v>192</v>
      </c>
      <c r="AT124" s="262" t="s">
        <v>187</v>
      </c>
      <c r="AU124" s="262" t="s">
        <v>123</v>
      </c>
      <c r="AY124" s="183" t="s">
        <v>183</v>
      </c>
      <c r="BE124" s="263">
        <f>IF(N124="základní",J124,0)</f>
        <v>0</v>
      </c>
      <c r="BF124" s="263">
        <f>IF(N124="snížená",J124,0)</f>
        <v>0</v>
      </c>
      <c r="BG124" s="263">
        <f>IF(N124="zákl. přenesená",J124,0)</f>
        <v>0</v>
      </c>
      <c r="BH124" s="263">
        <f>IF(N124="sníž. přenesená",J124,0)</f>
        <v>0</v>
      </c>
      <c r="BI124" s="263">
        <f>IF(N124="nulová",J124,0)</f>
        <v>0</v>
      </c>
      <c r="BJ124" s="183" t="s">
        <v>186</v>
      </c>
      <c r="BK124" s="263">
        <f>ROUND(I124*H124,2)</f>
        <v>0</v>
      </c>
      <c r="BL124" s="183" t="s">
        <v>192</v>
      </c>
      <c r="BM124" s="262" t="s">
        <v>286</v>
      </c>
    </row>
    <row r="125" spans="2:65" s="190" customFormat="1" ht="66.75" customHeight="1" x14ac:dyDescent="0.2">
      <c r="B125" s="191"/>
      <c r="C125" s="268" t="s">
        <v>287</v>
      </c>
      <c r="D125" s="268" t="s">
        <v>196</v>
      </c>
      <c r="E125" s="269" t="s">
        <v>288</v>
      </c>
      <c r="F125" s="270" t="s">
        <v>289</v>
      </c>
      <c r="G125" s="271" t="s">
        <v>241</v>
      </c>
      <c r="H125" s="272">
        <v>2</v>
      </c>
      <c r="I125" s="273"/>
      <c r="J125" s="273">
        <f>ROUND(I125*H125,2)</f>
        <v>0</v>
      </c>
      <c r="K125" s="270" t="s">
        <v>129</v>
      </c>
      <c r="L125" s="274"/>
      <c r="M125" s="275" t="s">
        <v>129</v>
      </c>
      <c r="N125" s="276" t="s">
        <v>144</v>
      </c>
      <c r="O125" s="260">
        <v>0</v>
      </c>
      <c r="P125" s="260">
        <f>O125*H125</f>
        <v>0</v>
      </c>
      <c r="Q125" s="260">
        <v>0</v>
      </c>
      <c r="R125" s="260">
        <f>Q125*H125</f>
        <v>0</v>
      </c>
      <c r="S125" s="260">
        <v>0</v>
      </c>
      <c r="T125" s="261">
        <f>S125*H125</f>
        <v>0</v>
      </c>
      <c r="AR125" s="262" t="s">
        <v>290</v>
      </c>
      <c r="AT125" s="262" t="s">
        <v>196</v>
      </c>
      <c r="AU125" s="262" t="s">
        <v>123</v>
      </c>
      <c r="AY125" s="183" t="s">
        <v>183</v>
      </c>
      <c r="BE125" s="263">
        <f>IF(N125="základní",J125,0)</f>
        <v>0</v>
      </c>
      <c r="BF125" s="263">
        <f>IF(N125="snížená",J125,0)</f>
        <v>0</v>
      </c>
      <c r="BG125" s="263">
        <f>IF(N125="zákl. přenesená",J125,0)</f>
        <v>0</v>
      </c>
      <c r="BH125" s="263">
        <f>IF(N125="sníž. přenesená",J125,0)</f>
        <v>0</v>
      </c>
      <c r="BI125" s="263">
        <f>IF(N125="nulová",J125,0)</f>
        <v>0</v>
      </c>
      <c r="BJ125" s="183" t="s">
        <v>186</v>
      </c>
      <c r="BK125" s="263">
        <f>ROUND(I125*H125,2)</f>
        <v>0</v>
      </c>
      <c r="BL125" s="183" t="s">
        <v>290</v>
      </c>
      <c r="BM125" s="262" t="s">
        <v>291</v>
      </c>
    </row>
    <row r="126" spans="2:65" s="190" customFormat="1" ht="156" x14ac:dyDescent="0.2">
      <c r="B126" s="191"/>
      <c r="D126" s="277" t="s">
        <v>292</v>
      </c>
      <c r="F126" s="278" t="s">
        <v>293</v>
      </c>
      <c r="L126" s="191"/>
      <c r="M126" s="266"/>
      <c r="T126" s="267"/>
      <c r="AT126" s="183" t="s">
        <v>292</v>
      </c>
      <c r="AU126" s="183" t="s">
        <v>123</v>
      </c>
    </row>
    <row r="127" spans="2:65" s="190" customFormat="1" ht="62.65" customHeight="1" x14ac:dyDescent="0.2">
      <c r="B127" s="191"/>
      <c r="C127" s="268" t="s">
        <v>294</v>
      </c>
      <c r="D127" s="268" t="s">
        <v>196</v>
      </c>
      <c r="E127" s="269" t="s">
        <v>295</v>
      </c>
      <c r="F127" s="270" t="s">
        <v>296</v>
      </c>
      <c r="G127" s="271" t="s">
        <v>241</v>
      </c>
      <c r="H127" s="272">
        <v>2</v>
      </c>
      <c r="I127" s="273"/>
      <c r="J127" s="273">
        <f>ROUND(I127*H127,2)</f>
        <v>0</v>
      </c>
      <c r="K127" s="270" t="s">
        <v>129</v>
      </c>
      <c r="L127" s="274"/>
      <c r="M127" s="275" t="s">
        <v>129</v>
      </c>
      <c r="N127" s="276" t="s">
        <v>144</v>
      </c>
      <c r="O127" s="260">
        <v>0</v>
      </c>
      <c r="P127" s="260">
        <f>O127*H127</f>
        <v>0</v>
      </c>
      <c r="Q127" s="260">
        <v>0</v>
      </c>
      <c r="R127" s="260">
        <f>Q127*H127</f>
        <v>0</v>
      </c>
      <c r="S127" s="260">
        <v>0</v>
      </c>
      <c r="T127" s="261">
        <f>S127*H127</f>
        <v>0</v>
      </c>
      <c r="AR127" s="262" t="s">
        <v>290</v>
      </c>
      <c r="AT127" s="262" t="s">
        <v>196</v>
      </c>
      <c r="AU127" s="262" t="s">
        <v>123</v>
      </c>
      <c r="AY127" s="183" t="s">
        <v>183</v>
      </c>
      <c r="BE127" s="263">
        <f>IF(N127="základní",J127,0)</f>
        <v>0</v>
      </c>
      <c r="BF127" s="263">
        <f>IF(N127="snížená",J127,0)</f>
        <v>0</v>
      </c>
      <c r="BG127" s="263">
        <f>IF(N127="zákl. přenesená",J127,0)</f>
        <v>0</v>
      </c>
      <c r="BH127" s="263">
        <f>IF(N127="sníž. přenesená",J127,0)</f>
        <v>0</v>
      </c>
      <c r="BI127" s="263">
        <f>IF(N127="nulová",J127,0)</f>
        <v>0</v>
      </c>
      <c r="BJ127" s="183" t="s">
        <v>186</v>
      </c>
      <c r="BK127" s="263">
        <f>ROUND(I127*H127,2)</f>
        <v>0</v>
      </c>
      <c r="BL127" s="183" t="s">
        <v>290</v>
      </c>
      <c r="BM127" s="262" t="s">
        <v>297</v>
      </c>
    </row>
    <row r="128" spans="2:65" s="190" customFormat="1" ht="78" x14ac:dyDescent="0.2">
      <c r="B128" s="191"/>
      <c r="D128" s="277" t="s">
        <v>292</v>
      </c>
      <c r="F128" s="278" t="s">
        <v>298</v>
      </c>
      <c r="L128" s="191"/>
      <c r="M128" s="266"/>
      <c r="T128" s="267"/>
      <c r="AT128" s="183" t="s">
        <v>292</v>
      </c>
      <c r="AU128" s="183" t="s">
        <v>123</v>
      </c>
    </row>
    <row r="129" spans="2:65" s="190" customFormat="1" ht="24.2" customHeight="1" x14ac:dyDescent="0.2">
      <c r="B129" s="191"/>
      <c r="C129" s="268" t="s">
        <v>299</v>
      </c>
      <c r="D129" s="268" t="s">
        <v>196</v>
      </c>
      <c r="E129" s="269" t="s">
        <v>300</v>
      </c>
      <c r="F129" s="270" t="s">
        <v>301</v>
      </c>
      <c r="G129" s="271" t="s">
        <v>241</v>
      </c>
      <c r="H129" s="272">
        <v>1</v>
      </c>
      <c r="I129" s="273"/>
      <c r="J129" s="273">
        <f>ROUND(I129*H129,2)</f>
        <v>0</v>
      </c>
      <c r="K129" s="270" t="s">
        <v>129</v>
      </c>
      <c r="L129" s="274"/>
      <c r="M129" s="275" t="s">
        <v>129</v>
      </c>
      <c r="N129" s="276" t="s">
        <v>144</v>
      </c>
      <c r="O129" s="260">
        <v>0</v>
      </c>
      <c r="P129" s="260">
        <f>O129*H129</f>
        <v>0</v>
      </c>
      <c r="Q129" s="260">
        <v>0</v>
      </c>
      <c r="R129" s="260">
        <f>Q129*H129</f>
        <v>0</v>
      </c>
      <c r="S129" s="260">
        <v>0</v>
      </c>
      <c r="T129" s="261">
        <f>S129*H129</f>
        <v>0</v>
      </c>
      <c r="AR129" s="262" t="s">
        <v>290</v>
      </c>
      <c r="AT129" s="262" t="s">
        <v>196</v>
      </c>
      <c r="AU129" s="262" t="s">
        <v>123</v>
      </c>
      <c r="AY129" s="183" t="s">
        <v>183</v>
      </c>
      <c r="BE129" s="263">
        <f>IF(N129="základní",J129,0)</f>
        <v>0</v>
      </c>
      <c r="BF129" s="263">
        <f>IF(N129="snížená",J129,0)</f>
        <v>0</v>
      </c>
      <c r="BG129" s="263">
        <f>IF(N129="zákl. přenesená",J129,0)</f>
        <v>0</v>
      </c>
      <c r="BH129" s="263">
        <f>IF(N129="sníž. přenesená",J129,0)</f>
        <v>0</v>
      </c>
      <c r="BI129" s="263">
        <f>IF(N129="nulová",J129,0)</f>
        <v>0</v>
      </c>
      <c r="BJ129" s="183" t="s">
        <v>186</v>
      </c>
      <c r="BK129" s="263">
        <f>ROUND(I129*H129,2)</f>
        <v>0</v>
      </c>
      <c r="BL129" s="183" t="s">
        <v>290</v>
      </c>
      <c r="BM129" s="262" t="s">
        <v>302</v>
      </c>
    </row>
    <row r="130" spans="2:65" s="190" customFormat="1" ht="33" customHeight="1" x14ac:dyDescent="0.2">
      <c r="B130" s="191"/>
      <c r="C130" s="268" t="s">
        <v>303</v>
      </c>
      <c r="D130" s="268" t="s">
        <v>196</v>
      </c>
      <c r="E130" s="269" t="s">
        <v>304</v>
      </c>
      <c r="F130" s="270" t="s">
        <v>305</v>
      </c>
      <c r="G130" s="271" t="s">
        <v>241</v>
      </c>
      <c r="H130" s="272">
        <v>2</v>
      </c>
      <c r="I130" s="273"/>
      <c r="J130" s="273">
        <f>ROUND(I130*H130,2)</f>
        <v>0</v>
      </c>
      <c r="K130" s="270" t="s">
        <v>129</v>
      </c>
      <c r="L130" s="274"/>
      <c r="M130" s="275" t="s">
        <v>129</v>
      </c>
      <c r="N130" s="276" t="s">
        <v>144</v>
      </c>
      <c r="O130" s="260">
        <v>0</v>
      </c>
      <c r="P130" s="260">
        <f>O130*H130</f>
        <v>0</v>
      </c>
      <c r="Q130" s="260">
        <v>0</v>
      </c>
      <c r="R130" s="260">
        <f>Q130*H130</f>
        <v>0</v>
      </c>
      <c r="S130" s="260">
        <v>0</v>
      </c>
      <c r="T130" s="261">
        <f>S130*H130</f>
        <v>0</v>
      </c>
      <c r="AR130" s="262" t="s">
        <v>290</v>
      </c>
      <c r="AT130" s="262" t="s">
        <v>196</v>
      </c>
      <c r="AU130" s="262" t="s">
        <v>123</v>
      </c>
      <c r="AY130" s="183" t="s">
        <v>183</v>
      </c>
      <c r="BE130" s="263">
        <f>IF(N130="základní",J130,0)</f>
        <v>0</v>
      </c>
      <c r="BF130" s="263">
        <f>IF(N130="snížená",J130,0)</f>
        <v>0</v>
      </c>
      <c r="BG130" s="263">
        <f>IF(N130="zákl. přenesená",J130,0)</f>
        <v>0</v>
      </c>
      <c r="BH130" s="263">
        <f>IF(N130="sníž. přenesená",J130,0)</f>
        <v>0</v>
      </c>
      <c r="BI130" s="263">
        <f>IF(N130="nulová",J130,0)</f>
        <v>0</v>
      </c>
      <c r="BJ130" s="183" t="s">
        <v>186</v>
      </c>
      <c r="BK130" s="263">
        <f>ROUND(I130*H130,2)</f>
        <v>0</v>
      </c>
      <c r="BL130" s="183" t="s">
        <v>290</v>
      </c>
      <c r="BM130" s="262" t="s">
        <v>306</v>
      </c>
    </row>
    <row r="131" spans="2:65" s="190" customFormat="1" ht="16.5" customHeight="1" x14ac:dyDescent="0.2">
      <c r="B131" s="191"/>
      <c r="C131" s="268" t="s">
        <v>307</v>
      </c>
      <c r="D131" s="268" t="s">
        <v>196</v>
      </c>
      <c r="E131" s="269" t="s">
        <v>308</v>
      </c>
      <c r="F131" s="270" t="s">
        <v>309</v>
      </c>
      <c r="G131" s="271" t="s">
        <v>241</v>
      </c>
      <c r="H131" s="272">
        <v>2</v>
      </c>
      <c r="I131" s="273"/>
      <c r="J131" s="273">
        <f>ROUND(I131*H131,2)</f>
        <v>0</v>
      </c>
      <c r="K131" s="270" t="s">
        <v>129</v>
      </c>
      <c r="L131" s="274"/>
      <c r="M131" s="275" t="s">
        <v>129</v>
      </c>
      <c r="N131" s="276" t="s">
        <v>144</v>
      </c>
      <c r="O131" s="260">
        <v>0</v>
      </c>
      <c r="P131" s="260">
        <f>O131*H131</f>
        <v>0</v>
      </c>
      <c r="Q131" s="260">
        <v>0</v>
      </c>
      <c r="R131" s="260">
        <f>Q131*H131</f>
        <v>0</v>
      </c>
      <c r="S131" s="260">
        <v>0</v>
      </c>
      <c r="T131" s="261">
        <f>S131*H131</f>
        <v>0</v>
      </c>
      <c r="AR131" s="262" t="s">
        <v>290</v>
      </c>
      <c r="AT131" s="262" t="s">
        <v>196</v>
      </c>
      <c r="AU131" s="262" t="s">
        <v>123</v>
      </c>
      <c r="AY131" s="183" t="s">
        <v>183</v>
      </c>
      <c r="BE131" s="263">
        <f>IF(N131="základní",J131,0)</f>
        <v>0</v>
      </c>
      <c r="BF131" s="263">
        <f>IF(N131="snížená",J131,0)</f>
        <v>0</v>
      </c>
      <c r="BG131" s="263">
        <f>IF(N131="zákl. přenesená",J131,0)</f>
        <v>0</v>
      </c>
      <c r="BH131" s="263">
        <f>IF(N131="sníž. přenesená",J131,0)</f>
        <v>0</v>
      </c>
      <c r="BI131" s="263">
        <f>IF(N131="nulová",J131,0)</f>
        <v>0</v>
      </c>
      <c r="BJ131" s="183" t="s">
        <v>186</v>
      </c>
      <c r="BK131" s="263">
        <f>ROUND(I131*H131,2)</f>
        <v>0</v>
      </c>
      <c r="BL131" s="183" t="s">
        <v>290</v>
      </c>
      <c r="BM131" s="262" t="s">
        <v>310</v>
      </c>
    </row>
    <row r="132" spans="2:65" s="190" customFormat="1" ht="38.65" customHeight="1" x14ac:dyDescent="0.2">
      <c r="B132" s="191"/>
      <c r="C132" s="268" t="s">
        <v>311</v>
      </c>
      <c r="D132" s="268" t="s">
        <v>196</v>
      </c>
      <c r="E132" s="269" t="s">
        <v>312</v>
      </c>
      <c r="F132" s="270" t="s">
        <v>313</v>
      </c>
      <c r="G132" s="271" t="s">
        <v>241</v>
      </c>
      <c r="H132" s="272">
        <v>6</v>
      </c>
      <c r="I132" s="273"/>
      <c r="J132" s="273">
        <f>ROUND(I132*H132,2)</f>
        <v>0</v>
      </c>
      <c r="K132" s="270" t="s">
        <v>129</v>
      </c>
      <c r="L132" s="274"/>
      <c r="M132" s="275" t="s">
        <v>129</v>
      </c>
      <c r="N132" s="276" t="s">
        <v>144</v>
      </c>
      <c r="O132" s="260">
        <v>0</v>
      </c>
      <c r="P132" s="260">
        <f>O132*H132</f>
        <v>0</v>
      </c>
      <c r="Q132" s="260">
        <v>0</v>
      </c>
      <c r="R132" s="260">
        <f>Q132*H132</f>
        <v>0</v>
      </c>
      <c r="S132" s="260">
        <v>0</v>
      </c>
      <c r="T132" s="261">
        <f>S132*H132</f>
        <v>0</v>
      </c>
      <c r="AR132" s="262" t="s">
        <v>290</v>
      </c>
      <c r="AT132" s="262" t="s">
        <v>196</v>
      </c>
      <c r="AU132" s="262" t="s">
        <v>123</v>
      </c>
      <c r="AY132" s="183" t="s">
        <v>183</v>
      </c>
      <c r="BE132" s="263">
        <f>IF(N132="základní",J132,0)</f>
        <v>0</v>
      </c>
      <c r="BF132" s="263">
        <f>IF(N132="snížená",J132,0)</f>
        <v>0</v>
      </c>
      <c r="BG132" s="263">
        <f>IF(N132="zákl. přenesená",J132,0)</f>
        <v>0</v>
      </c>
      <c r="BH132" s="263">
        <f>IF(N132="sníž. přenesená",J132,0)</f>
        <v>0</v>
      </c>
      <c r="BI132" s="263">
        <f>IF(N132="nulová",J132,0)</f>
        <v>0</v>
      </c>
      <c r="BJ132" s="183" t="s">
        <v>186</v>
      </c>
      <c r="BK132" s="263">
        <f>ROUND(I132*H132,2)</f>
        <v>0</v>
      </c>
      <c r="BL132" s="183" t="s">
        <v>290</v>
      </c>
      <c r="BM132" s="262" t="s">
        <v>314</v>
      </c>
    </row>
    <row r="133" spans="2:65" s="190" customFormat="1" ht="24.2" customHeight="1" x14ac:dyDescent="0.2">
      <c r="B133" s="191"/>
      <c r="C133" s="268" t="s">
        <v>315</v>
      </c>
      <c r="D133" s="268" t="s">
        <v>196</v>
      </c>
      <c r="E133" s="269" t="s">
        <v>316</v>
      </c>
      <c r="F133" s="270" t="s">
        <v>317</v>
      </c>
      <c r="G133" s="271" t="s">
        <v>241</v>
      </c>
      <c r="H133" s="272">
        <v>2</v>
      </c>
      <c r="I133" s="273"/>
      <c r="J133" s="273">
        <f>ROUND(I133*H133,2)</f>
        <v>0</v>
      </c>
      <c r="K133" s="270" t="s">
        <v>129</v>
      </c>
      <c r="L133" s="274"/>
      <c r="M133" s="275" t="s">
        <v>129</v>
      </c>
      <c r="N133" s="276" t="s">
        <v>144</v>
      </c>
      <c r="O133" s="260">
        <v>0</v>
      </c>
      <c r="P133" s="260">
        <f>O133*H133</f>
        <v>0</v>
      </c>
      <c r="Q133" s="260">
        <v>0</v>
      </c>
      <c r="R133" s="260">
        <f>Q133*H133</f>
        <v>0</v>
      </c>
      <c r="S133" s="260">
        <v>0</v>
      </c>
      <c r="T133" s="261">
        <f>S133*H133</f>
        <v>0</v>
      </c>
      <c r="AR133" s="262" t="s">
        <v>290</v>
      </c>
      <c r="AT133" s="262" t="s">
        <v>196</v>
      </c>
      <c r="AU133" s="262" t="s">
        <v>123</v>
      </c>
      <c r="AY133" s="183" t="s">
        <v>183</v>
      </c>
      <c r="BE133" s="263">
        <f>IF(N133="základní",J133,0)</f>
        <v>0</v>
      </c>
      <c r="BF133" s="263">
        <f>IF(N133="snížená",J133,0)</f>
        <v>0</v>
      </c>
      <c r="BG133" s="263">
        <f>IF(N133="zákl. přenesená",J133,0)</f>
        <v>0</v>
      </c>
      <c r="BH133" s="263">
        <f>IF(N133="sníž. přenesená",J133,0)</f>
        <v>0</v>
      </c>
      <c r="BI133" s="263">
        <f>IF(N133="nulová",J133,0)</f>
        <v>0</v>
      </c>
      <c r="BJ133" s="183" t="s">
        <v>186</v>
      </c>
      <c r="BK133" s="263">
        <f>ROUND(I133*H133,2)</f>
        <v>0</v>
      </c>
      <c r="BL133" s="183" t="s">
        <v>290</v>
      </c>
      <c r="BM133" s="262" t="s">
        <v>318</v>
      </c>
    </row>
    <row r="134" spans="2:65" s="190" customFormat="1" ht="185.25" x14ac:dyDescent="0.2">
      <c r="B134" s="191"/>
      <c r="D134" s="277" t="s">
        <v>292</v>
      </c>
      <c r="F134" s="278" t="s">
        <v>319</v>
      </c>
      <c r="L134" s="191"/>
      <c r="M134" s="266"/>
      <c r="T134" s="267"/>
      <c r="AT134" s="183" t="s">
        <v>292</v>
      </c>
      <c r="AU134" s="183" t="s">
        <v>123</v>
      </c>
    </row>
    <row r="135" spans="2:65" s="190" customFormat="1" ht="16.5" customHeight="1" x14ac:dyDescent="0.2">
      <c r="B135" s="191"/>
      <c r="C135" s="252" t="s">
        <v>320</v>
      </c>
      <c r="D135" s="252" t="s">
        <v>187</v>
      </c>
      <c r="E135" s="253" t="s">
        <v>321</v>
      </c>
      <c r="F135" s="254" t="s">
        <v>322</v>
      </c>
      <c r="G135" s="255" t="s">
        <v>190</v>
      </c>
      <c r="H135" s="256">
        <v>5</v>
      </c>
      <c r="I135" s="257"/>
      <c r="J135" s="257">
        <f>ROUND(I135*H135,2)</f>
        <v>0</v>
      </c>
      <c r="K135" s="254" t="s">
        <v>191</v>
      </c>
      <c r="L135" s="191"/>
      <c r="M135" s="258" t="s">
        <v>129</v>
      </c>
      <c r="N135" s="259" t="s">
        <v>144</v>
      </c>
      <c r="O135" s="260">
        <v>3.1E-2</v>
      </c>
      <c r="P135" s="260">
        <f>O135*H135</f>
        <v>0.155</v>
      </c>
      <c r="Q135" s="260">
        <v>5.2999999999999998E-4</v>
      </c>
      <c r="R135" s="260">
        <f>Q135*H135</f>
        <v>2.65E-3</v>
      </c>
      <c r="S135" s="260">
        <v>0</v>
      </c>
      <c r="T135" s="261">
        <f>S135*H135</f>
        <v>0</v>
      </c>
      <c r="AR135" s="262" t="s">
        <v>323</v>
      </c>
      <c r="AT135" s="262" t="s">
        <v>187</v>
      </c>
      <c r="AU135" s="262" t="s">
        <v>123</v>
      </c>
      <c r="AY135" s="183" t="s">
        <v>183</v>
      </c>
      <c r="BE135" s="263">
        <f>IF(N135="základní",J135,0)</f>
        <v>0</v>
      </c>
      <c r="BF135" s="263">
        <f>IF(N135="snížená",J135,0)</f>
        <v>0</v>
      </c>
      <c r="BG135" s="263">
        <f>IF(N135="zákl. přenesená",J135,0)</f>
        <v>0</v>
      </c>
      <c r="BH135" s="263">
        <f>IF(N135="sníž. přenesená",J135,0)</f>
        <v>0</v>
      </c>
      <c r="BI135" s="263">
        <f>IF(N135="nulová",J135,0)</f>
        <v>0</v>
      </c>
      <c r="BJ135" s="183" t="s">
        <v>186</v>
      </c>
      <c r="BK135" s="263">
        <f>ROUND(I135*H135,2)</f>
        <v>0</v>
      </c>
      <c r="BL135" s="183" t="s">
        <v>323</v>
      </c>
      <c r="BM135" s="262" t="s">
        <v>324</v>
      </c>
    </row>
    <row r="136" spans="2:65" s="190" customFormat="1" x14ac:dyDescent="0.2">
      <c r="B136" s="191"/>
      <c r="D136" s="264" t="s">
        <v>194</v>
      </c>
      <c r="F136" s="265" t="s">
        <v>325</v>
      </c>
      <c r="L136" s="191"/>
      <c r="M136" s="266"/>
      <c r="T136" s="267"/>
      <c r="AT136" s="183" t="s">
        <v>194</v>
      </c>
      <c r="AU136" s="183" t="s">
        <v>123</v>
      </c>
    </row>
    <row r="137" spans="2:65" s="190" customFormat="1" ht="44.25" customHeight="1" x14ac:dyDescent="0.2">
      <c r="B137" s="191"/>
      <c r="C137" s="268" t="s">
        <v>326</v>
      </c>
      <c r="D137" s="268" t="s">
        <v>196</v>
      </c>
      <c r="E137" s="269" t="s">
        <v>327</v>
      </c>
      <c r="F137" s="270" t="s">
        <v>328</v>
      </c>
      <c r="G137" s="271" t="s">
        <v>329</v>
      </c>
      <c r="H137" s="272">
        <v>60</v>
      </c>
      <c r="I137" s="273"/>
      <c r="J137" s="273">
        <f>ROUND(I137*H137,2)</f>
        <v>0</v>
      </c>
      <c r="K137" s="270" t="s">
        <v>129</v>
      </c>
      <c r="L137" s="274"/>
      <c r="M137" s="275" t="s">
        <v>129</v>
      </c>
      <c r="N137" s="276" t="s">
        <v>144</v>
      </c>
      <c r="O137" s="260">
        <v>0</v>
      </c>
      <c r="P137" s="260">
        <f>O137*H137</f>
        <v>0</v>
      </c>
      <c r="Q137" s="260">
        <v>0</v>
      </c>
      <c r="R137" s="260">
        <f>Q137*H137</f>
        <v>0</v>
      </c>
      <c r="S137" s="260">
        <v>0</v>
      </c>
      <c r="T137" s="261">
        <f>S137*H137</f>
        <v>0</v>
      </c>
      <c r="AR137" s="262" t="s">
        <v>290</v>
      </c>
      <c r="AT137" s="262" t="s">
        <v>196</v>
      </c>
      <c r="AU137" s="262" t="s">
        <v>123</v>
      </c>
      <c r="AY137" s="183" t="s">
        <v>183</v>
      </c>
      <c r="BE137" s="263">
        <f>IF(N137="základní",J137,0)</f>
        <v>0</v>
      </c>
      <c r="BF137" s="263">
        <f>IF(N137="snížená",J137,0)</f>
        <v>0</v>
      </c>
      <c r="BG137" s="263">
        <f>IF(N137="zákl. přenesená",J137,0)</f>
        <v>0</v>
      </c>
      <c r="BH137" s="263">
        <f>IF(N137="sníž. přenesená",J137,0)</f>
        <v>0</v>
      </c>
      <c r="BI137" s="263">
        <f>IF(N137="nulová",J137,0)</f>
        <v>0</v>
      </c>
      <c r="BJ137" s="183" t="s">
        <v>186</v>
      </c>
      <c r="BK137" s="263">
        <f>ROUND(I137*H137,2)</f>
        <v>0</v>
      </c>
      <c r="BL137" s="183" t="s">
        <v>290</v>
      </c>
      <c r="BM137" s="262" t="s">
        <v>330</v>
      </c>
    </row>
    <row r="138" spans="2:65" s="190" customFormat="1" ht="21.75" customHeight="1" x14ac:dyDescent="0.2">
      <c r="B138" s="191"/>
      <c r="C138" s="252" t="s">
        <v>331</v>
      </c>
      <c r="D138" s="252" t="s">
        <v>187</v>
      </c>
      <c r="E138" s="253" t="s">
        <v>332</v>
      </c>
      <c r="F138" s="254" t="s">
        <v>333</v>
      </c>
      <c r="G138" s="255" t="s">
        <v>266</v>
      </c>
      <c r="H138" s="256">
        <v>1</v>
      </c>
      <c r="I138" s="257"/>
      <c r="J138" s="257">
        <f>ROUND(I138*H138,2)</f>
        <v>0</v>
      </c>
      <c r="K138" s="254" t="s">
        <v>129</v>
      </c>
      <c r="L138" s="191"/>
      <c r="M138" s="258" t="s">
        <v>129</v>
      </c>
      <c r="N138" s="259" t="s">
        <v>144</v>
      </c>
      <c r="O138" s="260">
        <v>0</v>
      </c>
      <c r="P138" s="260">
        <f>O138*H138</f>
        <v>0</v>
      </c>
      <c r="Q138" s="260">
        <v>0</v>
      </c>
      <c r="R138" s="260">
        <f>Q138*H138</f>
        <v>0</v>
      </c>
      <c r="S138" s="260">
        <v>0</v>
      </c>
      <c r="T138" s="261">
        <f>S138*H138</f>
        <v>0</v>
      </c>
      <c r="AR138" s="262" t="s">
        <v>323</v>
      </c>
      <c r="AT138" s="262" t="s">
        <v>187</v>
      </c>
      <c r="AU138" s="262" t="s">
        <v>123</v>
      </c>
      <c r="AY138" s="183" t="s">
        <v>183</v>
      </c>
      <c r="BE138" s="263">
        <f>IF(N138="základní",J138,0)</f>
        <v>0</v>
      </c>
      <c r="BF138" s="263">
        <f>IF(N138="snížená",J138,0)</f>
        <v>0</v>
      </c>
      <c r="BG138" s="263">
        <f>IF(N138="zákl. přenesená",J138,0)</f>
        <v>0</v>
      </c>
      <c r="BH138" s="263">
        <f>IF(N138="sníž. přenesená",J138,0)</f>
        <v>0</v>
      </c>
      <c r="BI138" s="263">
        <f>IF(N138="nulová",J138,0)</f>
        <v>0</v>
      </c>
      <c r="BJ138" s="183" t="s">
        <v>186</v>
      </c>
      <c r="BK138" s="263">
        <f>ROUND(I138*H138,2)</f>
        <v>0</v>
      </c>
      <c r="BL138" s="183" t="s">
        <v>323</v>
      </c>
      <c r="BM138" s="262" t="s">
        <v>334</v>
      </c>
    </row>
    <row r="139" spans="2:65" s="190" customFormat="1" ht="49.15" customHeight="1" x14ac:dyDescent="0.2">
      <c r="B139" s="191"/>
      <c r="C139" s="252" t="s">
        <v>335</v>
      </c>
      <c r="D139" s="252" t="s">
        <v>187</v>
      </c>
      <c r="E139" s="253" t="s">
        <v>336</v>
      </c>
      <c r="F139" s="254" t="s">
        <v>337</v>
      </c>
      <c r="G139" s="255" t="s">
        <v>228</v>
      </c>
      <c r="H139" s="256">
        <v>5.0000000000000001E-3</v>
      </c>
      <c r="I139" s="257"/>
      <c r="J139" s="257">
        <f>ROUND(I139*H139,2)</f>
        <v>0</v>
      </c>
      <c r="K139" s="254" t="s">
        <v>191</v>
      </c>
      <c r="L139" s="191"/>
      <c r="M139" s="258" t="s">
        <v>129</v>
      </c>
      <c r="N139" s="259" t="s">
        <v>144</v>
      </c>
      <c r="O139" s="260">
        <v>3.2050000000000001</v>
      </c>
      <c r="P139" s="260">
        <f>O139*H139</f>
        <v>1.6025000000000001E-2</v>
      </c>
      <c r="Q139" s="260">
        <v>0</v>
      </c>
      <c r="R139" s="260">
        <f>Q139*H139</f>
        <v>0</v>
      </c>
      <c r="S139" s="260">
        <v>0</v>
      </c>
      <c r="T139" s="261">
        <f>S139*H139</f>
        <v>0</v>
      </c>
      <c r="AR139" s="262" t="s">
        <v>192</v>
      </c>
      <c r="AT139" s="262" t="s">
        <v>187</v>
      </c>
      <c r="AU139" s="262" t="s">
        <v>123</v>
      </c>
      <c r="AY139" s="183" t="s">
        <v>183</v>
      </c>
      <c r="BE139" s="263">
        <f>IF(N139="základní",J139,0)</f>
        <v>0</v>
      </c>
      <c r="BF139" s="263">
        <f>IF(N139="snížená",J139,0)</f>
        <v>0</v>
      </c>
      <c r="BG139" s="263">
        <f>IF(N139="zákl. přenesená",J139,0)</f>
        <v>0</v>
      </c>
      <c r="BH139" s="263">
        <f>IF(N139="sníž. přenesená",J139,0)</f>
        <v>0</v>
      </c>
      <c r="BI139" s="263">
        <f>IF(N139="nulová",J139,0)</f>
        <v>0</v>
      </c>
      <c r="BJ139" s="183" t="s">
        <v>186</v>
      </c>
      <c r="BK139" s="263">
        <f>ROUND(I139*H139,2)</f>
        <v>0</v>
      </c>
      <c r="BL139" s="183" t="s">
        <v>192</v>
      </c>
      <c r="BM139" s="262" t="s">
        <v>338</v>
      </c>
    </row>
    <row r="140" spans="2:65" s="190" customFormat="1" x14ac:dyDescent="0.2">
      <c r="B140" s="191"/>
      <c r="D140" s="264" t="s">
        <v>194</v>
      </c>
      <c r="F140" s="265" t="s">
        <v>339</v>
      </c>
      <c r="L140" s="191"/>
      <c r="M140" s="266"/>
      <c r="T140" s="267"/>
      <c r="AT140" s="183" t="s">
        <v>194</v>
      </c>
      <c r="AU140" s="183" t="s">
        <v>123</v>
      </c>
    </row>
    <row r="141" spans="2:65" s="240" customFormat="1" ht="22.9" customHeight="1" x14ac:dyDescent="0.2">
      <c r="B141" s="241"/>
      <c r="D141" s="242" t="s">
        <v>180</v>
      </c>
      <c r="E141" s="250" t="s">
        <v>340</v>
      </c>
      <c r="F141" s="250" t="s">
        <v>341</v>
      </c>
      <c r="J141" s="251">
        <f>BK141</f>
        <v>0</v>
      </c>
      <c r="L141" s="241"/>
      <c r="M141" s="245"/>
      <c r="P141" s="246">
        <f>SUM(P142:P164)</f>
        <v>29.858171000000002</v>
      </c>
      <c r="R141" s="246">
        <f>SUM(R142:R164)</f>
        <v>0.29897307649999993</v>
      </c>
      <c r="T141" s="247">
        <f>SUM(T142:T164)</f>
        <v>0.224</v>
      </c>
      <c r="AR141" s="242" t="s">
        <v>123</v>
      </c>
      <c r="AT141" s="248" t="s">
        <v>180</v>
      </c>
      <c r="AU141" s="248" t="s">
        <v>186</v>
      </c>
      <c r="AY141" s="242" t="s">
        <v>183</v>
      </c>
      <c r="BK141" s="249">
        <f>SUM(BK142:BK164)</f>
        <v>0</v>
      </c>
    </row>
    <row r="142" spans="2:65" s="190" customFormat="1" ht="24.2" customHeight="1" x14ac:dyDescent="0.2">
      <c r="B142" s="191"/>
      <c r="C142" s="252" t="s">
        <v>199</v>
      </c>
      <c r="D142" s="252" t="s">
        <v>187</v>
      </c>
      <c r="E142" s="253" t="s">
        <v>342</v>
      </c>
      <c r="F142" s="254" t="s">
        <v>343</v>
      </c>
      <c r="G142" s="255" t="s">
        <v>266</v>
      </c>
      <c r="H142" s="256">
        <v>3</v>
      </c>
      <c r="I142" s="257"/>
      <c r="J142" s="257">
        <f>ROUND(I142*H142,2)</f>
        <v>0</v>
      </c>
      <c r="K142" s="254" t="s">
        <v>191</v>
      </c>
      <c r="L142" s="191"/>
      <c r="M142" s="258" t="s">
        <v>129</v>
      </c>
      <c r="N142" s="259" t="s">
        <v>144</v>
      </c>
      <c r="O142" s="260">
        <v>5.7240000000000002</v>
      </c>
      <c r="P142" s="260">
        <f>O142*H142</f>
        <v>17.172000000000001</v>
      </c>
      <c r="Q142" s="260">
        <v>1.023E-2</v>
      </c>
      <c r="R142" s="260">
        <f>Q142*H142</f>
        <v>3.0689999999999999E-2</v>
      </c>
      <c r="S142" s="260">
        <v>0</v>
      </c>
      <c r="T142" s="261">
        <f>S142*H142</f>
        <v>0</v>
      </c>
      <c r="AR142" s="262" t="s">
        <v>192</v>
      </c>
      <c r="AT142" s="262" t="s">
        <v>187</v>
      </c>
      <c r="AU142" s="262" t="s">
        <v>123</v>
      </c>
      <c r="AY142" s="183" t="s">
        <v>183</v>
      </c>
      <c r="BE142" s="263">
        <f>IF(N142="základní",J142,0)</f>
        <v>0</v>
      </c>
      <c r="BF142" s="263">
        <f>IF(N142="snížená",J142,0)</f>
        <v>0</v>
      </c>
      <c r="BG142" s="263">
        <f>IF(N142="zákl. přenesená",J142,0)</f>
        <v>0</v>
      </c>
      <c r="BH142" s="263">
        <f>IF(N142="sníž. přenesená",J142,0)</f>
        <v>0</v>
      </c>
      <c r="BI142" s="263">
        <f>IF(N142="nulová",J142,0)</f>
        <v>0</v>
      </c>
      <c r="BJ142" s="183" t="s">
        <v>186</v>
      </c>
      <c r="BK142" s="263">
        <f>ROUND(I142*H142,2)</f>
        <v>0</v>
      </c>
      <c r="BL142" s="183" t="s">
        <v>192</v>
      </c>
      <c r="BM142" s="262" t="s">
        <v>344</v>
      </c>
    </row>
    <row r="143" spans="2:65" s="190" customFormat="1" x14ac:dyDescent="0.2">
      <c r="B143" s="191"/>
      <c r="D143" s="264" t="s">
        <v>194</v>
      </c>
      <c r="F143" s="265" t="s">
        <v>345</v>
      </c>
      <c r="L143" s="191"/>
      <c r="M143" s="266"/>
      <c r="T143" s="267"/>
      <c r="AT143" s="183" t="s">
        <v>194</v>
      </c>
      <c r="AU143" s="183" t="s">
        <v>123</v>
      </c>
    </row>
    <row r="144" spans="2:65" s="190" customFormat="1" ht="49.15" customHeight="1" x14ac:dyDescent="0.2">
      <c r="B144" s="191"/>
      <c r="C144" s="252" t="s">
        <v>346</v>
      </c>
      <c r="D144" s="252" t="s">
        <v>187</v>
      </c>
      <c r="E144" s="253" t="s">
        <v>347</v>
      </c>
      <c r="F144" s="254" t="s">
        <v>348</v>
      </c>
      <c r="G144" s="255" t="s">
        <v>266</v>
      </c>
      <c r="H144" s="256">
        <v>2</v>
      </c>
      <c r="I144" s="257"/>
      <c r="J144" s="257">
        <f>ROUND(I144*H144,2)</f>
        <v>0</v>
      </c>
      <c r="K144" s="254" t="s">
        <v>129</v>
      </c>
      <c r="L144" s="191"/>
      <c r="M144" s="258" t="s">
        <v>129</v>
      </c>
      <c r="N144" s="259" t="s">
        <v>144</v>
      </c>
      <c r="O144" s="260">
        <v>0.5</v>
      </c>
      <c r="P144" s="260">
        <f>O144*H144</f>
        <v>1</v>
      </c>
      <c r="Q144" s="260">
        <v>5.7299999999999999E-3</v>
      </c>
      <c r="R144" s="260">
        <f>Q144*H144</f>
        <v>1.146E-2</v>
      </c>
      <c r="S144" s="260">
        <v>0</v>
      </c>
      <c r="T144" s="261">
        <f>S144*H144</f>
        <v>0</v>
      </c>
      <c r="AR144" s="262" t="s">
        <v>192</v>
      </c>
      <c r="AT144" s="262" t="s">
        <v>187</v>
      </c>
      <c r="AU144" s="262" t="s">
        <v>123</v>
      </c>
      <c r="AY144" s="183" t="s">
        <v>183</v>
      </c>
      <c r="BE144" s="263">
        <f>IF(N144="základní",J144,0)</f>
        <v>0</v>
      </c>
      <c r="BF144" s="263">
        <f>IF(N144="snížená",J144,0)</f>
        <v>0</v>
      </c>
      <c r="BG144" s="263">
        <f>IF(N144="zákl. přenesená",J144,0)</f>
        <v>0</v>
      </c>
      <c r="BH144" s="263">
        <f>IF(N144="sníž. přenesená",J144,0)</f>
        <v>0</v>
      </c>
      <c r="BI144" s="263">
        <f>IF(N144="nulová",J144,0)</f>
        <v>0</v>
      </c>
      <c r="BJ144" s="183" t="s">
        <v>186</v>
      </c>
      <c r="BK144" s="263">
        <f>ROUND(I144*H144,2)</f>
        <v>0</v>
      </c>
      <c r="BL144" s="183" t="s">
        <v>192</v>
      </c>
      <c r="BM144" s="262" t="s">
        <v>349</v>
      </c>
    </row>
    <row r="145" spans="2:65" s="190" customFormat="1" ht="37.9" customHeight="1" x14ac:dyDescent="0.2">
      <c r="B145" s="191"/>
      <c r="C145" s="252" t="s">
        <v>350</v>
      </c>
      <c r="D145" s="252" t="s">
        <v>187</v>
      </c>
      <c r="E145" s="253" t="s">
        <v>351</v>
      </c>
      <c r="F145" s="254" t="s">
        <v>352</v>
      </c>
      <c r="G145" s="255" t="s">
        <v>266</v>
      </c>
      <c r="H145" s="256">
        <v>2</v>
      </c>
      <c r="I145" s="257"/>
      <c r="J145" s="257">
        <f>ROUND(I145*H145,2)</f>
        <v>0</v>
      </c>
      <c r="K145" s="254" t="s">
        <v>191</v>
      </c>
      <c r="L145" s="191"/>
      <c r="M145" s="258" t="s">
        <v>129</v>
      </c>
      <c r="N145" s="259" t="s">
        <v>144</v>
      </c>
      <c r="O145" s="260">
        <v>0.5</v>
      </c>
      <c r="P145" s="260">
        <f>O145*H145</f>
        <v>1</v>
      </c>
      <c r="Q145" s="260">
        <v>1.137E-2</v>
      </c>
      <c r="R145" s="260">
        <f>Q145*H145</f>
        <v>2.274E-2</v>
      </c>
      <c r="S145" s="260">
        <v>0</v>
      </c>
      <c r="T145" s="261">
        <f>S145*H145</f>
        <v>0</v>
      </c>
      <c r="AR145" s="262" t="s">
        <v>192</v>
      </c>
      <c r="AT145" s="262" t="s">
        <v>187</v>
      </c>
      <c r="AU145" s="262" t="s">
        <v>123</v>
      </c>
      <c r="AY145" s="183" t="s">
        <v>183</v>
      </c>
      <c r="BE145" s="263">
        <f>IF(N145="základní",J145,0)</f>
        <v>0</v>
      </c>
      <c r="BF145" s="263">
        <f>IF(N145="snížená",J145,0)</f>
        <v>0</v>
      </c>
      <c r="BG145" s="263">
        <f>IF(N145="zákl. přenesená",J145,0)</f>
        <v>0</v>
      </c>
      <c r="BH145" s="263">
        <f>IF(N145="sníž. přenesená",J145,0)</f>
        <v>0</v>
      </c>
      <c r="BI145" s="263">
        <f>IF(N145="nulová",J145,0)</f>
        <v>0</v>
      </c>
      <c r="BJ145" s="183" t="s">
        <v>186</v>
      </c>
      <c r="BK145" s="263">
        <f>ROUND(I145*H145,2)</f>
        <v>0</v>
      </c>
      <c r="BL145" s="183" t="s">
        <v>192</v>
      </c>
      <c r="BM145" s="262" t="s">
        <v>353</v>
      </c>
    </row>
    <row r="146" spans="2:65" s="190" customFormat="1" x14ac:dyDescent="0.2">
      <c r="B146" s="191"/>
      <c r="D146" s="264" t="s">
        <v>194</v>
      </c>
      <c r="F146" s="265" t="s">
        <v>354</v>
      </c>
      <c r="L146" s="191"/>
      <c r="M146" s="266"/>
      <c r="T146" s="267"/>
      <c r="AT146" s="183" t="s">
        <v>194</v>
      </c>
      <c r="AU146" s="183" t="s">
        <v>123</v>
      </c>
    </row>
    <row r="147" spans="2:65" s="190" customFormat="1" ht="37.9" customHeight="1" x14ac:dyDescent="0.2">
      <c r="B147" s="191"/>
      <c r="C147" s="252" t="s">
        <v>355</v>
      </c>
      <c r="D147" s="252" t="s">
        <v>187</v>
      </c>
      <c r="E147" s="253" t="s">
        <v>356</v>
      </c>
      <c r="F147" s="254" t="s">
        <v>357</v>
      </c>
      <c r="G147" s="255" t="s">
        <v>266</v>
      </c>
      <c r="H147" s="256">
        <v>1</v>
      </c>
      <c r="I147" s="257"/>
      <c r="J147" s="257">
        <f>ROUND(I147*H147,2)</f>
        <v>0</v>
      </c>
      <c r="K147" s="254" t="s">
        <v>191</v>
      </c>
      <c r="L147" s="191"/>
      <c r="M147" s="258" t="s">
        <v>129</v>
      </c>
      <c r="N147" s="259" t="s">
        <v>144</v>
      </c>
      <c r="O147" s="260">
        <v>0.8</v>
      </c>
      <c r="P147" s="260">
        <f>O147*H147</f>
        <v>0.8</v>
      </c>
      <c r="Q147" s="260">
        <v>1.5869999999999999E-2</v>
      </c>
      <c r="R147" s="260">
        <f>Q147*H147</f>
        <v>1.5869999999999999E-2</v>
      </c>
      <c r="S147" s="260">
        <v>0</v>
      </c>
      <c r="T147" s="261">
        <f>S147*H147</f>
        <v>0</v>
      </c>
      <c r="AR147" s="262" t="s">
        <v>192</v>
      </c>
      <c r="AT147" s="262" t="s">
        <v>187</v>
      </c>
      <c r="AU147" s="262" t="s">
        <v>123</v>
      </c>
      <c r="AY147" s="183" t="s">
        <v>183</v>
      </c>
      <c r="BE147" s="263">
        <f>IF(N147="základní",J147,0)</f>
        <v>0</v>
      </c>
      <c r="BF147" s="263">
        <f>IF(N147="snížená",J147,0)</f>
        <v>0</v>
      </c>
      <c r="BG147" s="263">
        <f>IF(N147="zákl. přenesená",J147,0)</f>
        <v>0</v>
      </c>
      <c r="BH147" s="263">
        <f>IF(N147="sníž. přenesená",J147,0)</f>
        <v>0</v>
      </c>
      <c r="BI147" s="263">
        <f>IF(N147="nulová",J147,0)</f>
        <v>0</v>
      </c>
      <c r="BJ147" s="183" t="s">
        <v>186</v>
      </c>
      <c r="BK147" s="263">
        <f>ROUND(I147*H147,2)</f>
        <v>0</v>
      </c>
      <c r="BL147" s="183" t="s">
        <v>192</v>
      </c>
      <c r="BM147" s="262" t="s">
        <v>358</v>
      </c>
    </row>
    <row r="148" spans="2:65" s="190" customFormat="1" x14ac:dyDescent="0.2">
      <c r="B148" s="191"/>
      <c r="D148" s="264" t="s">
        <v>194</v>
      </c>
      <c r="F148" s="265" t="s">
        <v>359</v>
      </c>
      <c r="L148" s="191"/>
      <c r="M148" s="266"/>
      <c r="T148" s="267"/>
      <c r="AT148" s="183" t="s">
        <v>194</v>
      </c>
      <c r="AU148" s="183" t="s">
        <v>123</v>
      </c>
    </row>
    <row r="149" spans="2:65" s="190" customFormat="1" ht="37.9" customHeight="1" x14ac:dyDescent="0.2">
      <c r="B149" s="191"/>
      <c r="C149" s="252" t="s">
        <v>360</v>
      </c>
      <c r="D149" s="252" t="s">
        <v>187</v>
      </c>
      <c r="E149" s="253" t="s">
        <v>361</v>
      </c>
      <c r="F149" s="254" t="s">
        <v>362</v>
      </c>
      <c r="G149" s="255" t="s">
        <v>241</v>
      </c>
      <c r="H149" s="256">
        <v>5</v>
      </c>
      <c r="I149" s="257"/>
      <c r="J149" s="257">
        <f>ROUND(I149*H149,2)</f>
        <v>0</v>
      </c>
      <c r="K149" s="254" t="s">
        <v>191</v>
      </c>
      <c r="L149" s="191"/>
      <c r="M149" s="258" t="s">
        <v>129</v>
      </c>
      <c r="N149" s="259" t="s">
        <v>144</v>
      </c>
      <c r="O149" s="260">
        <v>0.25800000000000001</v>
      </c>
      <c r="P149" s="260">
        <f>O149*H149</f>
        <v>1.29</v>
      </c>
      <c r="Q149" s="260">
        <v>6.7861530000000003E-4</v>
      </c>
      <c r="R149" s="260">
        <f>Q149*H149</f>
        <v>3.3930765000000002E-3</v>
      </c>
      <c r="S149" s="260">
        <v>0</v>
      </c>
      <c r="T149" s="261">
        <f>S149*H149</f>
        <v>0</v>
      </c>
      <c r="AR149" s="262" t="s">
        <v>192</v>
      </c>
      <c r="AT149" s="262" t="s">
        <v>187</v>
      </c>
      <c r="AU149" s="262" t="s">
        <v>123</v>
      </c>
      <c r="AY149" s="183" t="s">
        <v>183</v>
      </c>
      <c r="BE149" s="263">
        <f>IF(N149="základní",J149,0)</f>
        <v>0</v>
      </c>
      <c r="BF149" s="263">
        <f>IF(N149="snížená",J149,0)</f>
        <v>0</v>
      </c>
      <c r="BG149" s="263">
        <f>IF(N149="zákl. přenesená",J149,0)</f>
        <v>0</v>
      </c>
      <c r="BH149" s="263">
        <f>IF(N149="sníž. přenesená",J149,0)</f>
        <v>0</v>
      </c>
      <c r="BI149" s="263">
        <f>IF(N149="nulová",J149,0)</f>
        <v>0</v>
      </c>
      <c r="BJ149" s="183" t="s">
        <v>186</v>
      </c>
      <c r="BK149" s="263">
        <f>ROUND(I149*H149,2)</f>
        <v>0</v>
      </c>
      <c r="BL149" s="183" t="s">
        <v>192</v>
      </c>
      <c r="BM149" s="262" t="s">
        <v>363</v>
      </c>
    </row>
    <row r="150" spans="2:65" s="190" customFormat="1" x14ac:dyDescent="0.2">
      <c r="B150" s="191"/>
      <c r="D150" s="264" t="s">
        <v>194</v>
      </c>
      <c r="F150" s="265" t="s">
        <v>364</v>
      </c>
      <c r="L150" s="191"/>
      <c r="M150" s="266"/>
      <c r="T150" s="267"/>
      <c r="AT150" s="183" t="s">
        <v>194</v>
      </c>
      <c r="AU150" s="183" t="s">
        <v>123</v>
      </c>
    </row>
    <row r="151" spans="2:65" s="190" customFormat="1" ht="37.9" customHeight="1" x14ac:dyDescent="0.2">
      <c r="B151" s="191"/>
      <c r="C151" s="252" t="s">
        <v>365</v>
      </c>
      <c r="D151" s="252" t="s">
        <v>187</v>
      </c>
      <c r="E151" s="253" t="s">
        <v>366</v>
      </c>
      <c r="F151" s="254" t="s">
        <v>367</v>
      </c>
      <c r="G151" s="255" t="s">
        <v>266</v>
      </c>
      <c r="H151" s="256">
        <v>1</v>
      </c>
      <c r="I151" s="257"/>
      <c r="J151" s="257">
        <f t="shared" ref="J151:J163" si="10">ROUND(I151*H151,2)</f>
        <v>0</v>
      </c>
      <c r="K151" s="254" t="s">
        <v>129</v>
      </c>
      <c r="L151" s="191"/>
      <c r="M151" s="258" t="s">
        <v>129</v>
      </c>
      <c r="N151" s="259" t="s">
        <v>144</v>
      </c>
      <c r="O151" s="260">
        <v>0.51200000000000001</v>
      </c>
      <c r="P151" s="260">
        <f t="shared" ref="P151:P163" si="11">O151*H151</f>
        <v>0.51200000000000001</v>
      </c>
      <c r="Q151" s="260">
        <v>5.1799999999999997E-3</v>
      </c>
      <c r="R151" s="260">
        <f t="shared" ref="R151:R163" si="12">Q151*H151</f>
        <v>5.1799999999999997E-3</v>
      </c>
      <c r="S151" s="260">
        <v>0</v>
      </c>
      <c r="T151" s="261">
        <f t="shared" ref="T151:T163" si="13">S151*H151</f>
        <v>0</v>
      </c>
      <c r="AR151" s="262" t="s">
        <v>192</v>
      </c>
      <c r="AT151" s="262" t="s">
        <v>187</v>
      </c>
      <c r="AU151" s="262" t="s">
        <v>123</v>
      </c>
      <c r="AY151" s="183" t="s">
        <v>183</v>
      </c>
      <c r="BE151" s="263">
        <f t="shared" ref="BE151:BE163" si="14">IF(N151="základní",J151,0)</f>
        <v>0</v>
      </c>
      <c r="BF151" s="263">
        <f t="shared" ref="BF151:BF163" si="15">IF(N151="snížená",J151,0)</f>
        <v>0</v>
      </c>
      <c r="BG151" s="263">
        <f t="shared" ref="BG151:BG163" si="16">IF(N151="zákl. přenesená",J151,0)</f>
        <v>0</v>
      </c>
      <c r="BH151" s="263">
        <f t="shared" ref="BH151:BH163" si="17">IF(N151="sníž. přenesená",J151,0)</f>
        <v>0</v>
      </c>
      <c r="BI151" s="263">
        <f t="shared" ref="BI151:BI163" si="18">IF(N151="nulová",J151,0)</f>
        <v>0</v>
      </c>
      <c r="BJ151" s="183" t="s">
        <v>186</v>
      </c>
      <c r="BK151" s="263">
        <f t="shared" ref="BK151:BK163" si="19">ROUND(I151*H151,2)</f>
        <v>0</v>
      </c>
      <c r="BL151" s="183" t="s">
        <v>192</v>
      </c>
      <c r="BM151" s="262" t="s">
        <v>368</v>
      </c>
    </row>
    <row r="152" spans="2:65" s="190" customFormat="1" ht="37.9" customHeight="1" x14ac:dyDescent="0.2">
      <c r="B152" s="191"/>
      <c r="C152" s="252" t="s">
        <v>369</v>
      </c>
      <c r="D152" s="252" t="s">
        <v>187</v>
      </c>
      <c r="E152" s="253" t="s">
        <v>370</v>
      </c>
      <c r="F152" s="254" t="s">
        <v>371</v>
      </c>
      <c r="G152" s="255" t="s">
        <v>266</v>
      </c>
      <c r="H152" s="256">
        <v>2</v>
      </c>
      <c r="I152" s="257"/>
      <c r="J152" s="257">
        <f t="shared" si="10"/>
        <v>0</v>
      </c>
      <c r="K152" s="254" t="s">
        <v>129</v>
      </c>
      <c r="L152" s="191"/>
      <c r="M152" s="258" t="s">
        <v>129</v>
      </c>
      <c r="N152" s="259" t="s">
        <v>144</v>
      </c>
      <c r="O152" s="260">
        <v>0.51200000000000001</v>
      </c>
      <c r="P152" s="260">
        <f t="shared" si="11"/>
        <v>1.024</v>
      </c>
      <c r="Q152" s="260">
        <v>5.1799999999999997E-3</v>
      </c>
      <c r="R152" s="260">
        <f t="shared" si="12"/>
        <v>1.0359999999999999E-2</v>
      </c>
      <c r="S152" s="260">
        <v>0</v>
      </c>
      <c r="T152" s="261">
        <f t="shared" si="13"/>
        <v>0</v>
      </c>
      <c r="AR152" s="262" t="s">
        <v>192</v>
      </c>
      <c r="AT152" s="262" t="s">
        <v>187</v>
      </c>
      <c r="AU152" s="262" t="s">
        <v>123</v>
      </c>
      <c r="AY152" s="183" t="s">
        <v>183</v>
      </c>
      <c r="BE152" s="263">
        <f t="shared" si="14"/>
        <v>0</v>
      </c>
      <c r="BF152" s="263">
        <f t="shared" si="15"/>
        <v>0</v>
      </c>
      <c r="BG152" s="263">
        <f t="shared" si="16"/>
        <v>0</v>
      </c>
      <c r="BH152" s="263">
        <f t="shared" si="17"/>
        <v>0</v>
      </c>
      <c r="BI152" s="263">
        <f t="shared" si="18"/>
        <v>0</v>
      </c>
      <c r="BJ152" s="183" t="s">
        <v>186</v>
      </c>
      <c r="BK152" s="263">
        <f t="shared" si="19"/>
        <v>0</v>
      </c>
      <c r="BL152" s="183" t="s">
        <v>192</v>
      </c>
      <c r="BM152" s="262" t="s">
        <v>372</v>
      </c>
    </row>
    <row r="153" spans="2:65" s="190" customFormat="1" ht="37.9" customHeight="1" x14ac:dyDescent="0.2">
      <c r="B153" s="191"/>
      <c r="C153" s="252" t="s">
        <v>373</v>
      </c>
      <c r="D153" s="252" t="s">
        <v>187</v>
      </c>
      <c r="E153" s="253" t="s">
        <v>374</v>
      </c>
      <c r="F153" s="254" t="s">
        <v>375</v>
      </c>
      <c r="G153" s="255" t="s">
        <v>266</v>
      </c>
      <c r="H153" s="256">
        <v>1</v>
      </c>
      <c r="I153" s="257"/>
      <c r="J153" s="257">
        <f t="shared" si="10"/>
        <v>0</v>
      </c>
      <c r="K153" s="254" t="s">
        <v>129</v>
      </c>
      <c r="L153" s="191"/>
      <c r="M153" s="258" t="s">
        <v>129</v>
      </c>
      <c r="N153" s="259" t="s">
        <v>144</v>
      </c>
      <c r="O153" s="260">
        <v>0.51200000000000001</v>
      </c>
      <c r="P153" s="260">
        <f t="shared" si="11"/>
        <v>0.51200000000000001</v>
      </c>
      <c r="Q153" s="260">
        <v>5.1799999999999997E-3</v>
      </c>
      <c r="R153" s="260">
        <f t="shared" si="12"/>
        <v>5.1799999999999997E-3</v>
      </c>
      <c r="S153" s="260">
        <v>0</v>
      </c>
      <c r="T153" s="261">
        <f t="shared" si="13"/>
        <v>0</v>
      </c>
      <c r="AR153" s="262" t="s">
        <v>192</v>
      </c>
      <c r="AT153" s="262" t="s">
        <v>187</v>
      </c>
      <c r="AU153" s="262" t="s">
        <v>123</v>
      </c>
      <c r="AY153" s="183" t="s">
        <v>183</v>
      </c>
      <c r="BE153" s="263">
        <f t="shared" si="14"/>
        <v>0</v>
      </c>
      <c r="BF153" s="263">
        <f t="shared" si="15"/>
        <v>0</v>
      </c>
      <c r="BG153" s="263">
        <f t="shared" si="16"/>
        <v>0</v>
      </c>
      <c r="BH153" s="263">
        <f t="shared" si="17"/>
        <v>0</v>
      </c>
      <c r="BI153" s="263">
        <f t="shared" si="18"/>
        <v>0</v>
      </c>
      <c r="BJ153" s="183" t="s">
        <v>186</v>
      </c>
      <c r="BK153" s="263">
        <f t="shared" si="19"/>
        <v>0</v>
      </c>
      <c r="BL153" s="183" t="s">
        <v>192</v>
      </c>
      <c r="BM153" s="262" t="s">
        <v>376</v>
      </c>
    </row>
    <row r="154" spans="2:65" s="190" customFormat="1" ht="24.2" customHeight="1" x14ac:dyDescent="0.2">
      <c r="B154" s="191"/>
      <c r="C154" s="252" t="s">
        <v>377</v>
      </c>
      <c r="D154" s="252" t="s">
        <v>187</v>
      </c>
      <c r="E154" s="253" t="s">
        <v>378</v>
      </c>
      <c r="F154" s="254" t="s">
        <v>379</v>
      </c>
      <c r="G154" s="255" t="s">
        <v>266</v>
      </c>
      <c r="H154" s="256">
        <v>1</v>
      </c>
      <c r="I154" s="257"/>
      <c r="J154" s="257">
        <f t="shared" si="10"/>
        <v>0</v>
      </c>
      <c r="K154" s="254" t="s">
        <v>129</v>
      </c>
      <c r="L154" s="191"/>
      <c r="M154" s="258" t="s">
        <v>129</v>
      </c>
      <c r="N154" s="259" t="s">
        <v>144</v>
      </c>
      <c r="O154" s="260">
        <v>0.51200000000000001</v>
      </c>
      <c r="P154" s="260">
        <f t="shared" si="11"/>
        <v>0.51200000000000001</v>
      </c>
      <c r="Q154" s="260">
        <v>6.8000000000000005E-4</v>
      </c>
      <c r="R154" s="260">
        <f t="shared" si="12"/>
        <v>6.8000000000000005E-4</v>
      </c>
      <c r="S154" s="260">
        <v>0</v>
      </c>
      <c r="T154" s="261">
        <f t="shared" si="13"/>
        <v>0</v>
      </c>
      <c r="AR154" s="262" t="s">
        <v>192</v>
      </c>
      <c r="AT154" s="262" t="s">
        <v>187</v>
      </c>
      <c r="AU154" s="262" t="s">
        <v>123</v>
      </c>
      <c r="AY154" s="183" t="s">
        <v>183</v>
      </c>
      <c r="BE154" s="263">
        <f t="shared" si="14"/>
        <v>0</v>
      </c>
      <c r="BF154" s="263">
        <f t="shared" si="15"/>
        <v>0</v>
      </c>
      <c r="BG154" s="263">
        <f t="shared" si="16"/>
        <v>0</v>
      </c>
      <c r="BH154" s="263">
        <f t="shared" si="17"/>
        <v>0</v>
      </c>
      <c r="BI154" s="263">
        <f t="shared" si="18"/>
        <v>0</v>
      </c>
      <c r="BJ154" s="183" t="s">
        <v>186</v>
      </c>
      <c r="BK154" s="263">
        <f t="shared" si="19"/>
        <v>0</v>
      </c>
      <c r="BL154" s="183" t="s">
        <v>192</v>
      </c>
      <c r="BM154" s="262" t="s">
        <v>380</v>
      </c>
    </row>
    <row r="155" spans="2:65" s="190" customFormat="1" ht="49.15" customHeight="1" x14ac:dyDescent="0.2">
      <c r="B155" s="191"/>
      <c r="C155" s="268" t="s">
        <v>381</v>
      </c>
      <c r="D155" s="268" t="s">
        <v>196</v>
      </c>
      <c r="E155" s="269" t="s">
        <v>382</v>
      </c>
      <c r="F155" s="270" t="s">
        <v>383</v>
      </c>
      <c r="G155" s="271" t="s">
        <v>241</v>
      </c>
      <c r="H155" s="272">
        <v>1</v>
      </c>
      <c r="I155" s="273"/>
      <c r="J155" s="273">
        <f t="shared" si="10"/>
        <v>0</v>
      </c>
      <c r="K155" s="270" t="s">
        <v>129</v>
      </c>
      <c r="L155" s="274"/>
      <c r="M155" s="275" t="s">
        <v>129</v>
      </c>
      <c r="N155" s="276" t="s">
        <v>144</v>
      </c>
      <c r="O155" s="260">
        <v>0</v>
      </c>
      <c r="P155" s="260">
        <f t="shared" si="11"/>
        <v>0</v>
      </c>
      <c r="Q155" s="260">
        <v>2.2000000000000001E-3</v>
      </c>
      <c r="R155" s="260">
        <f t="shared" si="12"/>
        <v>2.2000000000000001E-3</v>
      </c>
      <c r="S155" s="260">
        <v>0</v>
      </c>
      <c r="T155" s="261">
        <f t="shared" si="13"/>
        <v>0</v>
      </c>
      <c r="AR155" s="262" t="s">
        <v>199</v>
      </c>
      <c r="AT155" s="262" t="s">
        <v>196</v>
      </c>
      <c r="AU155" s="262" t="s">
        <v>123</v>
      </c>
      <c r="AY155" s="183" t="s">
        <v>183</v>
      </c>
      <c r="BE155" s="263">
        <f t="shared" si="14"/>
        <v>0</v>
      </c>
      <c r="BF155" s="263">
        <f t="shared" si="15"/>
        <v>0</v>
      </c>
      <c r="BG155" s="263">
        <f t="shared" si="16"/>
        <v>0</v>
      </c>
      <c r="BH155" s="263">
        <f t="shared" si="17"/>
        <v>0</v>
      </c>
      <c r="BI155" s="263">
        <f t="shared" si="18"/>
        <v>0</v>
      </c>
      <c r="BJ155" s="183" t="s">
        <v>186</v>
      </c>
      <c r="BK155" s="263">
        <f t="shared" si="19"/>
        <v>0</v>
      </c>
      <c r="BL155" s="183" t="s">
        <v>192</v>
      </c>
      <c r="BM155" s="262" t="s">
        <v>384</v>
      </c>
    </row>
    <row r="156" spans="2:65" s="190" customFormat="1" ht="16.5" customHeight="1" x14ac:dyDescent="0.2">
      <c r="B156" s="191"/>
      <c r="C156" s="268" t="s">
        <v>385</v>
      </c>
      <c r="D156" s="268" t="s">
        <v>196</v>
      </c>
      <c r="E156" s="269" t="s">
        <v>386</v>
      </c>
      <c r="F156" s="270" t="s">
        <v>387</v>
      </c>
      <c r="G156" s="271" t="s">
        <v>241</v>
      </c>
      <c r="H156" s="272">
        <v>1</v>
      </c>
      <c r="I156" s="273"/>
      <c r="J156" s="273">
        <f t="shared" si="10"/>
        <v>0</v>
      </c>
      <c r="K156" s="270" t="s">
        <v>129</v>
      </c>
      <c r="L156" s="274"/>
      <c r="M156" s="275" t="s">
        <v>129</v>
      </c>
      <c r="N156" s="276" t="s">
        <v>144</v>
      </c>
      <c r="O156" s="260">
        <v>0</v>
      </c>
      <c r="P156" s="260">
        <f t="shared" si="11"/>
        <v>0</v>
      </c>
      <c r="Q156" s="260">
        <v>2.2000000000000001E-3</v>
      </c>
      <c r="R156" s="260">
        <f t="shared" si="12"/>
        <v>2.2000000000000001E-3</v>
      </c>
      <c r="S156" s="260">
        <v>0</v>
      </c>
      <c r="T156" s="261">
        <f t="shared" si="13"/>
        <v>0</v>
      </c>
      <c r="AR156" s="262" t="s">
        <v>199</v>
      </c>
      <c r="AT156" s="262" t="s">
        <v>196</v>
      </c>
      <c r="AU156" s="262" t="s">
        <v>123</v>
      </c>
      <c r="AY156" s="183" t="s">
        <v>183</v>
      </c>
      <c r="BE156" s="263">
        <f t="shared" si="14"/>
        <v>0</v>
      </c>
      <c r="BF156" s="263">
        <f t="shared" si="15"/>
        <v>0</v>
      </c>
      <c r="BG156" s="263">
        <f t="shared" si="16"/>
        <v>0</v>
      </c>
      <c r="BH156" s="263">
        <f t="shared" si="17"/>
        <v>0</v>
      </c>
      <c r="BI156" s="263">
        <f t="shared" si="18"/>
        <v>0</v>
      </c>
      <c r="BJ156" s="183" t="s">
        <v>186</v>
      </c>
      <c r="BK156" s="263">
        <f t="shared" si="19"/>
        <v>0</v>
      </c>
      <c r="BL156" s="183" t="s">
        <v>192</v>
      </c>
      <c r="BM156" s="262" t="s">
        <v>388</v>
      </c>
    </row>
    <row r="157" spans="2:65" s="190" customFormat="1" ht="16.5" customHeight="1" x14ac:dyDescent="0.2">
      <c r="B157" s="191"/>
      <c r="C157" s="268" t="s">
        <v>389</v>
      </c>
      <c r="D157" s="268" t="s">
        <v>196</v>
      </c>
      <c r="E157" s="269" t="s">
        <v>390</v>
      </c>
      <c r="F157" s="270" t="s">
        <v>391</v>
      </c>
      <c r="G157" s="271" t="s">
        <v>241</v>
      </c>
      <c r="H157" s="272">
        <v>3</v>
      </c>
      <c r="I157" s="273"/>
      <c r="J157" s="273">
        <f t="shared" si="10"/>
        <v>0</v>
      </c>
      <c r="K157" s="270" t="s">
        <v>129</v>
      </c>
      <c r="L157" s="274"/>
      <c r="M157" s="275" t="s">
        <v>129</v>
      </c>
      <c r="N157" s="276" t="s">
        <v>144</v>
      </c>
      <c r="O157" s="260">
        <v>0</v>
      </c>
      <c r="P157" s="260">
        <f t="shared" si="11"/>
        <v>0</v>
      </c>
      <c r="Q157" s="260">
        <v>2.2000000000000001E-3</v>
      </c>
      <c r="R157" s="260">
        <f t="shared" si="12"/>
        <v>6.6E-3</v>
      </c>
      <c r="S157" s="260">
        <v>0</v>
      </c>
      <c r="T157" s="261">
        <f t="shared" si="13"/>
        <v>0</v>
      </c>
      <c r="AR157" s="262" t="s">
        <v>199</v>
      </c>
      <c r="AT157" s="262" t="s">
        <v>196</v>
      </c>
      <c r="AU157" s="262" t="s">
        <v>123</v>
      </c>
      <c r="AY157" s="183" t="s">
        <v>183</v>
      </c>
      <c r="BE157" s="263">
        <f t="shared" si="14"/>
        <v>0</v>
      </c>
      <c r="BF157" s="263">
        <f t="shared" si="15"/>
        <v>0</v>
      </c>
      <c r="BG157" s="263">
        <f t="shared" si="16"/>
        <v>0</v>
      </c>
      <c r="BH157" s="263">
        <f t="shared" si="17"/>
        <v>0</v>
      </c>
      <c r="BI157" s="263">
        <f t="shared" si="18"/>
        <v>0</v>
      </c>
      <c r="BJ157" s="183" t="s">
        <v>186</v>
      </c>
      <c r="BK157" s="263">
        <f t="shared" si="19"/>
        <v>0</v>
      </c>
      <c r="BL157" s="183" t="s">
        <v>192</v>
      </c>
      <c r="BM157" s="262" t="s">
        <v>392</v>
      </c>
    </row>
    <row r="158" spans="2:65" s="190" customFormat="1" ht="16.5" customHeight="1" x14ac:dyDescent="0.2">
      <c r="B158" s="191"/>
      <c r="C158" s="252" t="s">
        <v>393</v>
      </c>
      <c r="D158" s="252" t="s">
        <v>187</v>
      </c>
      <c r="E158" s="253" t="s">
        <v>394</v>
      </c>
      <c r="F158" s="254" t="s">
        <v>395</v>
      </c>
      <c r="G158" s="255" t="s">
        <v>266</v>
      </c>
      <c r="H158" s="256">
        <v>8</v>
      </c>
      <c r="I158" s="257"/>
      <c r="J158" s="257">
        <f t="shared" si="10"/>
        <v>0</v>
      </c>
      <c r="K158" s="254" t="s">
        <v>129</v>
      </c>
      <c r="L158" s="191"/>
      <c r="M158" s="258" t="s">
        <v>129</v>
      </c>
      <c r="N158" s="259" t="s">
        <v>144</v>
      </c>
      <c r="O158" s="260">
        <v>0.66</v>
      </c>
      <c r="P158" s="260">
        <f t="shared" si="11"/>
        <v>5.28</v>
      </c>
      <c r="Q158" s="260">
        <v>1.0000000000000001E-5</v>
      </c>
      <c r="R158" s="260">
        <f t="shared" si="12"/>
        <v>8.0000000000000007E-5</v>
      </c>
      <c r="S158" s="260">
        <v>2.8000000000000001E-2</v>
      </c>
      <c r="T158" s="261">
        <f t="shared" si="13"/>
        <v>0.224</v>
      </c>
      <c r="AR158" s="262" t="s">
        <v>192</v>
      </c>
      <c r="AT158" s="262" t="s">
        <v>187</v>
      </c>
      <c r="AU158" s="262" t="s">
        <v>123</v>
      </c>
      <c r="AY158" s="183" t="s">
        <v>183</v>
      </c>
      <c r="BE158" s="263">
        <f t="shared" si="14"/>
        <v>0</v>
      </c>
      <c r="BF158" s="263">
        <f t="shared" si="15"/>
        <v>0</v>
      </c>
      <c r="BG158" s="263">
        <f t="shared" si="16"/>
        <v>0</v>
      </c>
      <c r="BH158" s="263">
        <f t="shared" si="17"/>
        <v>0</v>
      </c>
      <c r="BI158" s="263">
        <f t="shared" si="18"/>
        <v>0</v>
      </c>
      <c r="BJ158" s="183" t="s">
        <v>186</v>
      </c>
      <c r="BK158" s="263">
        <f t="shared" si="19"/>
        <v>0</v>
      </c>
      <c r="BL158" s="183" t="s">
        <v>192</v>
      </c>
      <c r="BM158" s="262" t="s">
        <v>396</v>
      </c>
    </row>
    <row r="159" spans="2:65" s="190" customFormat="1" ht="21.75" customHeight="1" x14ac:dyDescent="0.2">
      <c r="B159" s="191"/>
      <c r="C159" s="252" t="s">
        <v>397</v>
      </c>
      <c r="D159" s="252" t="s">
        <v>187</v>
      </c>
      <c r="E159" s="253" t="s">
        <v>398</v>
      </c>
      <c r="F159" s="254" t="s">
        <v>399</v>
      </c>
      <c r="G159" s="255" t="s">
        <v>241</v>
      </c>
      <c r="H159" s="256">
        <v>1</v>
      </c>
      <c r="I159" s="257"/>
      <c r="J159" s="257">
        <f t="shared" si="10"/>
        <v>0</v>
      </c>
      <c r="K159" s="254" t="s">
        <v>129</v>
      </c>
      <c r="L159" s="191"/>
      <c r="M159" s="258" t="s">
        <v>129</v>
      </c>
      <c r="N159" s="259" t="s">
        <v>144</v>
      </c>
      <c r="O159" s="260">
        <v>0</v>
      </c>
      <c r="P159" s="260">
        <f t="shared" si="11"/>
        <v>0</v>
      </c>
      <c r="Q159" s="260">
        <v>3.039E-2</v>
      </c>
      <c r="R159" s="260">
        <f t="shared" si="12"/>
        <v>3.039E-2</v>
      </c>
      <c r="S159" s="260">
        <v>0</v>
      </c>
      <c r="T159" s="261">
        <f t="shared" si="13"/>
        <v>0</v>
      </c>
      <c r="AR159" s="262" t="s">
        <v>192</v>
      </c>
      <c r="AT159" s="262" t="s">
        <v>187</v>
      </c>
      <c r="AU159" s="262" t="s">
        <v>123</v>
      </c>
      <c r="AY159" s="183" t="s">
        <v>183</v>
      </c>
      <c r="BE159" s="263">
        <f t="shared" si="14"/>
        <v>0</v>
      </c>
      <c r="BF159" s="263">
        <f t="shared" si="15"/>
        <v>0</v>
      </c>
      <c r="BG159" s="263">
        <f t="shared" si="16"/>
        <v>0</v>
      </c>
      <c r="BH159" s="263">
        <f t="shared" si="17"/>
        <v>0</v>
      </c>
      <c r="BI159" s="263">
        <f t="shared" si="18"/>
        <v>0</v>
      </c>
      <c r="BJ159" s="183" t="s">
        <v>186</v>
      </c>
      <c r="BK159" s="263">
        <f t="shared" si="19"/>
        <v>0</v>
      </c>
      <c r="BL159" s="183" t="s">
        <v>192</v>
      </c>
      <c r="BM159" s="262" t="s">
        <v>400</v>
      </c>
    </row>
    <row r="160" spans="2:65" s="190" customFormat="1" ht="78.75" customHeight="1" x14ac:dyDescent="0.2">
      <c r="B160" s="191"/>
      <c r="C160" s="268" t="s">
        <v>401</v>
      </c>
      <c r="D160" s="268" t="s">
        <v>196</v>
      </c>
      <c r="E160" s="269" t="s">
        <v>402</v>
      </c>
      <c r="F160" s="270" t="s">
        <v>403</v>
      </c>
      <c r="G160" s="271" t="s">
        <v>241</v>
      </c>
      <c r="H160" s="272">
        <v>1</v>
      </c>
      <c r="I160" s="273"/>
      <c r="J160" s="273">
        <f t="shared" si="10"/>
        <v>0</v>
      </c>
      <c r="K160" s="270" t="s">
        <v>129</v>
      </c>
      <c r="L160" s="274"/>
      <c r="M160" s="275" t="s">
        <v>129</v>
      </c>
      <c r="N160" s="276" t="s">
        <v>144</v>
      </c>
      <c r="O160" s="260">
        <v>0</v>
      </c>
      <c r="P160" s="260">
        <f t="shared" si="11"/>
        <v>0</v>
      </c>
      <c r="Q160" s="260">
        <v>3.039E-2</v>
      </c>
      <c r="R160" s="260">
        <f t="shared" si="12"/>
        <v>3.039E-2</v>
      </c>
      <c r="S160" s="260">
        <v>0</v>
      </c>
      <c r="T160" s="261">
        <f t="shared" si="13"/>
        <v>0</v>
      </c>
      <c r="AR160" s="262" t="s">
        <v>199</v>
      </c>
      <c r="AT160" s="262" t="s">
        <v>196</v>
      </c>
      <c r="AU160" s="262" t="s">
        <v>123</v>
      </c>
      <c r="AY160" s="183" t="s">
        <v>183</v>
      </c>
      <c r="BE160" s="263">
        <f t="shared" si="14"/>
        <v>0</v>
      </c>
      <c r="BF160" s="263">
        <f t="shared" si="15"/>
        <v>0</v>
      </c>
      <c r="BG160" s="263">
        <f t="shared" si="16"/>
        <v>0</v>
      </c>
      <c r="BH160" s="263">
        <f t="shared" si="17"/>
        <v>0</v>
      </c>
      <c r="BI160" s="263">
        <f t="shared" si="18"/>
        <v>0</v>
      </c>
      <c r="BJ160" s="183" t="s">
        <v>186</v>
      </c>
      <c r="BK160" s="263">
        <f t="shared" si="19"/>
        <v>0</v>
      </c>
      <c r="BL160" s="183" t="s">
        <v>192</v>
      </c>
      <c r="BM160" s="262" t="s">
        <v>404</v>
      </c>
    </row>
    <row r="161" spans="2:65" s="190" customFormat="1" ht="24.2" customHeight="1" x14ac:dyDescent="0.2">
      <c r="B161" s="191"/>
      <c r="C161" s="252" t="s">
        <v>405</v>
      </c>
      <c r="D161" s="252" t="s">
        <v>187</v>
      </c>
      <c r="E161" s="253" t="s">
        <v>406</v>
      </c>
      <c r="F161" s="254" t="s">
        <v>407</v>
      </c>
      <c r="G161" s="255" t="s">
        <v>241</v>
      </c>
      <c r="H161" s="256">
        <v>2</v>
      </c>
      <c r="I161" s="257"/>
      <c r="J161" s="257">
        <f t="shared" si="10"/>
        <v>0</v>
      </c>
      <c r="K161" s="254" t="s">
        <v>129</v>
      </c>
      <c r="L161" s="191"/>
      <c r="M161" s="258" t="s">
        <v>129</v>
      </c>
      <c r="N161" s="259" t="s">
        <v>144</v>
      </c>
      <c r="O161" s="260">
        <v>0</v>
      </c>
      <c r="P161" s="260">
        <f t="shared" si="11"/>
        <v>0</v>
      </c>
      <c r="Q161" s="260">
        <v>3.039E-2</v>
      </c>
      <c r="R161" s="260">
        <f t="shared" si="12"/>
        <v>6.0780000000000001E-2</v>
      </c>
      <c r="S161" s="260">
        <v>0</v>
      </c>
      <c r="T161" s="261">
        <f t="shared" si="13"/>
        <v>0</v>
      </c>
      <c r="AR161" s="262" t="s">
        <v>192</v>
      </c>
      <c r="AT161" s="262" t="s">
        <v>187</v>
      </c>
      <c r="AU161" s="262" t="s">
        <v>123</v>
      </c>
      <c r="AY161" s="183" t="s">
        <v>183</v>
      </c>
      <c r="BE161" s="263">
        <f t="shared" si="14"/>
        <v>0</v>
      </c>
      <c r="BF161" s="263">
        <f t="shared" si="15"/>
        <v>0</v>
      </c>
      <c r="BG161" s="263">
        <f t="shared" si="16"/>
        <v>0</v>
      </c>
      <c r="BH161" s="263">
        <f t="shared" si="17"/>
        <v>0</v>
      </c>
      <c r="BI161" s="263">
        <f t="shared" si="18"/>
        <v>0</v>
      </c>
      <c r="BJ161" s="183" t="s">
        <v>186</v>
      </c>
      <c r="BK161" s="263">
        <f t="shared" si="19"/>
        <v>0</v>
      </c>
      <c r="BL161" s="183" t="s">
        <v>192</v>
      </c>
      <c r="BM161" s="262" t="s">
        <v>408</v>
      </c>
    </row>
    <row r="162" spans="2:65" s="190" customFormat="1" ht="33" customHeight="1" x14ac:dyDescent="0.2">
      <c r="B162" s="191"/>
      <c r="C162" s="268" t="s">
        <v>409</v>
      </c>
      <c r="D162" s="268" t="s">
        <v>196</v>
      </c>
      <c r="E162" s="269" t="s">
        <v>410</v>
      </c>
      <c r="F162" s="270" t="s">
        <v>411</v>
      </c>
      <c r="G162" s="271" t="s">
        <v>241</v>
      </c>
      <c r="H162" s="272">
        <v>2</v>
      </c>
      <c r="I162" s="273"/>
      <c r="J162" s="273">
        <f t="shared" si="10"/>
        <v>0</v>
      </c>
      <c r="K162" s="270" t="s">
        <v>129</v>
      </c>
      <c r="L162" s="274"/>
      <c r="M162" s="275" t="s">
        <v>129</v>
      </c>
      <c r="N162" s="276" t="s">
        <v>144</v>
      </c>
      <c r="O162" s="260">
        <v>0</v>
      </c>
      <c r="P162" s="260">
        <f t="shared" si="11"/>
        <v>0</v>
      </c>
      <c r="Q162" s="260">
        <v>3.039E-2</v>
      </c>
      <c r="R162" s="260">
        <f t="shared" si="12"/>
        <v>6.0780000000000001E-2</v>
      </c>
      <c r="S162" s="260">
        <v>0</v>
      </c>
      <c r="T162" s="261">
        <f t="shared" si="13"/>
        <v>0</v>
      </c>
      <c r="AR162" s="262" t="s">
        <v>199</v>
      </c>
      <c r="AT162" s="262" t="s">
        <v>196</v>
      </c>
      <c r="AU162" s="262" t="s">
        <v>123</v>
      </c>
      <c r="AY162" s="183" t="s">
        <v>183</v>
      </c>
      <c r="BE162" s="263">
        <f t="shared" si="14"/>
        <v>0</v>
      </c>
      <c r="BF162" s="263">
        <f t="shared" si="15"/>
        <v>0</v>
      </c>
      <c r="BG162" s="263">
        <f t="shared" si="16"/>
        <v>0</v>
      </c>
      <c r="BH162" s="263">
        <f t="shared" si="17"/>
        <v>0</v>
      </c>
      <c r="BI162" s="263">
        <f t="shared" si="18"/>
        <v>0</v>
      </c>
      <c r="BJ162" s="183" t="s">
        <v>186</v>
      </c>
      <c r="BK162" s="263">
        <f t="shared" si="19"/>
        <v>0</v>
      </c>
      <c r="BL162" s="183" t="s">
        <v>192</v>
      </c>
      <c r="BM162" s="262" t="s">
        <v>412</v>
      </c>
    </row>
    <row r="163" spans="2:65" s="190" customFormat="1" ht="49.15" customHeight="1" x14ac:dyDescent="0.2">
      <c r="B163" s="191"/>
      <c r="C163" s="252" t="s">
        <v>413</v>
      </c>
      <c r="D163" s="252" t="s">
        <v>187</v>
      </c>
      <c r="E163" s="253" t="s">
        <v>414</v>
      </c>
      <c r="F163" s="254" t="s">
        <v>415</v>
      </c>
      <c r="G163" s="255" t="s">
        <v>228</v>
      </c>
      <c r="H163" s="256">
        <v>0.29899999999999999</v>
      </c>
      <c r="I163" s="257"/>
      <c r="J163" s="257">
        <f t="shared" si="10"/>
        <v>0</v>
      </c>
      <c r="K163" s="254" t="s">
        <v>191</v>
      </c>
      <c r="L163" s="191"/>
      <c r="M163" s="258" t="s">
        <v>129</v>
      </c>
      <c r="N163" s="259" t="s">
        <v>144</v>
      </c>
      <c r="O163" s="260">
        <v>2.5289999999999999</v>
      </c>
      <c r="P163" s="260">
        <f t="shared" si="11"/>
        <v>0.75617099999999993</v>
      </c>
      <c r="Q163" s="260">
        <v>0</v>
      </c>
      <c r="R163" s="260">
        <f t="shared" si="12"/>
        <v>0</v>
      </c>
      <c r="S163" s="260">
        <v>0</v>
      </c>
      <c r="T163" s="261">
        <f t="shared" si="13"/>
        <v>0</v>
      </c>
      <c r="AR163" s="262" t="s">
        <v>192</v>
      </c>
      <c r="AT163" s="262" t="s">
        <v>187</v>
      </c>
      <c r="AU163" s="262" t="s">
        <v>123</v>
      </c>
      <c r="AY163" s="183" t="s">
        <v>183</v>
      </c>
      <c r="BE163" s="263">
        <f t="shared" si="14"/>
        <v>0</v>
      </c>
      <c r="BF163" s="263">
        <f t="shared" si="15"/>
        <v>0</v>
      </c>
      <c r="BG163" s="263">
        <f t="shared" si="16"/>
        <v>0</v>
      </c>
      <c r="BH163" s="263">
        <f t="shared" si="17"/>
        <v>0</v>
      </c>
      <c r="BI163" s="263">
        <f t="shared" si="18"/>
        <v>0</v>
      </c>
      <c r="BJ163" s="183" t="s">
        <v>186</v>
      </c>
      <c r="BK163" s="263">
        <f t="shared" si="19"/>
        <v>0</v>
      </c>
      <c r="BL163" s="183" t="s">
        <v>192</v>
      </c>
      <c r="BM163" s="262" t="s">
        <v>416</v>
      </c>
    </row>
    <row r="164" spans="2:65" s="190" customFormat="1" x14ac:dyDescent="0.2">
      <c r="B164" s="191"/>
      <c r="D164" s="264" t="s">
        <v>194</v>
      </c>
      <c r="F164" s="265" t="s">
        <v>417</v>
      </c>
      <c r="L164" s="191"/>
      <c r="M164" s="266"/>
      <c r="T164" s="267"/>
      <c r="AT164" s="183" t="s">
        <v>194</v>
      </c>
      <c r="AU164" s="183" t="s">
        <v>123</v>
      </c>
    </row>
    <row r="165" spans="2:65" s="240" customFormat="1" ht="22.9" customHeight="1" x14ac:dyDescent="0.2">
      <c r="B165" s="241"/>
      <c r="D165" s="242" t="s">
        <v>180</v>
      </c>
      <c r="E165" s="250" t="s">
        <v>418</v>
      </c>
      <c r="F165" s="250" t="s">
        <v>419</v>
      </c>
      <c r="J165" s="251">
        <f>BK165</f>
        <v>0</v>
      </c>
      <c r="L165" s="241"/>
      <c r="M165" s="245"/>
      <c r="P165" s="246">
        <f>SUM(P166:P197)</f>
        <v>647.63943999999992</v>
      </c>
      <c r="R165" s="246">
        <f>SUM(R166:R197)</f>
        <v>1.3078687499999999</v>
      </c>
      <c r="T165" s="247">
        <f>SUM(T166:T197)</f>
        <v>0</v>
      </c>
      <c r="AR165" s="242" t="s">
        <v>123</v>
      </c>
      <c r="AT165" s="248" t="s">
        <v>180</v>
      </c>
      <c r="AU165" s="248" t="s">
        <v>186</v>
      </c>
      <c r="AY165" s="242" t="s">
        <v>183</v>
      </c>
      <c r="BK165" s="249">
        <f>SUM(BK166:BK197)</f>
        <v>0</v>
      </c>
    </row>
    <row r="166" spans="2:65" s="190" customFormat="1" ht="24.2" customHeight="1" x14ac:dyDescent="0.2">
      <c r="B166" s="191"/>
      <c r="C166" s="252" t="s">
        <v>420</v>
      </c>
      <c r="D166" s="252" t="s">
        <v>187</v>
      </c>
      <c r="E166" s="253" t="s">
        <v>421</v>
      </c>
      <c r="F166" s="254" t="s">
        <v>422</v>
      </c>
      <c r="G166" s="255" t="s">
        <v>190</v>
      </c>
      <c r="H166" s="256">
        <v>440</v>
      </c>
      <c r="I166" s="257"/>
      <c r="J166" s="257">
        <f>ROUND(I166*H166,2)</f>
        <v>0</v>
      </c>
      <c r="K166" s="254" t="s">
        <v>191</v>
      </c>
      <c r="L166" s="191"/>
      <c r="M166" s="258" t="s">
        <v>129</v>
      </c>
      <c r="N166" s="259" t="s">
        <v>144</v>
      </c>
      <c r="O166" s="260">
        <v>0.40500000000000003</v>
      </c>
      <c r="P166" s="260">
        <f>O166*H166</f>
        <v>178.20000000000002</v>
      </c>
      <c r="Q166" s="260">
        <v>4.6999999999999999E-4</v>
      </c>
      <c r="R166" s="260">
        <f>Q166*H166</f>
        <v>0.20679999999999998</v>
      </c>
      <c r="S166" s="260">
        <v>0</v>
      </c>
      <c r="T166" s="261">
        <f>S166*H166</f>
        <v>0</v>
      </c>
      <c r="AR166" s="262" t="s">
        <v>192</v>
      </c>
      <c r="AT166" s="262" t="s">
        <v>187</v>
      </c>
      <c r="AU166" s="262" t="s">
        <v>123</v>
      </c>
      <c r="AY166" s="183" t="s">
        <v>183</v>
      </c>
      <c r="BE166" s="263">
        <f>IF(N166="základní",J166,0)</f>
        <v>0</v>
      </c>
      <c r="BF166" s="263">
        <f>IF(N166="snížená",J166,0)</f>
        <v>0</v>
      </c>
      <c r="BG166" s="263">
        <f>IF(N166="zákl. přenesená",J166,0)</f>
        <v>0</v>
      </c>
      <c r="BH166" s="263">
        <f>IF(N166="sníž. přenesená",J166,0)</f>
        <v>0</v>
      </c>
      <c r="BI166" s="263">
        <f>IF(N166="nulová",J166,0)</f>
        <v>0</v>
      </c>
      <c r="BJ166" s="183" t="s">
        <v>186</v>
      </c>
      <c r="BK166" s="263">
        <f>ROUND(I166*H166,2)</f>
        <v>0</v>
      </c>
      <c r="BL166" s="183" t="s">
        <v>192</v>
      </c>
      <c r="BM166" s="262" t="s">
        <v>423</v>
      </c>
    </row>
    <row r="167" spans="2:65" s="190" customFormat="1" x14ac:dyDescent="0.2">
      <c r="B167" s="191"/>
      <c r="D167" s="264" t="s">
        <v>194</v>
      </c>
      <c r="F167" s="265" t="s">
        <v>424</v>
      </c>
      <c r="L167" s="191"/>
      <c r="M167" s="266"/>
      <c r="T167" s="267"/>
      <c r="AT167" s="183" t="s">
        <v>194</v>
      </c>
      <c r="AU167" s="183" t="s">
        <v>123</v>
      </c>
    </row>
    <row r="168" spans="2:65" s="190" customFormat="1" ht="24.2" customHeight="1" x14ac:dyDescent="0.2">
      <c r="B168" s="191"/>
      <c r="C168" s="252" t="s">
        <v>425</v>
      </c>
      <c r="D168" s="252" t="s">
        <v>187</v>
      </c>
      <c r="E168" s="253" t="s">
        <v>426</v>
      </c>
      <c r="F168" s="254" t="s">
        <v>427</v>
      </c>
      <c r="G168" s="255" t="s">
        <v>190</v>
      </c>
      <c r="H168" s="256">
        <v>80</v>
      </c>
      <c r="I168" s="257"/>
      <c r="J168" s="257">
        <f>ROUND(I168*H168,2)</f>
        <v>0</v>
      </c>
      <c r="K168" s="254" t="s">
        <v>191</v>
      </c>
      <c r="L168" s="191"/>
      <c r="M168" s="258" t="s">
        <v>129</v>
      </c>
      <c r="N168" s="259" t="s">
        <v>144</v>
      </c>
      <c r="O168" s="260">
        <v>0.41299999999999998</v>
      </c>
      <c r="P168" s="260">
        <f>O168*H168</f>
        <v>33.04</v>
      </c>
      <c r="Q168" s="260">
        <v>5.8E-4</v>
      </c>
      <c r="R168" s="260">
        <f>Q168*H168</f>
        <v>4.6399999999999997E-2</v>
      </c>
      <c r="S168" s="260">
        <v>0</v>
      </c>
      <c r="T168" s="261">
        <f>S168*H168</f>
        <v>0</v>
      </c>
      <c r="AR168" s="262" t="s">
        <v>192</v>
      </c>
      <c r="AT168" s="262" t="s">
        <v>187</v>
      </c>
      <c r="AU168" s="262" t="s">
        <v>123</v>
      </c>
      <c r="AY168" s="183" t="s">
        <v>183</v>
      </c>
      <c r="BE168" s="263">
        <f>IF(N168="základní",J168,0)</f>
        <v>0</v>
      </c>
      <c r="BF168" s="263">
        <f>IF(N168="snížená",J168,0)</f>
        <v>0</v>
      </c>
      <c r="BG168" s="263">
        <f>IF(N168="zákl. přenesená",J168,0)</f>
        <v>0</v>
      </c>
      <c r="BH168" s="263">
        <f>IF(N168="sníž. přenesená",J168,0)</f>
        <v>0</v>
      </c>
      <c r="BI168" s="263">
        <f>IF(N168="nulová",J168,0)</f>
        <v>0</v>
      </c>
      <c r="BJ168" s="183" t="s">
        <v>186</v>
      </c>
      <c r="BK168" s="263">
        <f>ROUND(I168*H168,2)</f>
        <v>0</v>
      </c>
      <c r="BL168" s="183" t="s">
        <v>192</v>
      </c>
      <c r="BM168" s="262" t="s">
        <v>428</v>
      </c>
    </row>
    <row r="169" spans="2:65" s="190" customFormat="1" x14ac:dyDescent="0.2">
      <c r="B169" s="191"/>
      <c r="D169" s="264" t="s">
        <v>194</v>
      </c>
      <c r="F169" s="265" t="s">
        <v>429</v>
      </c>
      <c r="L169" s="191"/>
      <c r="M169" s="266"/>
      <c r="T169" s="267"/>
      <c r="AT169" s="183" t="s">
        <v>194</v>
      </c>
      <c r="AU169" s="183" t="s">
        <v>123</v>
      </c>
    </row>
    <row r="170" spans="2:65" s="190" customFormat="1" ht="24.2" customHeight="1" x14ac:dyDescent="0.2">
      <c r="B170" s="191"/>
      <c r="C170" s="252" t="s">
        <v>430</v>
      </c>
      <c r="D170" s="252" t="s">
        <v>187</v>
      </c>
      <c r="E170" s="253" t="s">
        <v>431</v>
      </c>
      <c r="F170" s="254" t="s">
        <v>432</v>
      </c>
      <c r="G170" s="255" t="s">
        <v>190</v>
      </c>
      <c r="H170" s="256">
        <v>210</v>
      </c>
      <c r="I170" s="257"/>
      <c r="J170" s="257">
        <f>ROUND(I170*H170,2)</f>
        <v>0</v>
      </c>
      <c r="K170" s="254" t="s">
        <v>191</v>
      </c>
      <c r="L170" s="191"/>
      <c r="M170" s="258" t="s">
        <v>129</v>
      </c>
      <c r="N170" s="259" t="s">
        <v>144</v>
      </c>
      <c r="O170" s="260">
        <v>0.41699999999999998</v>
      </c>
      <c r="P170" s="260">
        <f>O170*H170</f>
        <v>87.57</v>
      </c>
      <c r="Q170" s="260">
        <v>7.1037499999999996E-4</v>
      </c>
      <c r="R170" s="260">
        <f>Q170*H170</f>
        <v>0.14917875</v>
      </c>
      <c r="S170" s="260">
        <v>0</v>
      </c>
      <c r="T170" s="261">
        <f>S170*H170</f>
        <v>0</v>
      </c>
      <c r="AR170" s="262" t="s">
        <v>192</v>
      </c>
      <c r="AT170" s="262" t="s">
        <v>187</v>
      </c>
      <c r="AU170" s="262" t="s">
        <v>123</v>
      </c>
      <c r="AY170" s="183" t="s">
        <v>183</v>
      </c>
      <c r="BE170" s="263">
        <f>IF(N170="základní",J170,0)</f>
        <v>0</v>
      </c>
      <c r="BF170" s="263">
        <f>IF(N170="snížená",J170,0)</f>
        <v>0</v>
      </c>
      <c r="BG170" s="263">
        <f>IF(N170="zákl. přenesená",J170,0)</f>
        <v>0</v>
      </c>
      <c r="BH170" s="263">
        <f>IF(N170="sníž. přenesená",J170,0)</f>
        <v>0</v>
      </c>
      <c r="BI170" s="263">
        <f>IF(N170="nulová",J170,0)</f>
        <v>0</v>
      </c>
      <c r="BJ170" s="183" t="s">
        <v>186</v>
      </c>
      <c r="BK170" s="263">
        <f>ROUND(I170*H170,2)</f>
        <v>0</v>
      </c>
      <c r="BL170" s="183" t="s">
        <v>192</v>
      </c>
      <c r="BM170" s="262" t="s">
        <v>433</v>
      </c>
    </row>
    <row r="171" spans="2:65" s="190" customFormat="1" x14ac:dyDescent="0.2">
      <c r="B171" s="191"/>
      <c r="D171" s="264" t="s">
        <v>194</v>
      </c>
      <c r="F171" s="265" t="s">
        <v>434</v>
      </c>
      <c r="L171" s="191"/>
      <c r="M171" s="266"/>
      <c r="T171" s="267"/>
      <c r="AT171" s="183" t="s">
        <v>194</v>
      </c>
      <c r="AU171" s="183" t="s">
        <v>123</v>
      </c>
    </row>
    <row r="172" spans="2:65" s="190" customFormat="1" ht="24.2" customHeight="1" x14ac:dyDescent="0.2">
      <c r="B172" s="191"/>
      <c r="C172" s="252" t="s">
        <v>435</v>
      </c>
      <c r="D172" s="252" t="s">
        <v>187</v>
      </c>
      <c r="E172" s="253" t="s">
        <v>436</v>
      </c>
      <c r="F172" s="254" t="s">
        <v>437</v>
      </c>
      <c r="G172" s="255" t="s">
        <v>190</v>
      </c>
      <c r="H172" s="256">
        <v>125</v>
      </c>
      <c r="I172" s="257"/>
      <c r="J172" s="257">
        <f>ROUND(I172*H172,2)</f>
        <v>0</v>
      </c>
      <c r="K172" s="254" t="s">
        <v>191</v>
      </c>
      <c r="L172" s="191"/>
      <c r="M172" s="258" t="s">
        <v>129</v>
      </c>
      <c r="N172" s="259" t="s">
        <v>144</v>
      </c>
      <c r="O172" s="260">
        <v>0.438</v>
      </c>
      <c r="P172" s="260">
        <f>O172*H172</f>
        <v>54.75</v>
      </c>
      <c r="Q172" s="260">
        <v>1.2899999999999999E-3</v>
      </c>
      <c r="R172" s="260">
        <f>Q172*H172</f>
        <v>0.16124999999999998</v>
      </c>
      <c r="S172" s="260">
        <v>0</v>
      </c>
      <c r="T172" s="261">
        <f>S172*H172</f>
        <v>0</v>
      </c>
      <c r="AR172" s="262" t="s">
        <v>192</v>
      </c>
      <c r="AT172" s="262" t="s">
        <v>187</v>
      </c>
      <c r="AU172" s="262" t="s">
        <v>123</v>
      </c>
      <c r="AY172" s="183" t="s">
        <v>183</v>
      </c>
      <c r="BE172" s="263">
        <f>IF(N172="základní",J172,0)</f>
        <v>0</v>
      </c>
      <c r="BF172" s="263">
        <f>IF(N172="snížená",J172,0)</f>
        <v>0</v>
      </c>
      <c r="BG172" s="263">
        <f>IF(N172="zákl. přenesená",J172,0)</f>
        <v>0</v>
      </c>
      <c r="BH172" s="263">
        <f>IF(N172="sníž. přenesená",J172,0)</f>
        <v>0</v>
      </c>
      <c r="BI172" s="263">
        <f>IF(N172="nulová",J172,0)</f>
        <v>0</v>
      </c>
      <c r="BJ172" s="183" t="s">
        <v>186</v>
      </c>
      <c r="BK172" s="263">
        <f>ROUND(I172*H172,2)</f>
        <v>0</v>
      </c>
      <c r="BL172" s="183" t="s">
        <v>192</v>
      </c>
      <c r="BM172" s="262" t="s">
        <v>438</v>
      </c>
    </row>
    <row r="173" spans="2:65" s="190" customFormat="1" x14ac:dyDescent="0.2">
      <c r="B173" s="191"/>
      <c r="D173" s="264" t="s">
        <v>194</v>
      </c>
      <c r="F173" s="265" t="s">
        <v>439</v>
      </c>
      <c r="L173" s="191"/>
      <c r="M173" s="266"/>
      <c r="T173" s="267"/>
      <c r="AT173" s="183" t="s">
        <v>194</v>
      </c>
      <c r="AU173" s="183" t="s">
        <v>123</v>
      </c>
    </row>
    <row r="174" spans="2:65" s="190" customFormat="1" ht="24.2" customHeight="1" x14ac:dyDescent="0.2">
      <c r="B174" s="191"/>
      <c r="C174" s="252" t="s">
        <v>440</v>
      </c>
      <c r="D174" s="252" t="s">
        <v>187</v>
      </c>
      <c r="E174" s="253" t="s">
        <v>441</v>
      </c>
      <c r="F174" s="254" t="s">
        <v>442</v>
      </c>
      <c r="G174" s="255" t="s">
        <v>190</v>
      </c>
      <c r="H174" s="256">
        <v>165</v>
      </c>
      <c r="I174" s="257"/>
      <c r="J174" s="257">
        <f>ROUND(I174*H174,2)</f>
        <v>0</v>
      </c>
      <c r="K174" s="254" t="s">
        <v>191</v>
      </c>
      <c r="L174" s="191"/>
      <c r="M174" s="258" t="s">
        <v>129</v>
      </c>
      <c r="N174" s="259" t="s">
        <v>144</v>
      </c>
      <c r="O174" s="260">
        <v>0.443</v>
      </c>
      <c r="P174" s="260">
        <f>O174*H174</f>
        <v>73.094999999999999</v>
      </c>
      <c r="Q174" s="260">
        <v>1.6100000000000001E-3</v>
      </c>
      <c r="R174" s="260">
        <f>Q174*H174</f>
        <v>0.26565</v>
      </c>
      <c r="S174" s="260">
        <v>0</v>
      </c>
      <c r="T174" s="261">
        <f>S174*H174</f>
        <v>0</v>
      </c>
      <c r="AR174" s="262" t="s">
        <v>192</v>
      </c>
      <c r="AT174" s="262" t="s">
        <v>187</v>
      </c>
      <c r="AU174" s="262" t="s">
        <v>123</v>
      </c>
      <c r="AY174" s="183" t="s">
        <v>183</v>
      </c>
      <c r="BE174" s="263">
        <f>IF(N174="základní",J174,0)</f>
        <v>0</v>
      </c>
      <c r="BF174" s="263">
        <f>IF(N174="snížená",J174,0)</f>
        <v>0</v>
      </c>
      <c r="BG174" s="263">
        <f>IF(N174="zákl. přenesená",J174,0)</f>
        <v>0</v>
      </c>
      <c r="BH174" s="263">
        <f>IF(N174="sníž. přenesená",J174,0)</f>
        <v>0</v>
      </c>
      <c r="BI174" s="263">
        <f>IF(N174="nulová",J174,0)</f>
        <v>0</v>
      </c>
      <c r="BJ174" s="183" t="s">
        <v>186</v>
      </c>
      <c r="BK174" s="263">
        <f>ROUND(I174*H174,2)</f>
        <v>0</v>
      </c>
      <c r="BL174" s="183" t="s">
        <v>192</v>
      </c>
      <c r="BM174" s="262" t="s">
        <v>443</v>
      </c>
    </row>
    <row r="175" spans="2:65" s="190" customFormat="1" x14ac:dyDescent="0.2">
      <c r="B175" s="191"/>
      <c r="D175" s="264" t="s">
        <v>194</v>
      </c>
      <c r="F175" s="265" t="s">
        <v>444</v>
      </c>
      <c r="L175" s="191"/>
      <c r="M175" s="266"/>
      <c r="T175" s="267"/>
      <c r="AT175" s="183" t="s">
        <v>194</v>
      </c>
      <c r="AU175" s="183" t="s">
        <v>123</v>
      </c>
    </row>
    <row r="176" spans="2:65" s="190" customFormat="1" ht="24.2" customHeight="1" x14ac:dyDescent="0.2">
      <c r="B176" s="191"/>
      <c r="C176" s="252" t="s">
        <v>445</v>
      </c>
      <c r="D176" s="252" t="s">
        <v>187</v>
      </c>
      <c r="E176" s="253" t="s">
        <v>446</v>
      </c>
      <c r="F176" s="254" t="s">
        <v>447</v>
      </c>
      <c r="G176" s="255" t="s">
        <v>190</v>
      </c>
      <c r="H176" s="256">
        <v>140</v>
      </c>
      <c r="I176" s="257"/>
      <c r="J176" s="257">
        <f>ROUND(I176*H176,2)</f>
        <v>0</v>
      </c>
      <c r="K176" s="254" t="s">
        <v>191</v>
      </c>
      <c r="L176" s="191"/>
      <c r="M176" s="258" t="s">
        <v>129</v>
      </c>
      <c r="N176" s="259" t="s">
        <v>144</v>
      </c>
      <c r="O176" s="260">
        <v>0.46100000000000002</v>
      </c>
      <c r="P176" s="260">
        <f>O176*H176</f>
        <v>64.540000000000006</v>
      </c>
      <c r="Q176" s="260">
        <v>2.0100000000000001E-3</v>
      </c>
      <c r="R176" s="260">
        <f>Q176*H176</f>
        <v>0.28139999999999998</v>
      </c>
      <c r="S176" s="260">
        <v>0</v>
      </c>
      <c r="T176" s="261">
        <f>S176*H176</f>
        <v>0</v>
      </c>
      <c r="AR176" s="262" t="s">
        <v>192</v>
      </c>
      <c r="AT176" s="262" t="s">
        <v>187</v>
      </c>
      <c r="AU176" s="262" t="s">
        <v>123</v>
      </c>
      <c r="AY176" s="183" t="s">
        <v>183</v>
      </c>
      <c r="BE176" s="263">
        <f>IF(N176="základní",J176,0)</f>
        <v>0</v>
      </c>
      <c r="BF176" s="263">
        <f>IF(N176="snížená",J176,0)</f>
        <v>0</v>
      </c>
      <c r="BG176" s="263">
        <f>IF(N176="zákl. přenesená",J176,0)</f>
        <v>0</v>
      </c>
      <c r="BH176" s="263">
        <f>IF(N176="sníž. přenesená",J176,0)</f>
        <v>0</v>
      </c>
      <c r="BI176" s="263">
        <f>IF(N176="nulová",J176,0)</f>
        <v>0</v>
      </c>
      <c r="BJ176" s="183" t="s">
        <v>186</v>
      </c>
      <c r="BK176" s="263">
        <f>ROUND(I176*H176,2)</f>
        <v>0</v>
      </c>
      <c r="BL176" s="183" t="s">
        <v>192</v>
      </c>
      <c r="BM176" s="262" t="s">
        <v>448</v>
      </c>
    </row>
    <row r="177" spans="2:65" s="190" customFormat="1" x14ac:dyDescent="0.2">
      <c r="B177" s="191"/>
      <c r="D177" s="264" t="s">
        <v>194</v>
      </c>
      <c r="F177" s="265" t="s">
        <v>449</v>
      </c>
      <c r="L177" s="191"/>
      <c r="M177" s="266"/>
      <c r="T177" s="267"/>
      <c r="AT177" s="183" t="s">
        <v>194</v>
      </c>
      <c r="AU177" s="183" t="s">
        <v>123</v>
      </c>
    </row>
    <row r="178" spans="2:65" s="190" customFormat="1" ht="24.2" customHeight="1" x14ac:dyDescent="0.2">
      <c r="B178" s="191"/>
      <c r="C178" s="252" t="s">
        <v>450</v>
      </c>
      <c r="D178" s="252" t="s">
        <v>187</v>
      </c>
      <c r="E178" s="253" t="s">
        <v>451</v>
      </c>
      <c r="F178" s="254" t="s">
        <v>452</v>
      </c>
      <c r="G178" s="255" t="s">
        <v>190</v>
      </c>
      <c r="H178" s="256">
        <v>40</v>
      </c>
      <c r="I178" s="257"/>
      <c r="J178" s="257">
        <f>ROUND(I178*H178,2)</f>
        <v>0</v>
      </c>
      <c r="K178" s="254" t="s">
        <v>191</v>
      </c>
      <c r="L178" s="191"/>
      <c r="M178" s="258" t="s">
        <v>129</v>
      </c>
      <c r="N178" s="259" t="s">
        <v>144</v>
      </c>
      <c r="O178" s="260">
        <v>0.50600000000000001</v>
      </c>
      <c r="P178" s="260">
        <f>O178*H178</f>
        <v>20.240000000000002</v>
      </c>
      <c r="Q178" s="260">
        <v>3.3800000000000002E-3</v>
      </c>
      <c r="R178" s="260">
        <f>Q178*H178</f>
        <v>0.13520000000000001</v>
      </c>
      <c r="S178" s="260">
        <v>0</v>
      </c>
      <c r="T178" s="261">
        <f>S178*H178</f>
        <v>0</v>
      </c>
      <c r="AR178" s="262" t="s">
        <v>192</v>
      </c>
      <c r="AT178" s="262" t="s">
        <v>187</v>
      </c>
      <c r="AU178" s="262" t="s">
        <v>123</v>
      </c>
      <c r="AY178" s="183" t="s">
        <v>183</v>
      </c>
      <c r="BE178" s="263">
        <f>IF(N178="základní",J178,0)</f>
        <v>0</v>
      </c>
      <c r="BF178" s="263">
        <f>IF(N178="snížená",J178,0)</f>
        <v>0</v>
      </c>
      <c r="BG178" s="263">
        <f>IF(N178="zákl. přenesená",J178,0)</f>
        <v>0</v>
      </c>
      <c r="BH178" s="263">
        <f>IF(N178="sníž. přenesená",J178,0)</f>
        <v>0</v>
      </c>
      <c r="BI178" s="263">
        <f>IF(N178="nulová",J178,0)</f>
        <v>0</v>
      </c>
      <c r="BJ178" s="183" t="s">
        <v>186</v>
      </c>
      <c r="BK178" s="263">
        <f>ROUND(I178*H178,2)</f>
        <v>0</v>
      </c>
      <c r="BL178" s="183" t="s">
        <v>192</v>
      </c>
      <c r="BM178" s="262" t="s">
        <v>453</v>
      </c>
    </row>
    <row r="179" spans="2:65" s="190" customFormat="1" x14ac:dyDescent="0.2">
      <c r="B179" s="191"/>
      <c r="D179" s="264" t="s">
        <v>194</v>
      </c>
      <c r="F179" s="265" t="s">
        <v>454</v>
      </c>
      <c r="L179" s="191"/>
      <c r="M179" s="266"/>
      <c r="T179" s="267"/>
      <c r="AT179" s="183" t="s">
        <v>194</v>
      </c>
      <c r="AU179" s="183" t="s">
        <v>123</v>
      </c>
    </row>
    <row r="180" spans="2:65" s="190" customFormat="1" ht="33" customHeight="1" x14ac:dyDescent="0.2">
      <c r="B180" s="191"/>
      <c r="C180" s="252" t="s">
        <v>455</v>
      </c>
      <c r="D180" s="252" t="s">
        <v>187</v>
      </c>
      <c r="E180" s="253" t="s">
        <v>456</v>
      </c>
      <c r="F180" s="254" t="s">
        <v>457</v>
      </c>
      <c r="G180" s="255" t="s">
        <v>190</v>
      </c>
      <c r="H180" s="256">
        <v>25</v>
      </c>
      <c r="I180" s="257"/>
      <c r="J180" s="257">
        <f>ROUND(I180*H180,2)</f>
        <v>0</v>
      </c>
      <c r="K180" s="254" t="s">
        <v>191</v>
      </c>
      <c r="L180" s="191"/>
      <c r="M180" s="258" t="s">
        <v>129</v>
      </c>
      <c r="N180" s="259" t="s">
        <v>144</v>
      </c>
      <c r="O180" s="260">
        <v>0.25</v>
      </c>
      <c r="P180" s="260">
        <f>O180*H180</f>
        <v>6.25</v>
      </c>
      <c r="Q180" s="260">
        <v>5.0000000000000002E-5</v>
      </c>
      <c r="R180" s="260">
        <f>Q180*H180</f>
        <v>1.25E-3</v>
      </c>
      <c r="S180" s="260">
        <v>0</v>
      </c>
      <c r="T180" s="261">
        <f>S180*H180</f>
        <v>0</v>
      </c>
      <c r="AR180" s="262" t="s">
        <v>192</v>
      </c>
      <c r="AT180" s="262" t="s">
        <v>187</v>
      </c>
      <c r="AU180" s="262" t="s">
        <v>123</v>
      </c>
      <c r="AY180" s="183" t="s">
        <v>183</v>
      </c>
      <c r="BE180" s="263">
        <f>IF(N180="základní",J180,0)</f>
        <v>0</v>
      </c>
      <c r="BF180" s="263">
        <f>IF(N180="snížená",J180,0)</f>
        <v>0</v>
      </c>
      <c r="BG180" s="263">
        <f>IF(N180="zákl. přenesená",J180,0)</f>
        <v>0</v>
      </c>
      <c r="BH180" s="263">
        <f>IF(N180="sníž. přenesená",J180,0)</f>
        <v>0</v>
      </c>
      <c r="BI180" s="263">
        <f>IF(N180="nulová",J180,0)</f>
        <v>0</v>
      </c>
      <c r="BJ180" s="183" t="s">
        <v>186</v>
      </c>
      <c r="BK180" s="263">
        <f>ROUND(I180*H180,2)</f>
        <v>0</v>
      </c>
      <c r="BL180" s="183" t="s">
        <v>192</v>
      </c>
      <c r="BM180" s="262" t="s">
        <v>458</v>
      </c>
    </row>
    <row r="181" spans="2:65" s="190" customFormat="1" x14ac:dyDescent="0.2">
      <c r="B181" s="191"/>
      <c r="D181" s="264" t="s">
        <v>194</v>
      </c>
      <c r="F181" s="265" t="s">
        <v>459</v>
      </c>
      <c r="L181" s="191"/>
      <c r="M181" s="266"/>
      <c r="T181" s="267"/>
      <c r="AT181" s="183" t="s">
        <v>194</v>
      </c>
      <c r="AU181" s="183" t="s">
        <v>123</v>
      </c>
    </row>
    <row r="182" spans="2:65" s="190" customFormat="1" ht="33" customHeight="1" x14ac:dyDescent="0.2">
      <c r="B182" s="191"/>
      <c r="C182" s="252" t="s">
        <v>460</v>
      </c>
      <c r="D182" s="252" t="s">
        <v>187</v>
      </c>
      <c r="E182" s="253" t="s">
        <v>461</v>
      </c>
      <c r="F182" s="254" t="s">
        <v>462</v>
      </c>
      <c r="G182" s="255" t="s">
        <v>190</v>
      </c>
      <c r="H182" s="256">
        <v>20</v>
      </c>
      <c r="I182" s="257"/>
      <c r="J182" s="257">
        <f>ROUND(I182*H182,2)</f>
        <v>0</v>
      </c>
      <c r="K182" s="254" t="s">
        <v>191</v>
      </c>
      <c r="L182" s="191"/>
      <c r="M182" s="258" t="s">
        <v>129</v>
      </c>
      <c r="N182" s="259" t="s">
        <v>144</v>
      </c>
      <c r="O182" s="260">
        <v>0.27</v>
      </c>
      <c r="P182" s="260">
        <f>O182*H182</f>
        <v>5.4</v>
      </c>
      <c r="Q182" s="260">
        <v>6.0000000000000002E-5</v>
      </c>
      <c r="R182" s="260">
        <f>Q182*H182</f>
        <v>1.2000000000000001E-3</v>
      </c>
      <c r="S182" s="260">
        <v>0</v>
      </c>
      <c r="T182" s="261">
        <f>S182*H182</f>
        <v>0</v>
      </c>
      <c r="AR182" s="262" t="s">
        <v>192</v>
      </c>
      <c r="AT182" s="262" t="s">
        <v>187</v>
      </c>
      <c r="AU182" s="262" t="s">
        <v>123</v>
      </c>
      <c r="AY182" s="183" t="s">
        <v>183</v>
      </c>
      <c r="BE182" s="263">
        <f>IF(N182="základní",J182,0)</f>
        <v>0</v>
      </c>
      <c r="BF182" s="263">
        <f>IF(N182="snížená",J182,0)</f>
        <v>0</v>
      </c>
      <c r="BG182" s="263">
        <f>IF(N182="zákl. přenesená",J182,0)</f>
        <v>0</v>
      </c>
      <c r="BH182" s="263">
        <f>IF(N182="sníž. přenesená",J182,0)</f>
        <v>0</v>
      </c>
      <c r="BI182" s="263">
        <f>IF(N182="nulová",J182,0)</f>
        <v>0</v>
      </c>
      <c r="BJ182" s="183" t="s">
        <v>186</v>
      </c>
      <c r="BK182" s="263">
        <f>ROUND(I182*H182,2)</f>
        <v>0</v>
      </c>
      <c r="BL182" s="183" t="s">
        <v>192</v>
      </c>
      <c r="BM182" s="262" t="s">
        <v>463</v>
      </c>
    </row>
    <row r="183" spans="2:65" s="190" customFormat="1" x14ac:dyDescent="0.2">
      <c r="B183" s="191"/>
      <c r="D183" s="264" t="s">
        <v>194</v>
      </c>
      <c r="F183" s="265" t="s">
        <v>464</v>
      </c>
      <c r="L183" s="191"/>
      <c r="M183" s="266"/>
      <c r="T183" s="267"/>
      <c r="AT183" s="183" t="s">
        <v>194</v>
      </c>
      <c r="AU183" s="183" t="s">
        <v>123</v>
      </c>
    </row>
    <row r="184" spans="2:65" s="190" customFormat="1" ht="33" customHeight="1" x14ac:dyDescent="0.2">
      <c r="B184" s="191"/>
      <c r="C184" s="252" t="s">
        <v>465</v>
      </c>
      <c r="D184" s="252" t="s">
        <v>187</v>
      </c>
      <c r="E184" s="253" t="s">
        <v>466</v>
      </c>
      <c r="F184" s="254" t="s">
        <v>467</v>
      </c>
      <c r="G184" s="255" t="s">
        <v>190</v>
      </c>
      <c r="H184" s="256">
        <v>40</v>
      </c>
      <c r="I184" s="257"/>
      <c r="J184" s="257">
        <f>ROUND(I184*H184,2)</f>
        <v>0</v>
      </c>
      <c r="K184" s="254" t="s">
        <v>191</v>
      </c>
      <c r="L184" s="191"/>
      <c r="M184" s="258" t="s">
        <v>129</v>
      </c>
      <c r="N184" s="259" t="s">
        <v>144</v>
      </c>
      <c r="O184" s="260">
        <v>0.28999999999999998</v>
      </c>
      <c r="P184" s="260">
        <f>O184*H184</f>
        <v>11.6</v>
      </c>
      <c r="Q184" s="260">
        <v>1.3999999999999999E-4</v>
      </c>
      <c r="R184" s="260">
        <f>Q184*H184</f>
        <v>5.5999999999999991E-3</v>
      </c>
      <c r="S184" s="260">
        <v>0</v>
      </c>
      <c r="T184" s="261">
        <f>S184*H184</f>
        <v>0</v>
      </c>
      <c r="AR184" s="262" t="s">
        <v>192</v>
      </c>
      <c r="AT184" s="262" t="s">
        <v>187</v>
      </c>
      <c r="AU184" s="262" t="s">
        <v>123</v>
      </c>
      <c r="AY184" s="183" t="s">
        <v>183</v>
      </c>
      <c r="BE184" s="263">
        <f>IF(N184="základní",J184,0)</f>
        <v>0</v>
      </c>
      <c r="BF184" s="263">
        <f>IF(N184="snížená",J184,0)</f>
        <v>0</v>
      </c>
      <c r="BG184" s="263">
        <f>IF(N184="zákl. přenesená",J184,0)</f>
        <v>0</v>
      </c>
      <c r="BH184" s="263">
        <f>IF(N184="sníž. přenesená",J184,0)</f>
        <v>0</v>
      </c>
      <c r="BI184" s="263">
        <f>IF(N184="nulová",J184,0)</f>
        <v>0</v>
      </c>
      <c r="BJ184" s="183" t="s">
        <v>186</v>
      </c>
      <c r="BK184" s="263">
        <f>ROUND(I184*H184,2)</f>
        <v>0</v>
      </c>
      <c r="BL184" s="183" t="s">
        <v>192</v>
      </c>
      <c r="BM184" s="262" t="s">
        <v>468</v>
      </c>
    </row>
    <row r="185" spans="2:65" s="190" customFormat="1" x14ac:dyDescent="0.2">
      <c r="B185" s="191"/>
      <c r="D185" s="264" t="s">
        <v>194</v>
      </c>
      <c r="F185" s="265" t="s">
        <v>469</v>
      </c>
      <c r="L185" s="191"/>
      <c r="M185" s="266"/>
      <c r="T185" s="267"/>
      <c r="AT185" s="183" t="s">
        <v>194</v>
      </c>
      <c r="AU185" s="183" t="s">
        <v>123</v>
      </c>
    </row>
    <row r="186" spans="2:65" s="190" customFormat="1" ht="33" customHeight="1" x14ac:dyDescent="0.2">
      <c r="B186" s="191"/>
      <c r="C186" s="252" t="s">
        <v>470</v>
      </c>
      <c r="D186" s="252" t="s">
        <v>187</v>
      </c>
      <c r="E186" s="253" t="s">
        <v>471</v>
      </c>
      <c r="F186" s="254" t="s">
        <v>472</v>
      </c>
      <c r="G186" s="255" t="s">
        <v>190</v>
      </c>
      <c r="H186" s="256">
        <v>40</v>
      </c>
      <c r="I186" s="257"/>
      <c r="J186" s="257">
        <f>ROUND(I186*H186,2)</f>
        <v>0</v>
      </c>
      <c r="K186" s="254" t="s">
        <v>191</v>
      </c>
      <c r="L186" s="191"/>
      <c r="M186" s="258" t="s">
        <v>129</v>
      </c>
      <c r="N186" s="259" t="s">
        <v>144</v>
      </c>
      <c r="O186" s="260">
        <v>0.31</v>
      </c>
      <c r="P186" s="260">
        <f>O186*H186</f>
        <v>12.4</v>
      </c>
      <c r="Q186" s="260">
        <v>2.4000000000000001E-4</v>
      </c>
      <c r="R186" s="260">
        <f>Q186*H186</f>
        <v>9.6000000000000009E-3</v>
      </c>
      <c r="S186" s="260">
        <v>0</v>
      </c>
      <c r="T186" s="261">
        <f>S186*H186</f>
        <v>0</v>
      </c>
      <c r="AR186" s="262" t="s">
        <v>192</v>
      </c>
      <c r="AT186" s="262" t="s">
        <v>187</v>
      </c>
      <c r="AU186" s="262" t="s">
        <v>123</v>
      </c>
      <c r="AY186" s="183" t="s">
        <v>183</v>
      </c>
      <c r="BE186" s="263">
        <f>IF(N186="základní",J186,0)</f>
        <v>0</v>
      </c>
      <c r="BF186" s="263">
        <f>IF(N186="snížená",J186,0)</f>
        <v>0</v>
      </c>
      <c r="BG186" s="263">
        <f>IF(N186="zákl. přenesená",J186,0)</f>
        <v>0</v>
      </c>
      <c r="BH186" s="263">
        <f>IF(N186="sníž. přenesená",J186,0)</f>
        <v>0</v>
      </c>
      <c r="BI186" s="263">
        <f>IF(N186="nulová",J186,0)</f>
        <v>0</v>
      </c>
      <c r="BJ186" s="183" t="s">
        <v>186</v>
      </c>
      <c r="BK186" s="263">
        <f>ROUND(I186*H186,2)</f>
        <v>0</v>
      </c>
      <c r="BL186" s="183" t="s">
        <v>192</v>
      </c>
      <c r="BM186" s="262" t="s">
        <v>473</v>
      </c>
    </row>
    <row r="187" spans="2:65" s="190" customFormat="1" x14ac:dyDescent="0.2">
      <c r="B187" s="191"/>
      <c r="D187" s="264" t="s">
        <v>194</v>
      </c>
      <c r="F187" s="265" t="s">
        <v>474</v>
      </c>
      <c r="L187" s="191"/>
      <c r="M187" s="266"/>
      <c r="T187" s="267"/>
      <c r="AT187" s="183" t="s">
        <v>194</v>
      </c>
      <c r="AU187" s="183" t="s">
        <v>123</v>
      </c>
    </row>
    <row r="188" spans="2:65" s="190" customFormat="1" ht="24.2" customHeight="1" x14ac:dyDescent="0.2">
      <c r="B188" s="191"/>
      <c r="C188" s="252" t="s">
        <v>475</v>
      </c>
      <c r="D188" s="252" t="s">
        <v>187</v>
      </c>
      <c r="E188" s="253" t="s">
        <v>476</v>
      </c>
      <c r="F188" s="254" t="s">
        <v>477</v>
      </c>
      <c r="G188" s="255" t="s">
        <v>241</v>
      </c>
      <c r="H188" s="256">
        <v>114</v>
      </c>
      <c r="I188" s="257"/>
      <c r="J188" s="257">
        <f>ROUND(I188*H188,2)</f>
        <v>0</v>
      </c>
      <c r="K188" s="254" t="s">
        <v>191</v>
      </c>
      <c r="L188" s="191"/>
      <c r="M188" s="258" t="s">
        <v>129</v>
      </c>
      <c r="N188" s="259" t="s">
        <v>144</v>
      </c>
      <c r="O188" s="260">
        <v>0.33500000000000002</v>
      </c>
      <c r="P188" s="260">
        <f>O188*H188</f>
        <v>38.190000000000005</v>
      </c>
      <c r="Q188" s="260">
        <v>1.0000000000000001E-5</v>
      </c>
      <c r="R188" s="260">
        <f>Q188*H188</f>
        <v>1.1400000000000002E-3</v>
      </c>
      <c r="S188" s="260">
        <v>0</v>
      </c>
      <c r="T188" s="261">
        <f>S188*H188</f>
        <v>0</v>
      </c>
      <c r="AR188" s="262" t="s">
        <v>192</v>
      </c>
      <c r="AT188" s="262" t="s">
        <v>187</v>
      </c>
      <c r="AU188" s="262" t="s">
        <v>123</v>
      </c>
      <c r="AY188" s="183" t="s">
        <v>183</v>
      </c>
      <c r="BE188" s="263">
        <f>IF(N188="základní",J188,0)</f>
        <v>0</v>
      </c>
      <c r="BF188" s="263">
        <f>IF(N188="snížená",J188,0)</f>
        <v>0</v>
      </c>
      <c r="BG188" s="263">
        <f>IF(N188="zákl. přenesená",J188,0)</f>
        <v>0</v>
      </c>
      <c r="BH188" s="263">
        <f>IF(N188="sníž. přenesená",J188,0)</f>
        <v>0</v>
      </c>
      <c r="BI188" s="263">
        <f>IF(N188="nulová",J188,0)</f>
        <v>0</v>
      </c>
      <c r="BJ188" s="183" t="s">
        <v>186</v>
      </c>
      <c r="BK188" s="263">
        <f>ROUND(I188*H188,2)</f>
        <v>0</v>
      </c>
      <c r="BL188" s="183" t="s">
        <v>192</v>
      </c>
      <c r="BM188" s="262" t="s">
        <v>478</v>
      </c>
    </row>
    <row r="189" spans="2:65" s="190" customFormat="1" x14ac:dyDescent="0.2">
      <c r="B189" s="191"/>
      <c r="D189" s="264" t="s">
        <v>194</v>
      </c>
      <c r="F189" s="265" t="s">
        <v>479</v>
      </c>
      <c r="L189" s="191"/>
      <c r="M189" s="266"/>
      <c r="T189" s="267"/>
      <c r="AT189" s="183" t="s">
        <v>194</v>
      </c>
      <c r="AU189" s="183" t="s">
        <v>123</v>
      </c>
    </row>
    <row r="190" spans="2:65" s="190" customFormat="1" ht="24.2" customHeight="1" x14ac:dyDescent="0.2">
      <c r="B190" s="191"/>
      <c r="C190" s="252" t="s">
        <v>480</v>
      </c>
      <c r="D190" s="252" t="s">
        <v>187</v>
      </c>
      <c r="E190" s="253" t="s">
        <v>481</v>
      </c>
      <c r="F190" s="254" t="s">
        <v>482</v>
      </c>
      <c r="G190" s="255" t="s">
        <v>190</v>
      </c>
      <c r="H190" s="256">
        <v>1020</v>
      </c>
      <c r="I190" s="257"/>
      <c r="J190" s="257">
        <f>ROUND(I190*H190,2)</f>
        <v>0</v>
      </c>
      <c r="K190" s="254" t="s">
        <v>191</v>
      </c>
      <c r="L190" s="191"/>
      <c r="M190" s="258" t="s">
        <v>129</v>
      </c>
      <c r="N190" s="259" t="s">
        <v>144</v>
      </c>
      <c r="O190" s="260">
        <v>3.7999999999999999E-2</v>
      </c>
      <c r="P190" s="260">
        <f>O190*H190</f>
        <v>38.76</v>
      </c>
      <c r="Q190" s="260">
        <v>0</v>
      </c>
      <c r="R190" s="260">
        <f>Q190*H190</f>
        <v>0</v>
      </c>
      <c r="S190" s="260">
        <v>0</v>
      </c>
      <c r="T190" s="261">
        <f>S190*H190</f>
        <v>0</v>
      </c>
      <c r="AR190" s="262" t="s">
        <v>192</v>
      </c>
      <c r="AT190" s="262" t="s">
        <v>187</v>
      </c>
      <c r="AU190" s="262" t="s">
        <v>123</v>
      </c>
      <c r="AY190" s="183" t="s">
        <v>183</v>
      </c>
      <c r="BE190" s="263">
        <f>IF(N190="základní",J190,0)</f>
        <v>0</v>
      </c>
      <c r="BF190" s="263">
        <f>IF(N190="snížená",J190,0)</f>
        <v>0</v>
      </c>
      <c r="BG190" s="263">
        <f>IF(N190="zákl. přenesená",J190,0)</f>
        <v>0</v>
      </c>
      <c r="BH190" s="263">
        <f>IF(N190="sníž. přenesená",J190,0)</f>
        <v>0</v>
      </c>
      <c r="BI190" s="263">
        <f>IF(N190="nulová",J190,0)</f>
        <v>0</v>
      </c>
      <c r="BJ190" s="183" t="s">
        <v>186</v>
      </c>
      <c r="BK190" s="263">
        <f>ROUND(I190*H190,2)</f>
        <v>0</v>
      </c>
      <c r="BL190" s="183" t="s">
        <v>192</v>
      </c>
      <c r="BM190" s="262" t="s">
        <v>483</v>
      </c>
    </row>
    <row r="191" spans="2:65" s="190" customFormat="1" x14ac:dyDescent="0.2">
      <c r="B191" s="191"/>
      <c r="D191" s="264" t="s">
        <v>194</v>
      </c>
      <c r="F191" s="265" t="s">
        <v>484</v>
      </c>
      <c r="L191" s="191"/>
      <c r="M191" s="266"/>
      <c r="T191" s="267"/>
      <c r="AT191" s="183" t="s">
        <v>194</v>
      </c>
      <c r="AU191" s="183" t="s">
        <v>123</v>
      </c>
    </row>
    <row r="192" spans="2:65" s="190" customFormat="1" ht="24.2" customHeight="1" x14ac:dyDescent="0.2">
      <c r="B192" s="191"/>
      <c r="C192" s="252" t="s">
        <v>485</v>
      </c>
      <c r="D192" s="252" t="s">
        <v>187</v>
      </c>
      <c r="E192" s="253" t="s">
        <v>486</v>
      </c>
      <c r="F192" s="254" t="s">
        <v>487</v>
      </c>
      <c r="G192" s="255" t="s">
        <v>190</v>
      </c>
      <c r="H192" s="256">
        <v>180</v>
      </c>
      <c r="I192" s="257"/>
      <c r="J192" s="257">
        <f>ROUND(I192*H192,2)</f>
        <v>0</v>
      </c>
      <c r="K192" s="254" t="s">
        <v>191</v>
      </c>
      <c r="L192" s="191"/>
      <c r="M192" s="258" t="s">
        <v>129</v>
      </c>
      <c r="N192" s="259" t="s">
        <v>144</v>
      </c>
      <c r="O192" s="260">
        <v>4.5999999999999999E-2</v>
      </c>
      <c r="P192" s="260">
        <f>O192*H192</f>
        <v>8.2799999999999994</v>
      </c>
      <c r="Q192" s="260">
        <v>0</v>
      </c>
      <c r="R192" s="260">
        <f>Q192*H192</f>
        <v>0</v>
      </c>
      <c r="S192" s="260">
        <v>0</v>
      </c>
      <c r="T192" s="261">
        <f>S192*H192</f>
        <v>0</v>
      </c>
      <c r="AR192" s="262" t="s">
        <v>192</v>
      </c>
      <c r="AT192" s="262" t="s">
        <v>187</v>
      </c>
      <c r="AU192" s="262" t="s">
        <v>123</v>
      </c>
      <c r="AY192" s="183" t="s">
        <v>183</v>
      </c>
      <c r="BE192" s="263">
        <f>IF(N192="základní",J192,0)</f>
        <v>0</v>
      </c>
      <c r="BF192" s="263">
        <f>IF(N192="snížená",J192,0)</f>
        <v>0</v>
      </c>
      <c r="BG192" s="263">
        <f>IF(N192="zákl. přenesená",J192,0)</f>
        <v>0</v>
      </c>
      <c r="BH192" s="263">
        <f>IF(N192="sníž. přenesená",J192,0)</f>
        <v>0</v>
      </c>
      <c r="BI192" s="263">
        <f>IF(N192="nulová",J192,0)</f>
        <v>0</v>
      </c>
      <c r="BJ192" s="183" t="s">
        <v>186</v>
      </c>
      <c r="BK192" s="263">
        <f>ROUND(I192*H192,2)</f>
        <v>0</v>
      </c>
      <c r="BL192" s="183" t="s">
        <v>192</v>
      </c>
      <c r="BM192" s="262" t="s">
        <v>488</v>
      </c>
    </row>
    <row r="193" spans="2:65" s="190" customFormat="1" x14ac:dyDescent="0.2">
      <c r="B193" s="191"/>
      <c r="D193" s="264" t="s">
        <v>194</v>
      </c>
      <c r="F193" s="265" t="s">
        <v>489</v>
      </c>
      <c r="L193" s="191"/>
      <c r="M193" s="266"/>
      <c r="T193" s="267"/>
      <c r="AT193" s="183" t="s">
        <v>194</v>
      </c>
      <c r="AU193" s="183" t="s">
        <v>123</v>
      </c>
    </row>
    <row r="194" spans="2:65" s="190" customFormat="1" ht="33" customHeight="1" x14ac:dyDescent="0.2">
      <c r="B194" s="191"/>
      <c r="C194" s="252" t="s">
        <v>323</v>
      </c>
      <c r="D194" s="252" t="s">
        <v>187</v>
      </c>
      <c r="E194" s="253" t="s">
        <v>490</v>
      </c>
      <c r="F194" s="254" t="s">
        <v>491</v>
      </c>
      <c r="G194" s="255" t="s">
        <v>241</v>
      </c>
      <c r="H194" s="256">
        <v>40</v>
      </c>
      <c r="I194" s="257"/>
      <c r="J194" s="257">
        <f>ROUND(I194*H194,2)</f>
        <v>0</v>
      </c>
      <c r="K194" s="254" t="s">
        <v>129</v>
      </c>
      <c r="L194" s="191"/>
      <c r="M194" s="258" t="s">
        <v>129</v>
      </c>
      <c r="N194" s="259" t="s">
        <v>144</v>
      </c>
      <c r="O194" s="260">
        <v>0.32</v>
      </c>
      <c r="P194" s="260">
        <f>O194*H194</f>
        <v>12.8</v>
      </c>
      <c r="Q194" s="260">
        <v>1.08E-3</v>
      </c>
      <c r="R194" s="260">
        <f>Q194*H194</f>
        <v>4.3200000000000002E-2</v>
      </c>
      <c r="S194" s="260">
        <v>0</v>
      </c>
      <c r="T194" s="261">
        <f>S194*H194</f>
        <v>0</v>
      </c>
      <c r="AR194" s="262" t="s">
        <v>192</v>
      </c>
      <c r="AT194" s="262" t="s">
        <v>187</v>
      </c>
      <c r="AU194" s="262" t="s">
        <v>123</v>
      </c>
      <c r="AY194" s="183" t="s">
        <v>183</v>
      </c>
      <c r="BE194" s="263">
        <f>IF(N194="základní",J194,0)</f>
        <v>0</v>
      </c>
      <c r="BF194" s="263">
        <f>IF(N194="snížená",J194,0)</f>
        <v>0</v>
      </c>
      <c r="BG194" s="263">
        <f>IF(N194="zákl. přenesená",J194,0)</f>
        <v>0</v>
      </c>
      <c r="BH194" s="263">
        <f>IF(N194="sníž. přenesená",J194,0)</f>
        <v>0</v>
      </c>
      <c r="BI194" s="263">
        <f>IF(N194="nulová",J194,0)</f>
        <v>0</v>
      </c>
      <c r="BJ194" s="183" t="s">
        <v>186</v>
      </c>
      <c r="BK194" s="263">
        <f>ROUND(I194*H194,2)</f>
        <v>0</v>
      </c>
      <c r="BL194" s="183" t="s">
        <v>192</v>
      </c>
      <c r="BM194" s="262" t="s">
        <v>492</v>
      </c>
    </row>
    <row r="195" spans="2:65" s="190" customFormat="1" ht="24.2" customHeight="1" x14ac:dyDescent="0.2">
      <c r="B195" s="191"/>
      <c r="C195" s="252" t="s">
        <v>493</v>
      </c>
      <c r="D195" s="252" t="s">
        <v>187</v>
      </c>
      <c r="E195" s="253" t="s">
        <v>494</v>
      </c>
      <c r="F195" s="254" t="s">
        <v>495</v>
      </c>
      <c r="G195" s="255" t="s">
        <v>241</v>
      </c>
      <c r="H195" s="256">
        <v>6</v>
      </c>
      <c r="I195" s="257"/>
      <c r="J195" s="257">
        <f>ROUND(I195*H195,2)</f>
        <v>0</v>
      </c>
      <c r="K195" s="254" t="s">
        <v>129</v>
      </c>
      <c r="L195" s="191"/>
      <c r="M195" s="258" t="s">
        <v>129</v>
      </c>
      <c r="N195" s="259" t="s">
        <v>144</v>
      </c>
      <c r="O195" s="260">
        <v>0</v>
      </c>
      <c r="P195" s="260">
        <f>O195*H195</f>
        <v>0</v>
      </c>
      <c r="Q195" s="260">
        <v>0</v>
      </c>
      <c r="R195" s="260">
        <f>Q195*H195</f>
        <v>0</v>
      </c>
      <c r="S195" s="260">
        <v>0</v>
      </c>
      <c r="T195" s="261">
        <f>S195*H195</f>
        <v>0</v>
      </c>
      <c r="AR195" s="262" t="s">
        <v>192</v>
      </c>
      <c r="AT195" s="262" t="s">
        <v>187</v>
      </c>
      <c r="AU195" s="262" t="s">
        <v>123</v>
      </c>
      <c r="AY195" s="183" t="s">
        <v>183</v>
      </c>
      <c r="BE195" s="263">
        <f>IF(N195="základní",J195,0)</f>
        <v>0</v>
      </c>
      <c r="BF195" s="263">
        <f>IF(N195="snížená",J195,0)</f>
        <v>0</v>
      </c>
      <c r="BG195" s="263">
        <f>IF(N195="zákl. přenesená",J195,0)</f>
        <v>0</v>
      </c>
      <c r="BH195" s="263">
        <f>IF(N195="sníž. přenesená",J195,0)</f>
        <v>0</v>
      </c>
      <c r="BI195" s="263">
        <f>IF(N195="nulová",J195,0)</f>
        <v>0</v>
      </c>
      <c r="BJ195" s="183" t="s">
        <v>186</v>
      </c>
      <c r="BK195" s="263">
        <f>ROUND(I195*H195,2)</f>
        <v>0</v>
      </c>
      <c r="BL195" s="183" t="s">
        <v>192</v>
      </c>
      <c r="BM195" s="262" t="s">
        <v>496</v>
      </c>
    </row>
    <row r="196" spans="2:65" s="190" customFormat="1" ht="49.15" customHeight="1" x14ac:dyDescent="0.2">
      <c r="B196" s="191"/>
      <c r="C196" s="252" t="s">
        <v>497</v>
      </c>
      <c r="D196" s="252" t="s">
        <v>187</v>
      </c>
      <c r="E196" s="253" t="s">
        <v>498</v>
      </c>
      <c r="F196" s="254" t="s">
        <v>499</v>
      </c>
      <c r="G196" s="255" t="s">
        <v>228</v>
      </c>
      <c r="H196" s="256">
        <v>1.3080000000000001</v>
      </c>
      <c r="I196" s="257"/>
      <c r="J196" s="257">
        <f>ROUND(I196*H196,2)</f>
        <v>0</v>
      </c>
      <c r="K196" s="254" t="s">
        <v>191</v>
      </c>
      <c r="L196" s="191"/>
      <c r="M196" s="258" t="s">
        <v>129</v>
      </c>
      <c r="N196" s="259" t="s">
        <v>144</v>
      </c>
      <c r="O196" s="260">
        <v>1.93</v>
      </c>
      <c r="P196" s="260">
        <f>O196*H196</f>
        <v>2.5244400000000002</v>
      </c>
      <c r="Q196" s="260">
        <v>0</v>
      </c>
      <c r="R196" s="260">
        <f>Q196*H196</f>
        <v>0</v>
      </c>
      <c r="S196" s="260">
        <v>0</v>
      </c>
      <c r="T196" s="261">
        <f>S196*H196</f>
        <v>0</v>
      </c>
      <c r="AR196" s="262" t="s">
        <v>192</v>
      </c>
      <c r="AT196" s="262" t="s">
        <v>187</v>
      </c>
      <c r="AU196" s="262" t="s">
        <v>123</v>
      </c>
      <c r="AY196" s="183" t="s">
        <v>183</v>
      </c>
      <c r="BE196" s="263">
        <f>IF(N196="základní",J196,0)</f>
        <v>0</v>
      </c>
      <c r="BF196" s="263">
        <f>IF(N196="snížená",J196,0)</f>
        <v>0</v>
      </c>
      <c r="BG196" s="263">
        <f>IF(N196="zákl. přenesená",J196,0)</f>
        <v>0</v>
      </c>
      <c r="BH196" s="263">
        <f>IF(N196="sníž. přenesená",J196,0)</f>
        <v>0</v>
      </c>
      <c r="BI196" s="263">
        <f>IF(N196="nulová",J196,0)</f>
        <v>0</v>
      </c>
      <c r="BJ196" s="183" t="s">
        <v>186</v>
      </c>
      <c r="BK196" s="263">
        <f>ROUND(I196*H196,2)</f>
        <v>0</v>
      </c>
      <c r="BL196" s="183" t="s">
        <v>192</v>
      </c>
      <c r="BM196" s="262" t="s">
        <v>500</v>
      </c>
    </row>
    <row r="197" spans="2:65" s="190" customFormat="1" x14ac:dyDescent="0.2">
      <c r="B197" s="191"/>
      <c r="D197" s="264" t="s">
        <v>194</v>
      </c>
      <c r="F197" s="265" t="s">
        <v>501</v>
      </c>
      <c r="L197" s="191"/>
      <c r="M197" s="266"/>
      <c r="T197" s="267"/>
      <c r="AT197" s="183" t="s">
        <v>194</v>
      </c>
      <c r="AU197" s="183" t="s">
        <v>123</v>
      </c>
    </row>
    <row r="198" spans="2:65" s="240" customFormat="1" ht="22.9" customHeight="1" x14ac:dyDescent="0.2">
      <c r="B198" s="241"/>
      <c r="D198" s="242" t="s">
        <v>180</v>
      </c>
      <c r="E198" s="250" t="s">
        <v>502</v>
      </c>
      <c r="F198" s="250" t="s">
        <v>503</v>
      </c>
      <c r="J198" s="251">
        <f>BK198</f>
        <v>0</v>
      </c>
      <c r="L198" s="241"/>
      <c r="M198" s="245"/>
      <c r="P198" s="246">
        <f>SUM(P199:P241)</f>
        <v>43.054499999999997</v>
      </c>
      <c r="R198" s="246">
        <f>SUM(R199:R241)</f>
        <v>0.1093820256</v>
      </c>
      <c r="T198" s="247">
        <f>SUM(T199:T241)</f>
        <v>0</v>
      </c>
      <c r="AR198" s="242" t="s">
        <v>123</v>
      </c>
      <c r="AT198" s="248" t="s">
        <v>180</v>
      </c>
      <c r="AU198" s="248" t="s">
        <v>186</v>
      </c>
      <c r="AY198" s="242" t="s">
        <v>183</v>
      </c>
      <c r="BK198" s="249">
        <f>SUM(BK199:BK241)</f>
        <v>0</v>
      </c>
    </row>
    <row r="199" spans="2:65" s="190" customFormat="1" ht="21.75" customHeight="1" x14ac:dyDescent="0.2">
      <c r="B199" s="191"/>
      <c r="C199" s="252" t="s">
        <v>504</v>
      </c>
      <c r="D199" s="252" t="s">
        <v>187</v>
      </c>
      <c r="E199" s="253" t="s">
        <v>505</v>
      </c>
      <c r="F199" s="254" t="s">
        <v>506</v>
      </c>
      <c r="G199" s="255" t="s">
        <v>241</v>
      </c>
      <c r="H199" s="256">
        <v>88</v>
      </c>
      <c r="I199" s="257"/>
      <c r="J199" s="257">
        <f>ROUND(I199*H199,2)</f>
        <v>0</v>
      </c>
      <c r="K199" s="254" t="s">
        <v>191</v>
      </c>
      <c r="L199" s="191"/>
      <c r="M199" s="258" t="s">
        <v>129</v>
      </c>
      <c r="N199" s="259" t="s">
        <v>144</v>
      </c>
      <c r="O199" s="260">
        <v>0.16500000000000001</v>
      </c>
      <c r="P199" s="260">
        <f>O199*H199</f>
        <v>14.520000000000001</v>
      </c>
      <c r="Q199" s="260">
        <v>8.0000000000000007E-5</v>
      </c>
      <c r="R199" s="260">
        <f>Q199*H199</f>
        <v>7.0400000000000003E-3</v>
      </c>
      <c r="S199" s="260">
        <v>0</v>
      </c>
      <c r="T199" s="261">
        <f>S199*H199</f>
        <v>0</v>
      </c>
      <c r="AR199" s="262" t="s">
        <v>192</v>
      </c>
      <c r="AT199" s="262" t="s">
        <v>187</v>
      </c>
      <c r="AU199" s="262" t="s">
        <v>123</v>
      </c>
      <c r="AY199" s="183" t="s">
        <v>183</v>
      </c>
      <c r="BE199" s="263">
        <f>IF(N199="základní",J199,0)</f>
        <v>0</v>
      </c>
      <c r="BF199" s="263">
        <f>IF(N199="snížená",J199,0)</f>
        <v>0</v>
      </c>
      <c r="BG199" s="263">
        <f>IF(N199="zákl. přenesená",J199,0)</f>
        <v>0</v>
      </c>
      <c r="BH199" s="263">
        <f>IF(N199="sníž. přenesená",J199,0)</f>
        <v>0</v>
      </c>
      <c r="BI199" s="263">
        <f>IF(N199="nulová",J199,0)</f>
        <v>0</v>
      </c>
      <c r="BJ199" s="183" t="s">
        <v>186</v>
      </c>
      <c r="BK199" s="263">
        <f>ROUND(I199*H199,2)</f>
        <v>0</v>
      </c>
      <c r="BL199" s="183" t="s">
        <v>192</v>
      </c>
      <c r="BM199" s="262" t="s">
        <v>507</v>
      </c>
    </row>
    <row r="200" spans="2:65" s="190" customFormat="1" x14ac:dyDescent="0.2">
      <c r="B200" s="191"/>
      <c r="D200" s="264" t="s">
        <v>194</v>
      </c>
      <c r="F200" s="265" t="s">
        <v>508</v>
      </c>
      <c r="L200" s="191"/>
      <c r="M200" s="266"/>
      <c r="T200" s="267"/>
      <c r="AT200" s="183" t="s">
        <v>194</v>
      </c>
      <c r="AU200" s="183" t="s">
        <v>123</v>
      </c>
    </row>
    <row r="201" spans="2:65" s="190" customFormat="1" ht="37.9" customHeight="1" x14ac:dyDescent="0.2">
      <c r="B201" s="191"/>
      <c r="C201" s="268" t="s">
        <v>509</v>
      </c>
      <c r="D201" s="268" t="s">
        <v>196</v>
      </c>
      <c r="E201" s="269" t="s">
        <v>510</v>
      </c>
      <c r="F201" s="270" t="s">
        <v>511</v>
      </c>
      <c r="G201" s="271" t="s">
        <v>241</v>
      </c>
      <c r="H201" s="272">
        <v>19</v>
      </c>
      <c r="I201" s="273"/>
      <c r="J201" s="273">
        <f>ROUND(I201*H201,2)</f>
        <v>0</v>
      </c>
      <c r="K201" s="270" t="s">
        <v>129</v>
      </c>
      <c r="L201" s="274"/>
      <c r="M201" s="275" t="s">
        <v>129</v>
      </c>
      <c r="N201" s="276" t="s">
        <v>144</v>
      </c>
      <c r="O201" s="260">
        <v>0</v>
      </c>
      <c r="P201" s="260">
        <f>O201*H201</f>
        <v>0</v>
      </c>
      <c r="Q201" s="260">
        <v>2.7999999999999998E-4</v>
      </c>
      <c r="R201" s="260">
        <f>Q201*H201</f>
        <v>5.3199999999999992E-3</v>
      </c>
      <c r="S201" s="260">
        <v>0</v>
      </c>
      <c r="T201" s="261">
        <f>S201*H201</f>
        <v>0</v>
      </c>
      <c r="AR201" s="262" t="s">
        <v>199</v>
      </c>
      <c r="AT201" s="262" t="s">
        <v>196</v>
      </c>
      <c r="AU201" s="262" t="s">
        <v>123</v>
      </c>
      <c r="AY201" s="183" t="s">
        <v>183</v>
      </c>
      <c r="BE201" s="263">
        <f>IF(N201="základní",J201,0)</f>
        <v>0</v>
      </c>
      <c r="BF201" s="263">
        <f>IF(N201="snížená",J201,0)</f>
        <v>0</v>
      </c>
      <c r="BG201" s="263">
        <f>IF(N201="zákl. přenesená",J201,0)</f>
        <v>0</v>
      </c>
      <c r="BH201" s="263">
        <f>IF(N201="sníž. přenesená",J201,0)</f>
        <v>0</v>
      </c>
      <c r="BI201" s="263">
        <f>IF(N201="nulová",J201,0)</f>
        <v>0</v>
      </c>
      <c r="BJ201" s="183" t="s">
        <v>186</v>
      </c>
      <c r="BK201" s="263">
        <f>ROUND(I201*H201,2)</f>
        <v>0</v>
      </c>
      <c r="BL201" s="183" t="s">
        <v>192</v>
      </c>
      <c r="BM201" s="262" t="s">
        <v>512</v>
      </c>
    </row>
    <row r="202" spans="2:65" s="190" customFormat="1" ht="37.9" customHeight="1" x14ac:dyDescent="0.2">
      <c r="B202" s="191"/>
      <c r="C202" s="268" t="s">
        <v>513</v>
      </c>
      <c r="D202" s="268" t="s">
        <v>196</v>
      </c>
      <c r="E202" s="269" t="s">
        <v>514</v>
      </c>
      <c r="F202" s="270" t="s">
        <v>515</v>
      </c>
      <c r="G202" s="271" t="s">
        <v>241</v>
      </c>
      <c r="H202" s="272">
        <v>24</v>
      </c>
      <c r="I202" s="273"/>
      <c r="J202" s="273">
        <f>ROUND(I202*H202,2)</f>
        <v>0</v>
      </c>
      <c r="K202" s="270" t="s">
        <v>129</v>
      </c>
      <c r="L202" s="274"/>
      <c r="M202" s="275" t="s">
        <v>129</v>
      </c>
      <c r="N202" s="276" t="s">
        <v>144</v>
      </c>
      <c r="O202" s="260">
        <v>0</v>
      </c>
      <c r="P202" s="260">
        <f>O202*H202</f>
        <v>0</v>
      </c>
      <c r="Q202" s="260">
        <v>2.7999999999999998E-4</v>
      </c>
      <c r="R202" s="260">
        <f>Q202*H202</f>
        <v>6.7199999999999994E-3</v>
      </c>
      <c r="S202" s="260">
        <v>0</v>
      </c>
      <c r="T202" s="261">
        <f>S202*H202</f>
        <v>0</v>
      </c>
      <c r="AR202" s="262" t="s">
        <v>199</v>
      </c>
      <c r="AT202" s="262" t="s">
        <v>196</v>
      </c>
      <c r="AU202" s="262" t="s">
        <v>123</v>
      </c>
      <c r="AY202" s="183" t="s">
        <v>183</v>
      </c>
      <c r="BE202" s="263">
        <f>IF(N202="základní",J202,0)</f>
        <v>0</v>
      </c>
      <c r="BF202" s="263">
        <f>IF(N202="snížená",J202,0)</f>
        <v>0</v>
      </c>
      <c r="BG202" s="263">
        <f>IF(N202="zákl. přenesená",J202,0)</f>
        <v>0</v>
      </c>
      <c r="BH202" s="263">
        <f>IF(N202="sníž. přenesená",J202,0)</f>
        <v>0</v>
      </c>
      <c r="BI202" s="263">
        <f>IF(N202="nulová",J202,0)</f>
        <v>0</v>
      </c>
      <c r="BJ202" s="183" t="s">
        <v>186</v>
      </c>
      <c r="BK202" s="263">
        <f>ROUND(I202*H202,2)</f>
        <v>0</v>
      </c>
      <c r="BL202" s="183" t="s">
        <v>192</v>
      </c>
      <c r="BM202" s="262" t="s">
        <v>516</v>
      </c>
    </row>
    <row r="203" spans="2:65" s="190" customFormat="1" ht="24.2" customHeight="1" x14ac:dyDescent="0.2">
      <c r="B203" s="191"/>
      <c r="C203" s="268" t="s">
        <v>517</v>
      </c>
      <c r="D203" s="268" t="s">
        <v>196</v>
      </c>
      <c r="E203" s="269" t="s">
        <v>518</v>
      </c>
      <c r="F203" s="270" t="s">
        <v>519</v>
      </c>
      <c r="G203" s="271" t="s">
        <v>241</v>
      </c>
      <c r="H203" s="272">
        <v>24</v>
      </c>
      <c r="I203" s="273"/>
      <c r="J203" s="273">
        <f>ROUND(I203*H203,2)</f>
        <v>0</v>
      </c>
      <c r="K203" s="270" t="s">
        <v>129</v>
      </c>
      <c r="L203" s="274"/>
      <c r="M203" s="275" t="s">
        <v>129</v>
      </c>
      <c r="N203" s="276" t="s">
        <v>144</v>
      </c>
      <c r="O203" s="260">
        <v>0</v>
      </c>
      <c r="P203" s="260">
        <f>O203*H203</f>
        <v>0</v>
      </c>
      <c r="Q203" s="260">
        <v>2.7999999999999998E-4</v>
      </c>
      <c r="R203" s="260">
        <f>Q203*H203</f>
        <v>6.7199999999999994E-3</v>
      </c>
      <c r="S203" s="260">
        <v>0</v>
      </c>
      <c r="T203" s="261">
        <f>S203*H203</f>
        <v>0</v>
      </c>
      <c r="AR203" s="262" t="s">
        <v>199</v>
      </c>
      <c r="AT203" s="262" t="s">
        <v>196</v>
      </c>
      <c r="AU203" s="262" t="s">
        <v>123</v>
      </c>
      <c r="AY203" s="183" t="s">
        <v>183</v>
      </c>
      <c r="BE203" s="263">
        <f>IF(N203="základní",J203,0)</f>
        <v>0</v>
      </c>
      <c r="BF203" s="263">
        <f>IF(N203="snížená",J203,0)</f>
        <v>0</v>
      </c>
      <c r="BG203" s="263">
        <f>IF(N203="zákl. přenesená",J203,0)</f>
        <v>0</v>
      </c>
      <c r="BH203" s="263">
        <f>IF(N203="sníž. přenesená",J203,0)</f>
        <v>0</v>
      </c>
      <c r="BI203" s="263">
        <f>IF(N203="nulová",J203,0)</f>
        <v>0</v>
      </c>
      <c r="BJ203" s="183" t="s">
        <v>186</v>
      </c>
      <c r="BK203" s="263">
        <f>ROUND(I203*H203,2)</f>
        <v>0</v>
      </c>
      <c r="BL203" s="183" t="s">
        <v>192</v>
      </c>
      <c r="BM203" s="262" t="s">
        <v>520</v>
      </c>
    </row>
    <row r="204" spans="2:65" s="190" customFormat="1" ht="24.2" customHeight="1" x14ac:dyDescent="0.2">
      <c r="B204" s="191"/>
      <c r="C204" s="268" t="s">
        <v>521</v>
      </c>
      <c r="D204" s="268" t="s">
        <v>196</v>
      </c>
      <c r="E204" s="269" t="s">
        <v>522</v>
      </c>
      <c r="F204" s="270" t="s">
        <v>523</v>
      </c>
      <c r="G204" s="271" t="s">
        <v>241</v>
      </c>
      <c r="H204" s="272">
        <v>1</v>
      </c>
      <c r="I204" s="273"/>
      <c r="J204" s="273">
        <f>ROUND(I204*H204,2)</f>
        <v>0</v>
      </c>
      <c r="K204" s="270" t="s">
        <v>129</v>
      </c>
      <c r="L204" s="274"/>
      <c r="M204" s="275" t="s">
        <v>129</v>
      </c>
      <c r="N204" s="276" t="s">
        <v>144</v>
      </c>
      <c r="O204" s="260">
        <v>0</v>
      </c>
      <c r="P204" s="260">
        <f>O204*H204</f>
        <v>0</v>
      </c>
      <c r="Q204" s="260">
        <v>2.7999999999999998E-4</v>
      </c>
      <c r="R204" s="260">
        <f>Q204*H204</f>
        <v>2.7999999999999998E-4</v>
      </c>
      <c r="S204" s="260">
        <v>0</v>
      </c>
      <c r="T204" s="261">
        <f>S204*H204</f>
        <v>0</v>
      </c>
      <c r="AR204" s="262" t="s">
        <v>199</v>
      </c>
      <c r="AT204" s="262" t="s">
        <v>196</v>
      </c>
      <c r="AU204" s="262" t="s">
        <v>123</v>
      </c>
      <c r="AY204" s="183" t="s">
        <v>183</v>
      </c>
      <c r="BE204" s="263">
        <f>IF(N204="základní",J204,0)</f>
        <v>0</v>
      </c>
      <c r="BF204" s="263">
        <f>IF(N204="snížená",J204,0)</f>
        <v>0</v>
      </c>
      <c r="BG204" s="263">
        <f>IF(N204="zákl. přenesená",J204,0)</f>
        <v>0</v>
      </c>
      <c r="BH204" s="263">
        <f>IF(N204="sníž. přenesená",J204,0)</f>
        <v>0</v>
      </c>
      <c r="BI204" s="263">
        <f>IF(N204="nulová",J204,0)</f>
        <v>0</v>
      </c>
      <c r="BJ204" s="183" t="s">
        <v>186</v>
      </c>
      <c r="BK204" s="263">
        <f>ROUND(I204*H204,2)</f>
        <v>0</v>
      </c>
      <c r="BL204" s="183" t="s">
        <v>192</v>
      </c>
      <c r="BM204" s="262" t="s">
        <v>524</v>
      </c>
    </row>
    <row r="205" spans="2:65" s="190" customFormat="1" ht="21.75" customHeight="1" x14ac:dyDescent="0.2">
      <c r="B205" s="191"/>
      <c r="C205" s="252" t="s">
        <v>525</v>
      </c>
      <c r="D205" s="252" t="s">
        <v>187</v>
      </c>
      <c r="E205" s="253" t="s">
        <v>526</v>
      </c>
      <c r="F205" s="254" t="s">
        <v>527</v>
      </c>
      <c r="G205" s="255" t="s">
        <v>241</v>
      </c>
      <c r="H205" s="256">
        <v>4</v>
      </c>
      <c r="I205" s="257"/>
      <c r="J205" s="257">
        <f>ROUND(I205*H205,2)</f>
        <v>0</v>
      </c>
      <c r="K205" s="254" t="s">
        <v>191</v>
      </c>
      <c r="L205" s="191"/>
      <c r="M205" s="258" t="s">
        <v>129</v>
      </c>
      <c r="N205" s="259" t="s">
        <v>144</v>
      </c>
      <c r="O205" s="260">
        <v>0.35</v>
      </c>
      <c r="P205" s="260">
        <f>O205*H205</f>
        <v>1.4</v>
      </c>
      <c r="Q205" s="260">
        <v>2.4000000000000001E-4</v>
      </c>
      <c r="R205" s="260">
        <f>Q205*H205</f>
        <v>9.6000000000000002E-4</v>
      </c>
      <c r="S205" s="260">
        <v>0</v>
      </c>
      <c r="T205" s="261">
        <f>S205*H205</f>
        <v>0</v>
      </c>
      <c r="AR205" s="262" t="s">
        <v>192</v>
      </c>
      <c r="AT205" s="262" t="s">
        <v>187</v>
      </c>
      <c r="AU205" s="262" t="s">
        <v>123</v>
      </c>
      <c r="AY205" s="183" t="s">
        <v>183</v>
      </c>
      <c r="BE205" s="263">
        <f>IF(N205="základní",J205,0)</f>
        <v>0</v>
      </c>
      <c r="BF205" s="263">
        <f>IF(N205="snížená",J205,0)</f>
        <v>0</v>
      </c>
      <c r="BG205" s="263">
        <f>IF(N205="zákl. přenesená",J205,0)</f>
        <v>0</v>
      </c>
      <c r="BH205" s="263">
        <f>IF(N205="sníž. přenesená",J205,0)</f>
        <v>0</v>
      </c>
      <c r="BI205" s="263">
        <f>IF(N205="nulová",J205,0)</f>
        <v>0</v>
      </c>
      <c r="BJ205" s="183" t="s">
        <v>186</v>
      </c>
      <c r="BK205" s="263">
        <f>ROUND(I205*H205,2)</f>
        <v>0</v>
      </c>
      <c r="BL205" s="183" t="s">
        <v>192</v>
      </c>
      <c r="BM205" s="262" t="s">
        <v>528</v>
      </c>
    </row>
    <row r="206" spans="2:65" s="190" customFormat="1" x14ac:dyDescent="0.2">
      <c r="B206" s="191"/>
      <c r="D206" s="264" t="s">
        <v>194</v>
      </c>
      <c r="F206" s="265" t="s">
        <v>529</v>
      </c>
      <c r="L206" s="191"/>
      <c r="M206" s="266"/>
      <c r="T206" s="267"/>
      <c r="AT206" s="183" t="s">
        <v>194</v>
      </c>
      <c r="AU206" s="183" t="s">
        <v>123</v>
      </c>
    </row>
    <row r="207" spans="2:65" s="190" customFormat="1" ht="16.5" customHeight="1" x14ac:dyDescent="0.2">
      <c r="B207" s="191"/>
      <c r="C207" s="268" t="s">
        <v>530</v>
      </c>
      <c r="D207" s="268" t="s">
        <v>196</v>
      </c>
      <c r="E207" s="269" t="s">
        <v>531</v>
      </c>
      <c r="F207" s="270" t="s">
        <v>532</v>
      </c>
      <c r="G207" s="271" t="s">
        <v>241</v>
      </c>
      <c r="H207" s="272">
        <v>4</v>
      </c>
      <c r="I207" s="273"/>
      <c r="J207" s="273">
        <f>ROUND(I207*H207,2)</f>
        <v>0</v>
      </c>
      <c r="K207" s="270" t="s">
        <v>129</v>
      </c>
      <c r="L207" s="274"/>
      <c r="M207" s="275" t="s">
        <v>129</v>
      </c>
      <c r="N207" s="276" t="s">
        <v>144</v>
      </c>
      <c r="O207" s="260">
        <v>0</v>
      </c>
      <c r="P207" s="260">
        <f>O207*H207</f>
        <v>0</v>
      </c>
      <c r="Q207" s="260">
        <v>1.6800000000000001E-3</v>
      </c>
      <c r="R207" s="260">
        <f>Q207*H207</f>
        <v>6.7200000000000003E-3</v>
      </c>
      <c r="S207" s="260">
        <v>0</v>
      </c>
      <c r="T207" s="261">
        <f>S207*H207</f>
        <v>0</v>
      </c>
      <c r="AR207" s="262" t="s">
        <v>199</v>
      </c>
      <c r="AT207" s="262" t="s">
        <v>196</v>
      </c>
      <c r="AU207" s="262" t="s">
        <v>123</v>
      </c>
      <c r="AY207" s="183" t="s">
        <v>183</v>
      </c>
      <c r="BE207" s="263">
        <f>IF(N207="základní",J207,0)</f>
        <v>0</v>
      </c>
      <c r="BF207" s="263">
        <f>IF(N207="snížená",J207,0)</f>
        <v>0</v>
      </c>
      <c r="BG207" s="263">
        <f>IF(N207="zákl. přenesená",J207,0)</f>
        <v>0</v>
      </c>
      <c r="BH207" s="263">
        <f>IF(N207="sníž. přenesená",J207,0)</f>
        <v>0</v>
      </c>
      <c r="BI207" s="263">
        <f>IF(N207="nulová",J207,0)</f>
        <v>0</v>
      </c>
      <c r="BJ207" s="183" t="s">
        <v>186</v>
      </c>
      <c r="BK207" s="263">
        <f>ROUND(I207*H207,2)</f>
        <v>0</v>
      </c>
      <c r="BL207" s="183" t="s">
        <v>192</v>
      </c>
      <c r="BM207" s="262" t="s">
        <v>533</v>
      </c>
    </row>
    <row r="208" spans="2:65" s="190" customFormat="1" ht="21.75" customHeight="1" x14ac:dyDescent="0.2">
      <c r="B208" s="191"/>
      <c r="C208" s="252" t="s">
        <v>534</v>
      </c>
      <c r="D208" s="252" t="s">
        <v>187</v>
      </c>
      <c r="E208" s="253" t="s">
        <v>535</v>
      </c>
      <c r="F208" s="254" t="s">
        <v>536</v>
      </c>
      <c r="G208" s="255" t="s">
        <v>241</v>
      </c>
      <c r="H208" s="256">
        <v>3</v>
      </c>
      <c r="I208" s="257"/>
      <c r="J208" s="257">
        <f>ROUND(I208*H208,2)</f>
        <v>0</v>
      </c>
      <c r="K208" s="254" t="s">
        <v>191</v>
      </c>
      <c r="L208" s="191"/>
      <c r="M208" s="258" t="s">
        <v>129</v>
      </c>
      <c r="N208" s="259" t="s">
        <v>144</v>
      </c>
      <c r="O208" s="260">
        <v>0.42199999999999999</v>
      </c>
      <c r="P208" s="260">
        <f>O208*H208</f>
        <v>1.266</v>
      </c>
      <c r="Q208" s="260">
        <v>3.3E-4</v>
      </c>
      <c r="R208" s="260">
        <f>Q208*H208</f>
        <v>9.8999999999999999E-4</v>
      </c>
      <c r="S208" s="260">
        <v>0</v>
      </c>
      <c r="T208" s="261">
        <f>S208*H208</f>
        <v>0</v>
      </c>
      <c r="AR208" s="262" t="s">
        <v>192</v>
      </c>
      <c r="AT208" s="262" t="s">
        <v>187</v>
      </c>
      <c r="AU208" s="262" t="s">
        <v>123</v>
      </c>
      <c r="AY208" s="183" t="s">
        <v>183</v>
      </c>
      <c r="BE208" s="263">
        <f>IF(N208="základní",J208,0)</f>
        <v>0</v>
      </c>
      <c r="BF208" s="263">
        <f>IF(N208="snížená",J208,0)</f>
        <v>0</v>
      </c>
      <c r="BG208" s="263">
        <f>IF(N208="zákl. přenesená",J208,0)</f>
        <v>0</v>
      </c>
      <c r="BH208" s="263">
        <f>IF(N208="sníž. přenesená",J208,0)</f>
        <v>0</v>
      </c>
      <c r="BI208" s="263">
        <f>IF(N208="nulová",J208,0)</f>
        <v>0</v>
      </c>
      <c r="BJ208" s="183" t="s">
        <v>186</v>
      </c>
      <c r="BK208" s="263">
        <f>ROUND(I208*H208,2)</f>
        <v>0</v>
      </c>
      <c r="BL208" s="183" t="s">
        <v>192</v>
      </c>
      <c r="BM208" s="262" t="s">
        <v>537</v>
      </c>
    </row>
    <row r="209" spans="2:65" s="190" customFormat="1" x14ac:dyDescent="0.2">
      <c r="B209" s="191"/>
      <c r="D209" s="264" t="s">
        <v>194</v>
      </c>
      <c r="F209" s="265" t="s">
        <v>538</v>
      </c>
      <c r="L209" s="191"/>
      <c r="M209" s="266"/>
      <c r="T209" s="267"/>
      <c r="AT209" s="183" t="s">
        <v>194</v>
      </c>
      <c r="AU209" s="183" t="s">
        <v>123</v>
      </c>
    </row>
    <row r="210" spans="2:65" s="190" customFormat="1" ht="16.5" customHeight="1" x14ac:dyDescent="0.2">
      <c r="B210" s="191"/>
      <c r="C210" s="268" t="s">
        <v>539</v>
      </c>
      <c r="D210" s="268" t="s">
        <v>196</v>
      </c>
      <c r="E210" s="269" t="s">
        <v>540</v>
      </c>
      <c r="F210" s="270" t="s">
        <v>541</v>
      </c>
      <c r="G210" s="271" t="s">
        <v>241</v>
      </c>
      <c r="H210" s="272">
        <v>2</v>
      </c>
      <c r="I210" s="273"/>
      <c r="J210" s="273">
        <f>ROUND(I210*H210,2)</f>
        <v>0</v>
      </c>
      <c r="K210" s="270" t="s">
        <v>129</v>
      </c>
      <c r="L210" s="274"/>
      <c r="M210" s="275" t="s">
        <v>129</v>
      </c>
      <c r="N210" s="276" t="s">
        <v>144</v>
      </c>
      <c r="O210" s="260">
        <v>0</v>
      </c>
      <c r="P210" s="260">
        <f>O210*H210</f>
        <v>0</v>
      </c>
      <c r="Q210" s="260">
        <v>1.6800000000000001E-3</v>
      </c>
      <c r="R210" s="260">
        <f>Q210*H210</f>
        <v>3.3600000000000001E-3</v>
      </c>
      <c r="S210" s="260">
        <v>0</v>
      </c>
      <c r="T210" s="261">
        <f>S210*H210</f>
        <v>0</v>
      </c>
      <c r="AR210" s="262" t="s">
        <v>199</v>
      </c>
      <c r="AT210" s="262" t="s">
        <v>196</v>
      </c>
      <c r="AU210" s="262" t="s">
        <v>123</v>
      </c>
      <c r="AY210" s="183" t="s">
        <v>183</v>
      </c>
      <c r="BE210" s="263">
        <f>IF(N210="základní",J210,0)</f>
        <v>0</v>
      </c>
      <c r="BF210" s="263">
        <f>IF(N210="snížená",J210,0)</f>
        <v>0</v>
      </c>
      <c r="BG210" s="263">
        <f>IF(N210="zákl. přenesená",J210,0)</f>
        <v>0</v>
      </c>
      <c r="BH210" s="263">
        <f>IF(N210="sníž. přenesená",J210,0)</f>
        <v>0</v>
      </c>
      <c r="BI210" s="263">
        <f>IF(N210="nulová",J210,0)</f>
        <v>0</v>
      </c>
      <c r="BJ210" s="183" t="s">
        <v>186</v>
      </c>
      <c r="BK210" s="263">
        <f>ROUND(I210*H210,2)</f>
        <v>0</v>
      </c>
      <c r="BL210" s="183" t="s">
        <v>192</v>
      </c>
      <c r="BM210" s="262" t="s">
        <v>542</v>
      </c>
    </row>
    <row r="211" spans="2:65" s="190" customFormat="1" ht="49.15" customHeight="1" x14ac:dyDescent="0.2">
      <c r="B211" s="191"/>
      <c r="C211" s="268" t="s">
        <v>543</v>
      </c>
      <c r="D211" s="268" t="s">
        <v>196</v>
      </c>
      <c r="E211" s="269" t="s">
        <v>544</v>
      </c>
      <c r="F211" s="270" t="s">
        <v>545</v>
      </c>
      <c r="G211" s="271" t="s">
        <v>241</v>
      </c>
      <c r="H211" s="272">
        <v>1</v>
      </c>
      <c r="I211" s="273"/>
      <c r="J211" s="273">
        <f>ROUND(I211*H211,2)</f>
        <v>0</v>
      </c>
      <c r="K211" s="270" t="s">
        <v>129</v>
      </c>
      <c r="L211" s="274"/>
      <c r="M211" s="275" t="s">
        <v>129</v>
      </c>
      <c r="N211" s="276" t="s">
        <v>144</v>
      </c>
      <c r="O211" s="260">
        <v>0</v>
      </c>
      <c r="P211" s="260">
        <f>O211*H211</f>
        <v>0</v>
      </c>
      <c r="Q211" s="260">
        <v>1.14E-3</v>
      </c>
      <c r="R211" s="260">
        <f>Q211*H211</f>
        <v>1.14E-3</v>
      </c>
      <c r="S211" s="260">
        <v>0</v>
      </c>
      <c r="T211" s="261">
        <f>S211*H211</f>
        <v>0</v>
      </c>
      <c r="AR211" s="262" t="s">
        <v>199</v>
      </c>
      <c r="AT211" s="262" t="s">
        <v>196</v>
      </c>
      <c r="AU211" s="262" t="s">
        <v>123</v>
      </c>
      <c r="AY211" s="183" t="s">
        <v>183</v>
      </c>
      <c r="BE211" s="263">
        <f>IF(N211="základní",J211,0)</f>
        <v>0</v>
      </c>
      <c r="BF211" s="263">
        <f>IF(N211="snížená",J211,0)</f>
        <v>0</v>
      </c>
      <c r="BG211" s="263">
        <f>IF(N211="zákl. přenesená",J211,0)</f>
        <v>0</v>
      </c>
      <c r="BH211" s="263">
        <f>IF(N211="sníž. přenesená",J211,0)</f>
        <v>0</v>
      </c>
      <c r="BI211" s="263">
        <f>IF(N211="nulová",J211,0)</f>
        <v>0</v>
      </c>
      <c r="BJ211" s="183" t="s">
        <v>186</v>
      </c>
      <c r="BK211" s="263">
        <f>ROUND(I211*H211,2)</f>
        <v>0</v>
      </c>
      <c r="BL211" s="183" t="s">
        <v>192</v>
      </c>
      <c r="BM211" s="262" t="s">
        <v>546</v>
      </c>
    </row>
    <row r="212" spans="2:65" s="190" customFormat="1" ht="24.2" customHeight="1" x14ac:dyDescent="0.2">
      <c r="B212" s="191"/>
      <c r="C212" s="252" t="s">
        <v>547</v>
      </c>
      <c r="D212" s="252" t="s">
        <v>187</v>
      </c>
      <c r="E212" s="253" t="s">
        <v>548</v>
      </c>
      <c r="F212" s="254" t="s">
        <v>549</v>
      </c>
      <c r="G212" s="255" t="s">
        <v>241</v>
      </c>
      <c r="H212" s="256">
        <v>18</v>
      </c>
      <c r="I212" s="257"/>
      <c r="J212" s="257">
        <f>ROUND(I212*H212,2)</f>
        <v>0</v>
      </c>
      <c r="K212" s="254" t="s">
        <v>191</v>
      </c>
      <c r="L212" s="191"/>
      <c r="M212" s="258" t="s">
        <v>129</v>
      </c>
      <c r="N212" s="259" t="s">
        <v>144</v>
      </c>
      <c r="O212" s="260">
        <v>0.10299999999999999</v>
      </c>
      <c r="P212" s="260">
        <f>O212*H212</f>
        <v>1.8539999999999999</v>
      </c>
      <c r="Q212" s="260">
        <v>2.3931319999999999E-4</v>
      </c>
      <c r="R212" s="260">
        <f>Q212*H212</f>
        <v>4.3076375999999998E-3</v>
      </c>
      <c r="S212" s="260">
        <v>0</v>
      </c>
      <c r="T212" s="261">
        <f>S212*H212</f>
        <v>0</v>
      </c>
      <c r="AR212" s="262" t="s">
        <v>192</v>
      </c>
      <c r="AT212" s="262" t="s">
        <v>187</v>
      </c>
      <c r="AU212" s="262" t="s">
        <v>123</v>
      </c>
      <c r="AY212" s="183" t="s">
        <v>183</v>
      </c>
      <c r="BE212" s="263">
        <f>IF(N212="základní",J212,0)</f>
        <v>0</v>
      </c>
      <c r="BF212" s="263">
        <f>IF(N212="snížená",J212,0)</f>
        <v>0</v>
      </c>
      <c r="BG212" s="263">
        <f>IF(N212="zákl. přenesená",J212,0)</f>
        <v>0</v>
      </c>
      <c r="BH212" s="263">
        <f>IF(N212="sníž. přenesená",J212,0)</f>
        <v>0</v>
      </c>
      <c r="BI212" s="263">
        <f>IF(N212="nulová",J212,0)</f>
        <v>0</v>
      </c>
      <c r="BJ212" s="183" t="s">
        <v>186</v>
      </c>
      <c r="BK212" s="263">
        <f>ROUND(I212*H212,2)</f>
        <v>0</v>
      </c>
      <c r="BL212" s="183" t="s">
        <v>192</v>
      </c>
      <c r="BM212" s="262" t="s">
        <v>550</v>
      </c>
    </row>
    <row r="213" spans="2:65" s="190" customFormat="1" x14ac:dyDescent="0.2">
      <c r="B213" s="191"/>
      <c r="D213" s="264" t="s">
        <v>194</v>
      </c>
      <c r="F213" s="265" t="s">
        <v>551</v>
      </c>
      <c r="L213" s="191"/>
      <c r="M213" s="266"/>
      <c r="T213" s="267"/>
      <c r="AT213" s="183" t="s">
        <v>194</v>
      </c>
      <c r="AU213" s="183" t="s">
        <v>123</v>
      </c>
    </row>
    <row r="214" spans="2:65" s="190" customFormat="1" ht="21.75" customHeight="1" x14ac:dyDescent="0.2">
      <c r="B214" s="191"/>
      <c r="C214" s="252" t="s">
        <v>552</v>
      </c>
      <c r="D214" s="252" t="s">
        <v>187</v>
      </c>
      <c r="E214" s="253" t="s">
        <v>553</v>
      </c>
      <c r="F214" s="254" t="s">
        <v>554</v>
      </c>
      <c r="G214" s="255" t="s">
        <v>241</v>
      </c>
      <c r="H214" s="256">
        <v>1</v>
      </c>
      <c r="I214" s="257"/>
      <c r="J214" s="257">
        <f>ROUND(I214*H214,2)</f>
        <v>0</v>
      </c>
      <c r="K214" s="254" t="s">
        <v>191</v>
      </c>
      <c r="L214" s="191"/>
      <c r="M214" s="258" t="s">
        <v>129</v>
      </c>
      <c r="N214" s="259" t="s">
        <v>144</v>
      </c>
      <c r="O214" s="260">
        <v>0.22700000000000001</v>
      </c>
      <c r="P214" s="260">
        <f>O214*H214</f>
        <v>0.22700000000000001</v>
      </c>
      <c r="Q214" s="260">
        <v>5.2999999999999998E-4</v>
      </c>
      <c r="R214" s="260">
        <f>Q214*H214</f>
        <v>5.2999999999999998E-4</v>
      </c>
      <c r="S214" s="260">
        <v>0</v>
      </c>
      <c r="T214" s="261">
        <f>S214*H214</f>
        <v>0</v>
      </c>
      <c r="AR214" s="262" t="s">
        <v>192</v>
      </c>
      <c r="AT214" s="262" t="s">
        <v>187</v>
      </c>
      <c r="AU214" s="262" t="s">
        <v>123</v>
      </c>
      <c r="AY214" s="183" t="s">
        <v>183</v>
      </c>
      <c r="BE214" s="263">
        <f>IF(N214="základní",J214,0)</f>
        <v>0</v>
      </c>
      <c r="BF214" s="263">
        <f>IF(N214="snížená",J214,0)</f>
        <v>0</v>
      </c>
      <c r="BG214" s="263">
        <f>IF(N214="zákl. přenesená",J214,0)</f>
        <v>0</v>
      </c>
      <c r="BH214" s="263">
        <f>IF(N214="sníž. přenesená",J214,0)</f>
        <v>0</v>
      </c>
      <c r="BI214" s="263">
        <f>IF(N214="nulová",J214,0)</f>
        <v>0</v>
      </c>
      <c r="BJ214" s="183" t="s">
        <v>186</v>
      </c>
      <c r="BK214" s="263">
        <f>ROUND(I214*H214,2)</f>
        <v>0</v>
      </c>
      <c r="BL214" s="183" t="s">
        <v>192</v>
      </c>
      <c r="BM214" s="262" t="s">
        <v>555</v>
      </c>
    </row>
    <row r="215" spans="2:65" s="190" customFormat="1" x14ac:dyDescent="0.2">
      <c r="B215" s="191"/>
      <c r="D215" s="264" t="s">
        <v>194</v>
      </c>
      <c r="F215" s="265" t="s">
        <v>556</v>
      </c>
      <c r="L215" s="191"/>
      <c r="M215" s="266"/>
      <c r="T215" s="267"/>
      <c r="AT215" s="183" t="s">
        <v>194</v>
      </c>
      <c r="AU215" s="183" t="s">
        <v>123</v>
      </c>
    </row>
    <row r="216" spans="2:65" s="190" customFormat="1" ht="21.75" customHeight="1" x14ac:dyDescent="0.2">
      <c r="B216" s="191"/>
      <c r="C216" s="252" t="s">
        <v>557</v>
      </c>
      <c r="D216" s="252" t="s">
        <v>187</v>
      </c>
      <c r="E216" s="253" t="s">
        <v>558</v>
      </c>
      <c r="F216" s="254" t="s">
        <v>559</v>
      </c>
      <c r="G216" s="255" t="s">
        <v>241</v>
      </c>
      <c r="H216" s="256">
        <v>1</v>
      </c>
      <c r="I216" s="257"/>
      <c r="J216" s="257">
        <f>ROUND(I216*H216,2)</f>
        <v>0</v>
      </c>
      <c r="K216" s="254" t="s">
        <v>191</v>
      </c>
      <c r="L216" s="191"/>
      <c r="M216" s="258" t="s">
        <v>129</v>
      </c>
      <c r="N216" s="259" t="s">
        <v>144</v>
      </c>
      <c r="O216" s="260">
        <v>0.26800000000000002</v>
      </c>
      <c r="P216" s="260">
        <f>O216*H216</f>
        <v>0.26800000000000002</v>
      </c>
      <c r="Q216" s="260">
        <v>8.4000000000000003E-4</v>
      </c>
      <c r="R216" s="260">
        <f>Q216*H216</f>
        <v>8.4000000000000003E-4</v>
      </c>
      <c r="S216" s="260">
        <v>0</v>
      </c>
      <c r="T216" s="261">
        <f>S216*H216</f>
        <v>0</v>
      </c>
      <c r="AR216" s="262" t="s">
        <v>192</v>
      </c>
      <c r="AT216" s="262" t="s">
        <v>187</v>
      </c>
      <c r="AU216" s="262" t="s">
        <v>123</v>
      </c>
      <c r="AY216" s="183" t="s">
        <v>183</v>
      </c>
      <c r="BE216" s="263">
        <f>IF(N216="základní",J216,0)</f>
        <v>0</v>
      </c>
      <c r="BF216" s="263">
        <f>IF(N216="snížená",J216,0)</f>
        <v>0</v>
      </c>
      <c r="BG216" s="263">
        <f>IF(N216="zákl. přenesená",J216,0)</f>
        <v>0</v>
      </c>
      <c r="BH216" s="263">
        <f>IF(N216="sníž. přenesená",J216,0)</f>
        <v>0</v>
      </c>
      <c r="BI216" s="263">
        <f>IF(N216="nulová",J216,0)</f>
        <v>0</v>
      </c>
      <c r="BJ216" s="183" t="s">
        <v>186</v>
      </c>
      <c r="BK216" s="263">
        <f>ROUND(I216*H216,2)</f>
        <v>0</v>
      </c>
      <c r="BL216" s="183" t="s">
        <v>192</v>
      </c>
      <c r="BM216" s="262" t="s">
        <v>560</v>
      </c>
    </row>
    <row r="217" spans="2:65" s="190" customFormat="1" x14ac:dyDescent="0.2">
      <c r="B217" s="191"/>
      <c r="D217" s="264" t="s">
        <v>194</v>
      </c>
      <c r="F217" s="265" t="s">
        <v>561</v>
      </c>
      <c r="L217" s="191"/>
      <c r="M217" s="266"/>
      <c r="T217" s="267"/>
      <c r="AT217" s="183" t="s">
        <v>194</v>
      </c>
      <c r="AU217" s="183" t="s">
        <v>123</v>
      </c>
    </row>
    <row r="218" spans="2:65" s="190" customFormat="1" ht="21.75" customHeight="1" x14ac:dyDescent="0.2">
      <c r="B218" s="191"/>
      <c r="C218" s="252" t="s">
        <v>562</v>
      </c>
      <c r="D218" s="252" t="s">
        <v>187</v>
      </c>
      <c r="E218" s="253" t="s">
        <v>563</v>
      </c>
      <c r="F218" s="254" t="s">
        <v>564</v>
      </c>
      <c r="G218" s="255" t="s">
        <v>241</v>
      </c>
      <c r="H218" s="256">
        <v>8</v>
      </c>
      <c r="I218" s="257"/>
      <c r="J218" s="257">
        <f>ROUND(I218*H218,2)</f>
        <v>0</v>
      </c>
      <c r="K218" s="254" t="s">
        <v>191</v>
      </c>
      <c r="L218" s="191"/>
      <c r="M218" s="258" t="s">
        <v>129</v>
      </c>
      <c r="N218" s="259" t="s">
        <v>144</v>
      </c>
      <c r="O218" s="260">
        <v>0.35</v>
      </c>
      <c r="P218" s="260">
        <f>O218*H218</f>
        <v>2.8</v>
      </c>
      <c r="Q218" s="260">
        <v>5.1999999999999995E-4</v>
      </c>
      <c r="R218" s="260">
        <f>Q218*H218</f>
        <v>4.1599999999999996E-3</v>
      </c>
      <c r="S218" s="260">
        <v>0</v>
      </c>
      <c r="T218" s="261">
        <f>S218*H218</f>
        <v>0</v>
      </c>
      <c r="AR218" s="262" t="s">
        <v>192</v>
      </c>
      <c r="AT218" s="262" t="s">
        <v>187</v>
      </c>
      <c r="AU218" s="262" t="s">
        <v>123</v>
      </c>
      <c r="AY218" s="183" t="s">
        <v>183</v>
      </c>
      <c r="BE218" s="263">
        <f>IF(N218="základní",J218,0)</f>
        <v>0</v>
      </c>
      <c r="BF218" s="263">
        <f>IF(N218="snížená",J218,0)</f>
        <v>0</v>
      </c>
      <c r="BG218" s="263">
        <f>IF(N218="zákl. přenesená",J218,0)</f>
        <v>0</v>
      </c>
      <c r="BH218" s="263">
        <f>IF(N218="sníž. přenesená",J218,0)</f>
        <v>0</v>
      </c>
      <c r="BI218" s="263">
        <f>IF(N218="nulová",J218,0)</f>
        <v>0</v>
      </c>
      <c r="BJ218" s="183" t="s">
        <v>186</v>
      </c>
      <c r="BK218" s="263">
        <f>ROUND(I218*H218,2)</f>
        <v>0</v>
      </c>
      <c r="BL218" s="183" t="s">
        <v>192</v>
      </c>
      <c r="BM218" s="262" t="s">
        <v>565</v>
      </c>
    </row>
    <row r="219" spans="2:65" s="190" customFormat="1" x14ac:dyDescent="0.2">
      <c r="B219" s="191"/>
      <c r="D219" s="264" t="s">
        <v>194</v>
      </c>
      <c r="F219" s="265" t="s">
        <v>566</v>
      </c>
      <c r="L219" s="191"/>
      <c r="M219" s="266"/>
      <c r="T219" s="267"/>
      <c r="AT219" s="183" t="s">
        <v>194</v>
      </c>
      <c r="AU219" s="183" t="s">
        <v>123</v>
      </c>
    </row>
    <row r="220" spans="2:65" s="190" customFormat="1" ht="21.75" customHeight="1" x14ac:dyDescent="0.2">
      <c r="B220" s="191"/>
      <c r="C220" s="252" t="s">
        <v>567</v>
      </c>
      <c r="D220" s="252" t="s">
        <v>187</v>
      </c>
      <c r="E220" s="253" t="s">
        <v>568</v>
      </c>
      <c r="F220" s="254" t="s">
        <v>569</v>
      </c>
      <c r="G220" s="255" t="s">
        <v>241</v>
      </c>
      <c r="H220" s="256">
        <v>2</v>
      </c>
      <c r="I220" s="257"/>
      <c r="J220" s="257">
        <f>ROUND(I220*H220,2)</f>
        <v>0</v>
      </c>
      <c r="K220" s="254" t="s">
        <v>191</v>
      </c>
      <c r="L220" s="191"/>
      <c r="M220" s="258" t="s">
        <v>129</v>
      </c>
      <c r="N220" s="259" t="s">
        <v>144</v>
      </c>
      <c r="O220" s="260">
        <v>0.42199999999999999</v>
      </c>
      <c r="P220" s="260">
        <f>O220*H220</f>
        <v>0.84399999999999997</v>
      </c>
      <c r="Q220" s="260">
        <v>7.7999999999999999E-4</v>
      </c>
      <c r="R220" s="260">
        <f>Q220*H220</f>
        <v>1.56E-3</v>
      </c>
      <c r="S220" s="260">
        <v>0</v>
      </c>
      <c r="T220" s="261">
        <f>S220*H220</f>
        <v>0</v>
      </c>
      <c r="AR220" s="262" t="s">
        <v>192</v>
      </c>
      <c r="AT220" s="262" t="s">
        <v>187</v>
      </c>
      <c r="AU220" s="262" t="s">
        <v>123</v>
      </c>
      <c r="AY220" s="183" t="s">
        <v>183</v>
      </c>
      <c r="BE220" s="263">
        <f>IF(N220="základní",J220,0)</f>
        <v>0</v>
      </c>
      <c r="BF220" s="263">
        <f>IF(N220="snížená",J220,0)</f>
        <v>0</v>
      </c>
      <c r="BG220" s="263">
        <f>IF(N220="zákl. přenesená",J220,0)</f>
        <v>0</v>
      </c>
      <c r="BH220" s="263">
        <f>IF(N220="sníž. přenesená",J220,0)</f>
        <v>0</v>
      </c>
      <c r="BI220" s="263">
        <f>IF(N220="nulová",J220,0)</f>
        <v>0</v>
      </c>
      <c r="BJ220" s="183" t="s">
        <v>186</v>
      </c>
      <c r="BK220" s="263">
        <f>ROUND(I220*H220,2)</f>
        <v>0</v>
      </c>
      <c r="BL220" s="183" t="s">
        <v>192</v>
      </c>
      <c r="BM220" s="262" t="s">
        <v>570</v>
      </c>
    </row>
    <row r="221" spans="2:65" s="190" customFormat="1" x14ac:dyDescent="0.2">
      <c r="B221" s="191"/>
      <c r="D221" s="264" t="s">
        <v>194</v>
      </c>
      <c r="F221" s="265" t="s">
        <v>571</v>
      </c>
      <c r="L221" s="191"/>
      <c r="M221" s="266"/>
      <c r="T221" s="267"/>
      <c r="AT221" s="183" t="s">
        <v>194</v>
      </c>
      <c r="AU221" s="183" t="s">
        <v>123</v>
      </c>
    </row>
    <row r="222" spans="2:65" s="190" customFormat="1" ht="33" customHeight="1" x14ac:dyDescent="0.2">
      <c r="B222" s="191"/>
      <c r="C222" s="252" t="s">
        <v>572</v>
      </c>
      <c r="D222" s="252" t="s">
        <v>187</v>
      </c>
      <c r="E222" s="253" t="s">
        <v>573</v>
      </c>
      <c r="F222" s="254" t="s">
        <v>574</v>
      </c>
      <c r="G222" s="255" t="s">
        <v>241</v>
      </c>
      <c r="H222" s="256">
        <v>15</v>
      </c>
      <c r="I222" s="257"/>
      <c r="J222" s="257">
        <f>ROUND(I222*H222,2)</f>
        <v>0</v>
      </c>
      <c r="K222" s="254" t="s">
        <v>191</v>
      </c>
      <c r="L222" s="191"/>
      <c r="M222" s="258" t="s">
        <v>129</v>
      </c>
      <c r="N222" s="259" t="s">
        <v>144</v>
      </c>
      <c r="O222" s="260">
        <v>0.20599999999999999</v>
      </c>
      <c r="P222" s="260">
        <f>O222*H222</f>
        <v>3.09</v>
      </c>
      <c r="Q222" s="260">
        <v>6.9999999999999999E-4</v>
      </c>
      <c r="R222" s="260">
        <f>Q222*H222</f>
        <v>1.0500000000000001E-2</v>
      </c>
      <c r="S222" s="260">
        <v>0</v>
      </c>
      <c r="T222" s="261">
        <f>S222*H222</f>
        <v>0</v>
      </c>
      <c r="AR222" s="262" t="s">
        <v>192</v>
      </c>
      <c r="AT222" s="262" t="s">
        <v>187</v>
      </c>
      <c r="AU222" s="262" t="s">
        <v>123</v>
      </c>
      <c r="AY222" s="183" t="s">
        <v>183</v>
      </c>
      <c r="BE222" s="263">
        <f>IF(N222="základní",J222,0)</f>
        <v>0</v>
      </c>
      <c r="BF222" s="263">
        <f>IF(N222="snížená",J222,0)</f>
        <v>0</v>
      </c>
      <c r="BG222" s="263">
        <f>IF(N222="zákl. přenesená",J222,0)</f>
        <v>0</v>
      </c>
      <c r="BH222" s="263">
        <f>IF(N222="sníž. přenesená",J222,0)</f>
        <v>0</v>
      </c>
      <c r="BI222" s="263">
        <f>IF(N222="nulová",J222,0)</f>
        <v>0</v>
      </c>
      <c r="BJ222" s="183" t="s">
        <v>186</v>
      </c>
      <c r="BK222" s="263">
        <f>ROUND(I222*H222,2)</f>
        <v>0</v>
      </c>
      <c r="BL222" s="183" t="s">
        <v>192</v>
      </c>
      <c r="BM222" s="262" t="s">
        <v>575</v>
      </c>
    </row>
    <row r="223" spans="2:65" s="190" customFormat="1" x14ac:dyDescent="0.2">
      <c r="B223" s="191"/>
      <c r="D223" s="264" t="s">
        <v>194</v>
      </c>
      <c r="F223" s="265" t="s">
        <v>576</v>
      </c>
      <c r="L223" s="191"/>
      <c r="M223" s="266"/>
      <c r="T223" s="267"/>
      <c r="AT223" s="183" t="s">
        <v>194</v>
      </c>
      <c r="AU223" s="183" t="s">
        <v>123</v>
      </c>
    </row>
    <row r="224" spans="2:65" s="190" customFormat="1" ht="24.2" customHeight="1" x14ac:dyDescent="0.2">
      <c r="B224" s="191"/>
      <c r="C224" s="252" t="s">
        <v>577</v>
      </c>
      <c r="D224" s="252" t="s">
        <v>187</v>
      </c>
      <c r="E224" s="253" t="s">
        <v>578</v>
      </c>
      <c r="F224" s="254" t="s">
        <v>579</v>
      </c>
      <c r="G224" s="255" t="s">
        <v>241</v>
      </c>
      <c r="H224" s="256">
        <v>18</v>
      </c>
      <c r="I224" s="257"/>
      <c r="J224" s="257">
        <f>ROUND(I224*H224,2)</f>
        <v>0</v>
      </c>
      <c r="K224" s="254" t="s">
        <v>191</v>
      </c>
      <c r="L224" s="191"/>
      <c r="M224" s="258" t="s">
        <v>129</v>
      </c>
      <c r="N224" s="259" t="s">
        <v>144</v>
      </c>
      <c r="O224" s="260">
        <v>8.2000000000000003E-2</v>
      </c>
      <c r="P224" s="260">
        <f>O224*H224</f>
        <v>1.476</v>
      </c>
      <c r="Q224" s="260">
        <v>2.2000000000000001E-4</v>
      </c>
      <c r="R224" s="260">
        <f>Q224*H224</f>
        <v>3.96E-3</v>
      </c>
      <c r="S224" s="260">
        <v>0</v>
      </c>
      <c r="T224" s="261">
        <f>S224*H224</f>
        <v>0</v>
      </c>
      <c r="AR224" s="262" t="s">
        <v>192</v>
      </c>
      <c r="AT224" s="262" t="s">
        <v>187</v>
      </c>
      <c r="AU224" s="262" t="s">
        <v>123</v>
      </c>
      <c r="AY224" s="183" t="s">
        <v>183</v>
      </c>
      <c r="BE224" s="263">
        <f>IF(N224="základní",J224,0)</f>
        <v>0</v>
      </c>
      <c r="BF224" s="263">
        <f>IF(N224="snížená",J224,0)</f>
        <v>0</v>
      </c>
      <c r="BG224" s="263">
        <f>IF(N224="zákl. přenesená",J224,0)</f>
        <v>0</v>
      </c>
      <c r="BH224" s="263">
        <f>IF(N224="sníž. přenesená",J224,0)</f>
        <v>0</v>
      </c>
      <c r="BI224" s="263">
        <f>IF(N224="nulová",J224,0)</f>
        <v>0</v>
      </c>
      <c r="BJ224" s="183" t="s">
        <v>186</v>
      </c>
      <c r="BK224" s="263">
        <f>ROUND(I224*H224,2)</f>
        <v>0</v>
      </c>
      <c r="BL224" s="183" t="s">
        <v>192</v>
      </c>
      <c r="BM224" s="262" t="s">
        <v>580</v>
      </c>
    </row>
    <row r="225" spans="2:65" s="190" customFormat="1" x14ac:dyDescent="0.2">
      <c r="B225" s="191"/>
      <c r="D225" s="264" t="s">
        <v>194</v>
      </c>
      <c r="F225" s="265" t="s">
        <v>581</v>
      </c>
      <c r="L225" s="191"/>
      <c r="M225" s="266"/>
      <c r="T225" s="267"/>
      <c r="AT225" s="183" t="s">
        <v>194</v>
      </c>
      <c r="AU225" s="183" t="s">
        <v>123</v>
      </c>
    </row>
    <row r="226" spans="2:65" s="190" customFormat="1" ht="24.2" customHeight="1" x14ac:dyDescent="0.2">
      <c r="B226" s="191"/>
      <c r="C226" s="252" t="s">
        <v>582</v>
      </c>
      <c r="D226" s="252" t="s">
        <v>187</v>
      </c>
      <c r="E226" s="253" t="s">
        <v>583</v>
      </c>
      <c r="F226" s="254" t="s">
        <v>584</v>
      </c>
      <c r="G226" s="255" t="s">
        <v>241</v>
      </c>
      <c r="H226" s="256">
        <v>2</v>
      </c>
      <c r="I226" s="257"/>
      <c r="J226" s="257">
        <f>ROUND(I226*H226,2)</f>
        <v>0</v>
      </c>
      <c r="K226" s="254" t="s">
        <v>191</v>
      </c>
      <c r="L226" s="191"/>
      <c r="M226" s="258" t="s">
        <v>129</v>
      </c>
      <c r="N226" s="259" t="s">
        <v>144</v>
      </c>
      <c r="O226" s="260">
        <v>0.16</v>
      </c>
      <c r="P226" s="260">
        <f>O226*H226</f>
        <v>0.32</v>
      </c>
      <c r="Q226" s="260">
        <v>2.1000000000000001E-4</v>
      </c>
      <c r="R226" s="260">
        <f>Q226*H226</f>
        <v>4.2000000000000002E-4</v>
      </c>
      <c r="S226" s="260">
        <v>0</v>
      </c>
      <c r="T226" s="261">
        <f>S226*H226</f>
        <v>0</v>
      </c>
      <c r="AR226" s="262" t="s">
        <v>192</v>
      </c>
      <c r="AT226" s="262" t="s">
        <v>187</v>
      </c>
      <c r="AU226" s="262" t="s">
        <v>123</v>
      </c>
      <c r="AY226" s="183" t="s">
        <v>183</v>
      </c>
      <c r="BE226" s="263">
        <f>IF(N226="základní",J226,0)</f>
        <v>0</v>
      </c>
      <c r="BF226" s="263">
        <f>IF(N226="snížená",J226,0)</f>
        <v>0</v>
      </c>
      <c r="BG226" s="263">
        <f>IF(N226="zákl. přenesená",J226,0)</f>
        <v>0</v>
      </c>
      <c r="BH226" s="263">
        <f>IF(N226="sníž. přenesená",J226,0)</f>
        <v>0</v>
      </c>
      <c r="BI226" s="263">
        <f>IF(N226="nulová",J226,0)</f>
        <v>0</v>
      </c>
      <c r="BJ226" s="183" t="s">
        <v>186</v>
      </c>
      <c r="BK226" s="263">
        <f>ROUND(I226*H226,2)</f>
        <v>0</v>
      </c>
      <c r="BL226" s="183" t="s">
        <v>192</v>
      </c>
      <c r="BM226" s="262" t="s">
        <v>585</v>
      </c>
    </row>
    <row r="227" spans="2:65" s="190" customFormat="1" x14ac:dyDescent="0.2">
      <c r="B227" s="191"/>
      <c r="D227" s="264" t="s">
        <v>194</v>
      </c>
      <c r="F227" s="265" t="s">
        <v>586</v>
      </c>
      <c r="L227" s="191"/>
      <c r="M227" s="266"/>
      <c r="T227" s="267"/>
      <c r="AT227" s="183" t="s">
        <v>194</v>
      </c>
      <c r="AU227" s="183" t="s">
        <v>123</v>
      </c>
    </row>
    <row r="228" spans="2:65" s="190" customFormat="1" ht="24.2" customHeight="1" x14ac:dyDescent="0.2">
      <c r="B228" s="191"/>
      <c r="C228" s="252" t="s">
        <v>587</v>
      </c>
      <c r="D228" s="252" t="s">
        <v>187</v>
      </c>
      <c r="E228" s="253" t="s">
        <v>588</v>
      </c>
      <c r="F228" s="254" t="s">
        <v>589</v>
      </c>
      <c r="G228" s="255" t="s">
        <v>241</v>
      </c>
      <c r="H228" s="256">
        <v>4</v>
      </c>
      <c r="I228" s="257"/>
      <c r="J228" s="257">
        <f>ROUND(I228*H228,2)</f>
        <v>0</v>
      </c>
      <c r="K228" s="254" t="s">
        <v>191</v>
      </c>
      <c r="L228" s="191"/>
      <c r="M228" s="258" t="s">
        <v>129</v>
      </c>
      <c r="N228" s="259" t="s">
        <v>144</v>
      </c>
      <c r="O228" s="260">
        <v>0.22</v>
      </c>
      <c r="P228" s="260">
        <f>O228*H228</f>
        <v>0.88</v>
      </c>
      <c r="Q228" s="260">
        <v>5.0000000000000001E-4</v>
      </c>
      <c r="R228" s="260">
        <f>Q228*H228</f>
        <v>2E-3</v>
      </c>
      <c r="S228" s="260">
        <v>0</v>
      </c>
      <c r="T228" s="261">
        <f>S228*H228</f>
        <v>0</v>
      </c>
      <c r="AR228" s="262" t="s">
        <v>192</v>
      </c>
      <c r="AT228" s="262" t="s">
        <v>187</v>
      </c>
      <c r="AU228" s="262" t="s">
        <v>123</v>
      </c>
      <c r="AY228" s="183" t="s">
        <v>183</v>
      </c>
      <c r="BE228" s="263">
        <f>IF(N228="základní",J228,0)</f>
        <v>0</v>
      </c>
      <c r="BF228" s="263">
        <f>IF(N228="snížená",J228,0)</f>
        <v>0</v>
      </c>
      <c r="BG228" s="263">
        <f>IF(N228="zákl. přenesená",J228,0)</f>
        <v>0</v>
      </c>
      <c r="BH228" s="263">
        <f>IF(N228="sníž. přenesená",J228,0)</f>
        <v>0</v>
      </c>
      <c r="BI228" s="263">
        <f>IF(N228="nulová",J228,0)</f>
        <v>0</v>
      </c>
      <c r="BJ228" s="183" t="s">
        <v>186</v>
      </c>
      <c r="BK228" s="263">
        <f>ROUND(I228*H228,2)</f>
        <v>0</v>
      </c>
      <c r="BL228" s="183" t="s">
        <v>192</v>
      </c>
      <c r="BM228" s="262" t="s">
        <v>590</v>
      </c>
    </row>
    <row r="229" spans="2:65" s="190" customFormat="1" x14ac:dyDescent="0.2">
      <c r="B229" s="191"/>
      <c r="D229" s="264" t="s">
        <v>194</v>
      </c>
      <c r="F229" s="265" t="s">
        <v>591</v>
      </c>
      <c r="L229" s="191"/>
      <c r="M229" s="266"/>
      <c r="T229" s="267"/>
      <c r="AT229" s="183" t="s">
        <v>194</v>
      </c>
      <c r="AU229" s="183" t="s">
        <v>123</v>
      </c>
    </row>
    <row r="230" spans="2:65" s="190" customFormat="1" ht="24.2" customHeight="1" x14ac:dyDescent="0.2">
      <c r="B230" s="191"/>
      <c r="C230" s="252" t="s">
        <v>592</v>
      </c>
      <c r="D230" s="252" t="s">
        <v>187</v>
      </c>
      <c r="E230" s="253" t="s">
        <v>593</v>
      </c>
      <c r="F230" s="254" t="s">
        <v>594</v>
      </c>
      <c r="G230" s="255" t="s">
        <v>241</v>
      </c>
      <c r="H230" s="256">
        <v>4</v>
      </c>
      <c r="I230" s="257"/>
      <c r="J230" s="257">
        <f>ROUND(I230*H230,2)</f>
        <v>0</v>
      </c>
      <c r="K230" s="254" t="s">
        <v>191</v>
      </c>
      <c r="L230" s="191"/>
      <c r="M230" s="258" t="s">
        <v>129</v>
      </c>
      <c r="N230" s="259" t="s">
        <v>144</v>
      </c>
      <c r="O230" s="260">
        <v>0.26</v>
      </c>
      <c r="P230" s="260">
        <f>O230*H230</f>
        <v>1.04</v>
      </c>
      <c r="Q230" s="260">
        <v>6.9999999999999999E-4</v>
      </c>
      <c r="R230" s="260">
        <f>Q230*H230</f>
        <v>2.8E-3</v>
      </c>
      <c r="S230" s="260">
        <v>0</v>
      </c>
      <c r="T230" s="261">
        <f>S230*H230</f>
        <v>0</v>
      </c>
      <c r="AR230" s="262" t="s">
        <v>192</v>
      </c>
      <c r="AT230" s="262" t="s">
        <v>187</v>
      </c>
      <c r="AU230" s="262" t="s">
        <v>123</v>
      </c>
      <c r="AY230" s="183" t="s">
        <v>183</v>
      </c>
      <c r="BE230" s="263">
        <f>IF(N230="základní",J230,0)</f>
        <v>0</v>
      </c>
      <c r="BF230" s="263">
        <f>IF(N230="snížená",J230,0)</f>
        <v>0</v>
      </c>
      <c r="BG230" s="263">
        <f>IF(N230="zákl. přenesená",J230,0)</f>
        <v>0</v>
      </c>
      <c r="BH230" s="263">
        <f>IF(N230="sníž. přenesená",J230,0)</f>
        <v>0</v>
      </c>
      <c r="BI230" s="263">
        <f>IF(N230="nulová",J230,0)</f>
        <v>0</v>
      </c>
      <c r="BJ230" s="183" t="s">
        <v>186</v>
      </c>
      <c r="BK230" s="263">
        <f>ROUND(I230*H230,2)</f>
        <v>0</v>
      </c>
      <c r="BL230" s="183" t="s">
        <v>192</v>
      </c>
      <c r="BM230" s="262" t="s">
        <v>595</v>
      </c>
    </row>
    <row r="231" spans="2:65" s="190" customFormat="1" x14ac:dyDescent="0.2">
      <c r="B231" s="191"/>
      <c r="D231" s="264" t="s">
        <v>194</v>
      </c>
      <c r="F231" s="265" t="s">
        <v>596</v>
      </c>
      <c r="L231" s="191"/>
      <c r="M231" s="266"/>
      <c r="T231" s="267"/>
      <c r="AT231" s="183" t="s">
        <v>194</v>
      </c>
      <c r="AU231" s="183" t="s">
        <v>123</v>
      </c>
    </row>
    <row r="232" spans="2:65" s="190" customFormat="1" ht="24.2" customHeight="1" x14ac:dyDescent="0.2">
      <c r="B232" s="191"/>
      <c r="C232" s="252" t="s">
        <v>597</v>
      </c>
      <c r="D232" s="252" t="s">
        <v>187</v>
      </c>
      <c r="E232" s="253" t="s">
        <v>598</v>
      </c>
      <c r="F232" s="254" t="s">
        <v>599</v>
      </c>
      <c r="G232" s="255" t="s">
        <v>241</v>
      </c>
      <c r="H232" s="256">
        <v>14</v>
      </c>
      <c r="I232" s="257"/>
      <c r="J232" s="257">
        <f>ROUND(I232*H232,2)</f>
        <v>0</v>
      </c>
      <c r="K232" s="254" t="s">
        <v>191</v>
      </c>
      <c r="L232" s="191"/>
      <c r="M232" s="258" t="s">
        <v>129</v>
      </c>
      <c r="N232" s="259" t="s">
        <v>144</v>
      </c>
      <c r="O232" s="260">
        <v>0.34</v>
      </c>
      <c r="P232" s="260">
        <f>O232*H232</f>
        <v>4.7600000000000007</v>
      </c>
      <c r="Q232" s="260">
        <v>1.07E-3</v>
      </c>
      <c r="R232" s="260">
        <f>Q232*H232</f>
        <v>1.498E-2</v>
      </c>
      <c r="S232" s="260">
        <v>0</v>
      </c>
      <c r="T232" s="261">
        <f>S232*H232</f>
        <v>0</v>
      </c>
      <c r="AR232" s="262" t="s">
        <v>192</v>
      </c>
      <c r="AT232" s="262" t="s">
        <v>187</v>
      </c>
      <c r="AU232" s="262" t="s">
        <v>123</v>
      </c>
      <c r="AY232" s="183" t="s">
        <v>183</v>
      </c>
      <c r="BE232" s="263">
        <f>IF(N232="základní",J232,0)</f>
        <v>0</v>
      </c>
      <c r="BF232" s="263">
        <f>IF(N232="snížená",J232,0)</f>
        <v>0</v>
      </c>
      <c r="BG232" s="263">
        <f>IF(N232="zákl. přenesená",J232,0)</f>
        <v>0</v>
      </c>
      <c r="BH232" s="263">
        <f>IF(N232="sníž. přenesená",J232,0)</f>
        <v>0</v>
      </c>
      <c r="BI232" s="263">
        <f>IF(N232="nulová",J232,0)</f>
        <v>0</v>
      </c>
      <c r="BJ232" s="183" t="s">
        <v>186</v>
      </c>
      <c r="BK232" s="263">
        <f>ROUND(I232*H232,2)</f>
        <v>0</v>
      </c>
      <c r="BL232" s="183" t="s">
        <v>192</v>
      </c>
      <c r="BM232" s="262" t="s">
        <v>600</v>
      </c>
    </row>
    <row r="233" spans="2:65" s="190" customFormat="1" x14ac:dyDescent="0.2">
      <c r="B233" s="191"/>
      <c r="D233" s="264" t="s">
        <v>194</v>
      </c>
      <c r="F233" s="265" t="s">
        <v>601</v>
      </c>
      <c r="L233" s="191"/>
      <c r="M233" s="266"/>
      <c r="T233" s="267"/>
      <c r="AT233" s="183" t="s">
        <v>194</v>
      </c>
      <c r="AU233" s="183" t="s">
        <v>123</v>
      </c>
    </row>
    <row r="234" spans="2:65" s="190" customFormat="1" ht="24.2" customHeight="1" x14ac:dyDescent="0.2">
      <c r="B234" s="191"/>
      <c r="C234" s="252" t="s">
        <v>602</v>
      </c>
      <c r="D234" s="252" t="s">
        <v>187</v>
      </c>
      <c r="E234" s="253" t="s">
        <v>603</v>
      </c>
      <c r="F234" s="254" t="s">
        <v>604</v>
      </c>
      <c r="G234" s="255" t="s">
        <v>241</v>
      </c>
      <c r="H234" s="256">
        <v>9</v>
      </c>
      <c r="I234" s="257"/>
      <c r="J234" s="257">
        <f>ROUND(I234*H234,2)</f>
        <v>0</v>
      </c>
      <c r="K234" s="254" t="s">
        <v>191</v>
      </c>
      <c r="L234" s="191"/>
      <c r="M234" s="258" t="s">
        <v>129</v>
      </c>
      <c r="N234" s="259" t="s">
        <v>144</v>
      </c>
      <c r="O234" s="260">
        <v>0.41</v>
      </c>
      <c r="P234" s="260">
        <f>O234*H234</f>
        <v>3.69</v>
      </c>
      <c r="Q234" s="260">
        <v>1.6800000000000001E-3</v>
      </c>
      <c r="R234" s="260">
        <f>Q234*H234</f>
        <v>1.5120000000000001E-2</v>
      </c>
      <c r="S234" s="260">
        <v>0</v>
      </c>
      <c r="T234" s="261">
        <f>S234*H234</f>
        <v>0</v>
      </c>
      <c r="AR234" s="262" t="s">
        <v>192</v>
      </c>
      <c r="AT234" s="262" t="s">
        <v>187</v>
      </c>
      <c r="AU234" s="262" t="s">
        <v>123</v>
      </c>
      <c r="AY234" s="183" t="s">
        <v>183</v>
      </c>
      <c r="BE234" s="263">
        <f>IF(N234="základní",J234,0)</f>
        <v>0</v>
      </c>
      <c r="BF234" s="263">
        <f>IF(N234="snížená",J234,0)</f>
        <v>0</v>
      </c>
      <c r="BG234" s="263">
        <f>IF(N234="zákl. přenesená",J234,0)</f>
        <v>0</v>
      </c>
      <c r="BH234" s="263">
        <f>IF(N234="sníž. přenesená",J234,0)</f>
        <v>0</v>
      </c>
      <c r="BI234" s="263">
        <f>IF(N234="nulová",J234,0)</f>
        <v>0</v>
      </c>
      <c r="BJ234" s="183" t="s">
        <v>186</v>
      </c>
      <c r="BK234" s="263">
        <f>ROUND(I234*H234,2)</f>
        <v>0</v>
      </c>
      <c r="BL234" s="183" t="s">
        <v>192</v>
      </c>
      <c r="BM234" s="262" t="s">
        <v>605</v>
      </c>
    </row>
    <row r="235" spans="2:65" s="190" customFormat="1" x14ac:dyDescent="0.2">
      <c r="B235" s="191"/>
      <c r="D235" s="264" t="s">
        <v>194</v>
      </c>
      <c r="F235" s="265" t="s">
        <v>606</v>
      </c>
      <c r="L235" s="191"/>
      <c r="M235" s="266"/>
      <c r="T235" s="267"/>
      <c r="AT235" s="183" t="s">
        <v>194</v>
      </c>
      <c r="AU235" s="183" t="s">
        <v>123</v>
      </c>
    </row>
    <row r="236" spans="2:65" s="190" customFormat="1" ht="37.9" customHeight="1" x14ac:dyDescent="0.2">
      <c r="B236" s="191"/>
      <c r="C236" s="252" t="s">
        <v>607</v>
      </c>
      <c r="D236" s="252" t="s">
        <v>187</v>
      </c>
      <c r="E236" s="253" t="s">
        <v>608</v>
      </c>
      <c r="F236" s="254" t="s">
        <v>609</v>
      </c>
      <c r="G236" s="255" t="s">
        <v>241</v>
      </c>
      <c r="H236" s="256">
        <v>8</v>
      </c>
      <c r="I236" s="257"/>
      <c r="J236" s="257">
        <f>ROUND(I236*H236,2)</f>
        <v>0</v>
      </c>
      <c r="K236" s="254" t="s">
        <v>191</v>
      </c>
      <c r="L236" s="191"/>
      <c r="M236" s="258" t="s">
        <v>129</v>
      </c>
      <c r="N236" s="259" t="s">
        <v>144</v>
      </c>
      <c r="O236" s="260">
        <v>0.38100000000000001</v>
      </c>
      <c r="P236" s="260">
        <f>O236*H236</f>
        <v>3.048</v>
      </c>
      <c r="Q236" s="260">
        <v>5.6804849999999999E-4</v>
      </c>
      <c r="R236" s="260">
        <f>Q236*H236</f>
        <v>4.5443879999999999E-3</v>
      </c>
      <c r="S236" s="260">
        <v>0</v>
      </c>
      <c r="T236" s="261">
        <f>S236*H236</f>
        <v>0</v>
      </c>
      <c r="AR236" s="262" t="s">
        <v>192</v>
      </c>
      <c r="AT236" s="262" t="s">
        <v>187</v>
      </c>
      <c r="AU236" s="262" t="s">
        <v>123</v>
      </c>
      <c r="AY236" s="183" t="s">
        <v>183</v>
      </c>
      <c r="BE236" s="263">
        <f>IF(N236="základní",J236,0)</f>
        <v>0</v>
      </c>
      <c r="BF236" s="263">
        <f>IF(N236="snížená",J236,0)</f>
        <v>0</v>
      </c>
      <c r="BG236" s="263">
        <f>IF(N236="zákl. přenesená",J236,0)</f>
        <v>0</v>
      </c>
      <c r="BH236" s="263">
        <f>IF(N236="sníž. přenesená",J236,0)</f>
        <v>0</v>
      </c>
      <c r="BI236" s="263">
        <f>IF(N236="nulová",J236,0)</f>
        <v>0</v>
      </c>
      <c r="BJ236" s="183" t="s">
        <v>186</v>
      </c>
      <c r="BK236" s="263">
        <f>ROUND(I236*H236,2)</f>
        <v>0</v>
      </c>
      <c r="BL236" s="183" t="s">
        <v>192</v>
      </c>
      <c r="BM236" s="262" t="s">
        <v>610</v>
      </c>
    </row>
    <row r="237" spans="2:65" s="190" customFormat="1" x14ac:dyDescent="0.2">
      <c r="B237" s="191"/>
      <c r="D237" s="264" t="s">
        <v>194</v>
      </c>
      <c r="F237" s="265" t="s">
        <v>611</v>
      </c>
      <c r="L237" s="191"/>
      <c r="M237" s="266"/>
      <c r="T237" s="267"/>
      <c r="AT237" s="183" t="s">
        <v>194</v>
      </c>
      <c r="AU237" s="183" t="s">
        <v>123</v>
      </c>
    </row>
    <row r="238" spans="2:65" s="190" customFormat="1" ht="37.9" customHeight="1" x14ac:dyDescent="0.2">
      <c r="B238" s="191"/>
      <c r="C238" s="252" t="s">
        <v>612</v>
      </c>
      <c r="D238" s="252" t="s">
        <v>187</v>
      </c>
      <c r="E238" s="253" t="s">
        <v>613</v>
      </c>
      <c r="F238" s="254" t="s">
        <v>614</v>
      </c>
      <c r="G238" s="255" t="s">
        <v>241</v>
      </c>
      <c r="H238" s="256">
        <v>3</v>
      </c>
      <c r="I238" s="257"/>
      <c r="J238" s="257">
        <f>ROUND(I238*H238,2)</f>
        <v>0</v>
      </c>
      <c r="K238" s="254" t="s">
        <v>191</v>
      </c>
      <c r="L238" s="191"/>
      <c r="M238" s="258" t="s">
        <v>129</v>
      </c>
      <c r="N238" s="259" t="s">
        <v>144</v>
      </c>
      <c r="O238" s="260">
        <v>0.433</v>
      </c>
      <c r="P238" s="260">
        <f>O238*H238</f>
        <v>1.2989999999999999</v>
      </c>
      <c r="Q238" s="260">
        <v>1.47E-3</v>
      </c>
      <c r="R238" s="260">
        <f>Q238*H238</f>
        <v>4.4099999999999999E-3</v>
      </c>
      <c r="S238" s="260">
        <v>0</v>
      </c>
      <c r="T238" s="261">
        <f>S238*H238</f>
        <v>0</v>
      </c>
      <c r="AR238" s="262" t="s">
        <v>192</v>
      </c>
      <c r="AT238" s="262" t="s">
        <v>187</v>
      </c>
      <c r="AU238" s="262" t="s">
        <v>123</v>
      </c>
      <c r="AY238" s="183" t="s">
        <v>183</v>
      </c>
      <c r="BE238" s="263">
        <f>IF(N238="základní",J238,0)</f>
        <v>0</v>
      </c>
      <c r="BF238" s="263">
        <f>IF(N238="snížená",J238,0)</f>
        <v>0</v>
      </c>
      <c r="BG238" s="263">
        <f>IF(N238="zákl. přenesená",J238,0)</f>
        <v>0</v>
      </c>
      <c r="BH238" s="263">
        <f>IF(N238="sníž. přenesená",J238,0)</f>
        <v>0</v>
      </c>
      <c r="BI238" s="263">
        <f>IF(N238="nulová",J238,0)</f>
        <v>0</v>
      </c>
      <c r="BJ238" s="183" t="s">
        <v>186</v>
      </c>
      <c r="BK238" s="263">
        <f>ROUND(I238*H238,2)</f>
        <v>0</v>
      </c>
      <c r="BL238" s="183" t="s">
        <v>192</v>
      </c>
      <c r="BM238" s="262" t="s">
        <v>615</v>
      </c>
    </row>
    <row r="239" spans="2:65" s="190" customFormat="1" x14ac:dyDescent="0.2">
      <c r="B239" s="191"/>
      <c r="D239" s="264" t="s">
        <v>194</v>
      </c>
      <c r="F239" s="265" t="s">
        <v>616</v>
      </c>
      <c r="L239" s="191"/>
      <c r="M239" s="266"/>
      <c r="T239" s="267"/>
      <c r="AT239" s="183" t="s">
        <v>194</v>
      </c>
      <c r="AU239" s="183" t="s">
        <v>123</v>
      </c>
    </row>
    <row r="240" spans="2:65" s="190" customFormat="1" ht="37.9" customHeight="1" x14ac:dyDescent="0.2">
      <c r="B240" s="191"/>
      <c r="C240" s="252" t="s">
        <v>617</v>
      </c>
      <c r="D240" s="252" t="s">
        <v>187</v>
      </c>
      <c r="E240" s="253" t="s">
        <v>618</v>
      </c>
      <c r="F240" s="254" t="s">
        <v>619</v>
      </c>
      <c r="G240" s="255" t="s">
        <v>228</v>
      </c>
      <c r="H240" s="256">
        <v>0.109</v>
      </c>
      <c r="I240" s="257"/>
      <c r="J240" s="257">
        <f>ROUND(I240*H240,2)</f>
        <v>0</v>
      </c>
      <c r="K240" s="254" t="s">
        <v>191</v>
      </c>
      <c r="L240" s="191"/>
      <c r="M240" s="258" t="s">
        <v>129</v>
      </c>
      <c r="N240" s="259" t="s">
        <v>144</v>
      </c>
      <c r="O240" s="260">
        <v>2.5</v>
      </c>
      <c r="P240" s="260">
        <f>O240*H240</f>
        <v>0.27250000000000002</v>
      </c>
      <c r="Q240" s="260">
        <v>0</v>
      </c>
      <c r="R240" s="260">
        <f>Q240*H240</f>
        <v>0</v>
      </c>
      <c r="S240" s="260">
        <v>0</v>
      </c>
      <c r="T240" s="261">
        <f>S240*H240</f>
        <v>0</v>
      </c>
      <c r="AR240" s="262" t="s">
        <v>192</v>
      </c>
      <c r="AT240" s="262" t="s">
        <v>187</v>
      </c>
      <c r="AU240" s="262" t="s">
        <v>123</v>
      </c>
      <c r="AY240" s="183" t="s">
        <v>183</v>
      </c>
      <c r="BE240" s="263">
        <f>IF(N240="základní",J240,0)</f>
        <v>0</v>
      </c>
      <c r="BF240" s="263">
        <f>IF(N240="snížená",J240,0)</f>
        <v>0</v>
      </c>
      <c r="BG240" s="263">
        <f>IF(N240="zákl. přenesená",J240,0)</f>
        <v>0</v>
      </c>
      <c r="BH240" s="263">
        <f>IF(N240="sníž. přenesená",J240,0)</f>
        <v>0</v>
      </c>
      <c r="BI240" s="263">
        <f>IF(N240="nulová",J240,0)</f>
        <v>0</v>
      </c>
      <c r="BJ240" s="183" t="s">
        <v>186</v>
      </c>
      <c r="BK240" s="263">
        <f>ROUND(I240*H240,2)</f>
        <v>0</v>
      </c>
      <c r="BL240" s="183" t="s">
        <v>192</v>
      </c>
      <c r="BM240" s="262" t="s">
        <v>620</v>
      </c>
    </row>
    <row r="241" spans="2:65" s="190" customFormat="1" x14ac:dyDescent="0.2">
      <c r="B241" s="191"/>
      <c r="D241" s="264" t="s">
        <v>194</v>
      </c>
      <c r="F241" s="265" t="s">
        <v>621</v>
      </c>
      <c r="L241" s="191"/>
      <c r="M241" s="266"/>
      <c r="T241" s="267"/>
      <c r="AT241" s="183" t="s">
        <v>194</v>
      </c>
      <c r="AU241" s="183" t="s">
        <v>123</v>
      </c>
    </row>
    <row r="242" spans="2:65" s="240" customFormat="1" ht="22.9" customHeight="1" x14ac:dyDescent="0.2">
      <c r="B242" s="241"/>
      <c r="D242" s="242" t="s">
        <v>180</v>
      </c>
      <c r="E242" s="250" t="s">
        <v>622</v>
      </c>
      <c r="F242" s="250" t="s">
        <v>623</v>
      </c>
      <c r="J242" s="251">
        <f>BK242</f>
        <v>0</v>
      </c>
      <c r="L242" s="241"/>
      <c r="M242" s="245"/>
      <c r="P242" s="246">
        <f>SUM(P243:P307)</f>
        <v>373.27443199999993</v>
      </c>
      <c r="R242" s="246">
        <f>SUM(R243:R307)</f>
        <v>3.7664899999999997</v>
      </c>
      <c r="T242" s="247">
        <f>SUM(T243:T307)</f>
        <v>0</v>
      </c>
      <c r="AR242" s="242" t="s">
        <v>123</v>
      </c>
      <c r="AT242" s="248" t="s">
        <v>180</v>
      </c>
      <c r="AU242" s="248" t="s">
        <v>186</v>
      </c>
      <c r="AY242" s="242" t="s">
        <v>183</v>
      </c>
      <c r="BK242" s="249">
        <f>SUM(BK243:BK307)</f>
        <v>0</v>
      </c>
    </row>
    <row r="243" spans="2:65" s="190" customFormat="1" ht="33" customHeight="1" x14ac:dyDescent="0.2">
      <c r="B243" s="191"/>
      <c r="C243" s="252" t="s">
        <v>624</v>
      </c>
      <c r="D243" s="252" t="s">
        <v>187</v>
      </c>
      <c r="E243" s="253" t="s">
        <v>625</v>
      </c>
      <c r="F243" s="254" t="s">
        <v>626</v>
      </c>
      <c r="G243" s="255" t="s">
        <v>241</v>
      </c>
      <c r="H243" s="256">
        <v>78</v>
      </c>
      <c r="I243" s="257"/>
      <c r="J243" s="257">
        <f>ROUND(I243*H243,2)</f>
        <v>0</v>
      </c>
      <c r="K243" s="254" t="s">
        <v>191</v>
      </c>
      <c r="L243" s="191"/>
      <c r="M243" s="258" t="s">
        <v>129</v>
      </c>
      <c r="N243" s="259" t="s">
        <v>144</v>
      </c>
      <c r="O243" s="260">
        <v>0.13400000000000001</v>
      </c>
      <c r="P243" s="260">
        <f>O243*H243</f>
        <v>10.452</v>
      </c>
      <c r="Q243" s="260">
        <v>0</v>
      </c>
      <c r="R243" s="260">
        <f>Q243*H243</f>
        <v>0</v>
      </c>
      <c r="S243" s="260">
        <v>0</v>
      </c>
      <c r="T243" s="261">
        <f>S243*H243</f>
        <v>0</v>
      </c>
      <c r="AR243" s="262" t="s">
        <v>192</v>
      </c>
      <c r="AT243" s="262" t="s">
        <v>187</v>
      </c>
      <c r="AU243" s="262" t="s">
        <v>123</v>
      </c>
      <c r="AY243" s="183" t="s">
        <v>183</v>
      </c>
      <c r="BE243" s="263">
        <f>IF(N243="základní",J243,0)</f>
        <v>0</v>
      </c>
      <c r="BF243" s="263">
        <f>IF(N243="snížená",J243,0)</f>
        <v>0</v>
      </c>
      <c r="BG243" s="263">
        <f>IF(N243="zákl. přenesená",J243,0)</f>
        <v>0</v>
      </c>
      <c r="BH243" s="263">
        <f>IF(N243="sníž. přenesená",J243,0)</f>
        <v>0</v>
      </c>
      <c r="BI243" s="263">
        <f>IF(N243="nulová",J243,0)</f>
        <v>0</v>
      </c>
      <c r="BJ243" s="183" t="s">
        <v>186</v>
      </c>
      <c r="BK243" s="263">
        <f>ROUND(I243*H243,2)</f>
        <v>0</v>
      </c>
      <c r="BL243" s="183" t="s">
        <v>192</v>
      </c>
      <c r="BM243" s="262" t="s">
        <v>627</v>
      </c>
    </row>
    <row r="244" spans="2:65" s="190" customFormat="1" x14ac:dyDescent="0.2">
      <c r="B244" s="191"/>
      <c r="D244" s="264" t="s">
        <v>194</v>
      </c>
      <c r="F244" s="265" t="s">
        <v>628</v>
      </c>
      <c r="L244" s="191"/>
      <c r="M244" s="266"/>
      <c r="T244" s="267"/>
      <c r="AT244" s="183" t="s">
        <v>194</v>
      </c>
      <c r="AU244" s="183" t="s">
        <v>123</v>
      </c>
    </row>
    <row r="245" spans="2:65" s="190" customFormat="1" ht="49.15" customHeight="1" x14ac:dyDescent="0.2">
      <c r="B245" s="191"/>
      <c r="C245" s="252" t="s">
        <v>629</v>
      </c>
      <c r="D245" s="252" t="s">
        <v>187</v>
      </c>
      <c r="E245" s="253" t="s">
        <v>630</v>
      </c>
      <c r="F245" s="254" t="s">
        <v>631</v>
      </c>
      <c r="G245" s="255" t="s">
        <v>241</v>
      </c>
      <c r="H245" s="256">
        <v>5</v>
      </c>
      <c r="I245" s="257"/>
      <c r="J245" s="257">
        <f>ROUND(I245*H245,2)</f>
        <v>0</v>
      </c>
      <c r="K245" s="254" t="s">
        <v>191</v>
      </c>
      <c r="L245" s="191"/>
      <c r="M245" s="258" t="s">
        <v>129</v>
      </c>
      <c r="N245" s="259" t="s">
        <v>144</v>
      </c>
      <c r="O245" s="260">
        <v>0.28999999999999998</v>
      </c>
      <c r="P245" s="260">
        <f>O245*H245</f>
        <v>1.45</v>
      </c>
      <c r="Q245" s="260">
        <v>3.1539999999999999E-2</v>
      </c>
      <c r="R245" s="260">
        <f>Q245*H245</f>
        <v>0.15770000000000001</v>
      </c>
      <c r="S245" s="260">
        <v>0</v>
      </c>
      <c r="T245" s="261">
        <f>S245*H245</f>
        <v>0</v>
      </c>
      <c r="AR245" s="262" t="s">
        <v>192</v>
      </c>
      <c r="AT245" s="262" t="s">
        <v>187</v>
      </c>
      <c r="AU245" s="262" t="s">
        <v>123</v>
      </c>
      <c r="AY245" s="183" t="s">
        <v>183</v>
      </c>
      <c r="BE245" s="263">
        <f>IF(N245="základní",J245,0)</f>
        <v>0</v>
      </c>
      <c r="BF245" s="263">
        <f>IF(N245="snížená",J245,0)</f>
        <v>0</v>
      </c>
      <c r="BG245" s="263">
        <f>IF(N245="zákl. přenesená",J245,0)</f>
        <v>0</v>
      </c>
      <c r="BH245" s="263">
        <f>IF(N245="sníž. přenesená",J245,0)</f>
        <v>0</v>
      </c>
      <c r="BI245" s="263">
        <f>IF(N245="nulová",J245,0)</f>
        <v>0</v>
      </c>
      <c r="BJ245" s="183" t="s">
        <v>186</v>
      </c>
      <c r="BK245" s="263">
        <f>ROUND(I245*H245,2)</f>
        <v>0</v>
      </c>
      <c r="BL245" s="183" t="s">
        <v>192</v>
      </c>
      <c r="BM245" s="262" t="s">
        <v>632</v>
      </c>
    </row>
    <row r="246" spans="2:65" s="190" customFormat="1" x14ac:dyDescent="0.2">
      <c r="B246" s="191"/>
      <c r="D246" s="264" t="s">
        <v>194</v>
      </c>
      <c r="F246" s="265" t="s">
        <v>633</v>
      </c>
      <c r="L246" s="191"/>
      <c r="M246" s="266"/>
      <c r="T246" s="267"/>
      <c r="AT246" s="183" t="s">
        <v>194</v>
      </c>
      <c r="AU246" s="183" t="s">
        <v>123</v>
      </c>
    </row>
    <row r="247" spans="2:65" s="190" customFormat="1" ht="49.15" customHeight="1" x14ac:dyDescent="0.2">
      <c r="B247" s="191"/>
      <c r="C247" s="252" t="s">
        <v>634</v>
      </c>
      <c r="D247" s="252" t="s">
        <v>187</v>
      </c>
      <c r="E247" s="253" t="s">
        <v>635</v>
      </c>
      <c r="F247" s="254" t="s">
        <v>636</v>
      </c>
      <c r="G247" s="255" t="s">
        <v>241</v>
      </c>
      <c r="H247" s="256">
        <v>1</v>
      </c>
      <c r="I247" s="257"/>
      <c r="J247" s="257">
        <f>ROUND(I247*H247,2)</f>
        <v>0</v>
      </c>
      <c r="K247" s="254" t="s">
        <v>191</v>
      </c>
      <c r="L247" s="191"/>
      <c r="M247" s="258" t="s">
        <v>129</v>
      </c>
      <c r="N247" s="259" t="s">
        <v>144</v>
      </c>
      <c r="O247" s="260">
        <v>0.36399999999999999</v>
      </c>
      <c r="P247" s="260">
        <f>O247*H247</f>
        <v>0.36399999999999999</v>
      </c>
      <c r="Q247" s="260">
        <v>5.6099999999999997E-2</v>
      </c>
      <c r="R247" s="260">
        <f>Q247*H247</f>
        <v>5.6099999999999997E-2</v>
      </c>
      <c r="S247" s="260">
        <v>0</v>
      </c>
      <c r="T247" s="261">
        <f>S247*H247</f>
        <v>0</v>
      </c>
      <c r="AR247" s="262" t="s">
        <v>192</v>
      </c>
      <c r="AT247" s="262" t="s">
        <v>187</v>
      </c>
      <c r="AU247" s="262" t="s">
        <v>123</v>
      </c>
      <c r="AY247" s="183" t="s">
        <v>183</v>
      </c>
      <c r="BE247" s="263">
        <f>IF(N247="základní",J247,0)</f>
        <v>0</v>
      </c>
      <c r="BF247" s="263">
        <f>IF(N247="snížená",J247,0)</f>
        <v>0</v>
      </c>
      <c r="BG247" s="263">
        <f>IF(N247="zákl. přenesená",J247,0)</f>
        <v>0</v>
      </c>
      <c r="BH247" s="263">
        <f>IF(N247="sníž. přenesená",J247,0)</f>
        <v>0</v>
      </c>
      <c r="BI247" s="263">
        <f>IF(N247="nulová",J247,0)</f>
        <v>0</v>
      </c>
      <c r="BJ247" s="183" t="s">
        <v>186</v>
      </c>
      <c r="BK247" s="263">
        <f>ROUND(I247*H247,2)</f>
        <v>0</v>
      </c>
      <c r="BL247" s="183" t="s">
        <v>192</v>
      </c>
      <c r="BM247" s="262" t="s">
        <v>637</v>
      </c>
    </row>
    <row r="248" spans="2:65" s="190" customFormat="1" x14ac:dyDescent="0.2">
      <c r="B248" s="191"/>
      <c r="D248" s="264" t="s">
        <v>194</v>
      </c>
      <c r="F248" s="265" t="s">
        <v>638</v>
      </c>
      <c r="L248" s="191"/>
      <c r="M248" s="266"/>
      <c r="T248" s="267"/>
      <c r="AT248" s="183" t="s">
        <v>194</v>
      </c>
      <c r="AU248" s="183" t="s">
        <v>123</v>
      </c>
    </row>
    <row r="249" spans="2:65" s="190" customFormat="1" ht="49.15" customHeight="1" x14ac:dyDescent="0.2">
      <c r="B249" s="191"/>
      <c r="C249" s="252" t="s">
        <v>639</v>
      </c>
      <c r="D249" s="252" t="s">
        <v>187</v>
      </c>
      <c r="E249" s="253" t="s">
        <v>640</v>
      </c>
      <c r="F249" s="254" t="s">
        <v>641</v>
      </c>
      <c r="G249" s="255" t="s">
        <v>241</v>
      </c>
      <c r="H249" s="256">
        <v>1</v>
      </c>
      <c r="I249" s="257"/>
      <c r="J249" s="257">
        <f>ROUND(I249*H249,2)</f>
        <v>0</v>
      </c>
      <c r="K249" s="254" t="s">
        <v>191</v>
      </c>
      <c r="L249" s="191"/>
      <c r="M249" s="258" t="s">
        <v>129</v>
      </c>
      <c r="N249" s="259" t="s">
        <v>144</v>
      </c>
      <c r="O249" s="260">
        <v>0.35299999999999998</v>
      </c>
      <c r="P249" s="260">
        <f>O249*H249</f>
        <v>0.35299999999999998</v>
      </c>
      <c r="Q249" s="260">
        <v>5.2420000000000001E-2</v>
      </c>
      <c r="R249" s="260">
        <f>Q249*H249</f>
        <v>5.2420000000000001E-2</v>
      </c>
      <c r="S249" s="260">
        <v>0</v>
      </c>
      <c r="T249" s="261">
        <f>S249*H249</f>
        <v>0</v>
      </c>
      <c r="AR249" s="262" t="s">
        <v>192</v>
      </c>
      <c r="AT249" s="262" t="s">
        <v>187</v>
      </c>
      <c r="AU249" s="262" t="s">
        <v>123</v>
      </c>
      <c r="AY249" s="183" t="s">
        <v>183</v>
      </c>
      <c r="BE249" s="263">
        <f>IF(N249="základní",J249,0)</f>
        <v>0</v>
      </c>
      <c r="BF249" s="263">
        <f>IF(N249="snížená",J249,0)</f>
        <v>0</v>
      </c>
      <c r="BG249" s="263">
        <f>IF(N249="zákl. přenesená",J249,0)</f>
        <v>0</v>
      </c>
      <c r="BH249" s="263">
        <f>IF(N249="sníž. přenesená",J249,0)</f>
        <v>0</v>
      </c>
      <c r="BI249" s="263">
        <f>IF(N249="nulová",J249,0)</f>
        <v>0</v>
      </c>
      <c r="BJ249" s="183" t="s">
        <v>186</v>
      </c>
      <c r="BK249" s="263">
        <f>ROUND(I249*H249,2)</f>
        <v>0</v>
      </c>
      <c r="BL249" s="183" t="s">
        <v>192</v>
      </c>
      <c r="BM249" s="262" t="s">
        <v>642</v>
      </c>
    </row>
    <row r="250" spans="2:65" s="190" customFormat="1" x14ac:dyDescent="0.2">
      <c r="B250" s="191"/>
      <c r="D250" s="264" t="s">
        <v>194</v>
      </c>
      <c r="F250" s="265" t="s">
        <v>643</v>
      </c>
      <c r="L250" s="191"/>
      <c r="M250" s="266"/>
      <c r="T250" s="267"/>
      <c r="AT250" s="183" t="s">
        <v>194</v>
      </c>
      <c r="AU250" s="183" t="s">
        <v>123</v>
      </c>
    </row>
    <row r="251" spans="2:65" s="190" customFormat="1" ht="49.15" customHeight="1" x14ac:dyDescent="0.2">
      <c r="B251" s="191"/>
      <c r="C251" s="252" t="s">
        <v>644</v>
      </c>
      <c r="D251" s="252" t="s">
        <v>187</v>
      </c>
      <c r="E251" s="253" t="s">
        <v>645</v>
      </c>
      <c r="F251" s="254" t="s">
        <v>646</v>
      </c>
      <c r="G251" s="255" t="s">
        <v>241</v>
      </c>
      <c r="H251" s="256">
        <v>2</v>
      </c>
      <c r="I251" s="257"/>
      <c r="J251" s="257">
        <f>ROUND(I251*H251,2)</f>
        <v>0</v>
      </c>
      <c r="K251" s="254" t="s">
        <v>191</v>
      </c>
      <c r="L251" s="191"/>
      <c r="M251" s="258" t="s">
        <v>129</v>
      </c>
      <c r="N251" s="259" t="s">
        <v>144</v>
      </c>
      <c r="O251" s="260">
        <v>0.38200000000000001</v>
      </c>
      <c r="P251" s="260">
        <f>O251*H251</f>
        <v>0.76400000000000001</v>
      </c>
      <c r="Q251" s="260">
        <v>6.2199999999999998E-2</v>
      </c>
      <c r="R251" s="260">
        <f>Q251*H251</f>
        <v>0.1244</v>
      </c>
      <c r="S251" s="260">
        <v>0</v>
      </c>
      <c r="T251" s="261">
        <f>S251*H251</f>
        <v>0</v>
      </c>
      <c r="AR251" s="262" t="s">
        <v>192</v>
      </c>
      <c r="AT251" s="262" t="s">
        <v>187</v>
      </c>
      <c r="AU251" s="262" t="s">
        <v>123</v>
      </c>
      <c r="AY251" s="183" t="s">
        <v>183</v>
      </c>
      <c r="BE251" s="263">
        <f>IF(N251="základní",J251,0)</f>
        <v>0</v>
      </c>
      <c r="BF251" s="263">
        <f>IF(N251="snížená",J251,0)</f>
        <v>0</v>
      </c>
      <c r="BG251" s="263">
        <f>IF(N251="zákl. přenesená",J251,0)</f>
        <v>0</v>
      </c>
      <c r="BH251" s="263">
        <f>IF(N251="sníž. přenesená",J251,0)</f>
        <v>0</v>
      </c>
      <c r="BI251" s="263">
        <f>IF(N251="nulová",J251,0)</f>
        <v>0</v>
      </c>
      <c r="BJ251" s="183" t="s">
        <v>186</v>
      </c>
      <c r="BK251" s="263">
        <f>ROUND(I251*H251,2)</f>
        <v>0</v>
      </c>
      <c r="BL251" s="183" t="s">
        <v>192</v>
      </c>
      <c r="BM251" s="262" t="s">
        <v>647</v>
      </c>
    </row>
    <row r="252" spans="2:65" s="190" customFormat="1" x14ac:dyDescent="0.2">
      <c r="B252" s="191"/>
      <c r="D252" s="264" t="s">
        <v>194</v>
      </c>
      <c r="F252" s="265" t="s">
        <v>648</v>
      </c>
      <c r="L252" s="191"/>
      <c r="M252" s="266"/>
      <c r="T252" s="267"/>
      <c r="AT252" s="183" t="s">
        <v>194</v>
      </c>
      <c r="AU252" s="183" t="s">
        <v>123</v>
      </c>
    </row>
    <row r="253" spans="2:65" s="190" customFormat="1" ht="49.15" customHeight="1" x14ac:dyDescent="0.2">
      <c r="B253" s="191"/>
      <c r="C253" s="252" t="s">
        <v>649</v>
      </c>
      <c r="D253" s="252" t="s">
        <v>187</v>
      </c>
      <c r="E253" s="253" t="s">
        <v>650</v>
      </c>
      <c r="F253" s="254" t="s">
        <v>651</v>
      </c>
      <c r="G253" s="255" t="s">
        <v>241</v>
      </c>
      <c r="H253" s="256">
        <v>2</v>
      </c>
      <c r="I253" s="257"/>
      <c r="J253" s="257">
        <f>ROUND(I253*H253,2)</f>
        <v>0</v>
      </c>
      <c r="K253" s="254" t="s">
        <v>191</v>
      </c>
      <c r="L253" s="191"/>
      <c r="M253" s="258" t="s">
        <v>129</v>
      </c>
      <c r="N253" s="259" t="s">
        <v>144</v>
      </c>
      <c r="O253" s="260">
        <v>0.40300000000000002</v>
      </c>
      <c r="P253" s="260">
        <f>O253*H253</f>
        <v>0.80600000000000005</v>
      </c>
      <c r="Q253" s="260">
        <v>6.9159999999999999E-2</v>
      </c>
      <c r="R253" s="260">
        <f>Q253*H253</f>
        <v>0.13832</v>
      </c>
      <c r="S253" s="260">
        <v>0</v>
      </c>
      <c r="T253" s="261">
        <f>S253*H253</f>
        <v>0</v>
      </c>
      <c r="AR253" s="262" t="s">
        <v>192</v>
      </c>
      <c r="AT253" s="262" t="s">
        <v>187</v>
      </c>
      <c r="AU253" s="262" t="s">
        <v>123</v>
      </c>
      <c r="AY253" s="183" t="s">
        <v>183</v>
      </c>
      <c r="BE253" s="263">
        <f>IF(N253="základní",J253,0)</f>
        <v>0</v>
      </c>
      <c r="BF253" s="263">
        <f>IF(N253="snížená",J253,0)</f>
        <v>0</v>
      </c>
      <c r="BG253" s="263">
        <f>IF(N253="zákl. přenesená",J253,0)</f>
        <v>0</v>
      </c>
      <c r="BH253" s="263">
        <f>IF(N253="sníž. přenesená",J253,0)</f>
        <v>0</v>
      </c>
      <c r="BI253" s="263">
        <f>IF(N253="nulová",J253,0)</f>
        <v>0</v>
      </c>
      <c r="BJ253" s="183" t="s">
        <v>186</v>
      </c>
      <c r="BK253" s="263">
        <f>ROUND(I253*H253,2)</f>
        <v>0</v>
      </c>
      <c r="BL253" s="183" t="s">
        <v>192</v>
      </c>
      <c r="BM253" s="262" t="s">
        <v>652</v>
      </c>
    </row>
    <row r="254" spans="2:65" s="190" customFormat="1" x14ac:dyDescent="0.2">
      <c r="B254" s="191"/>
      <c r="D254" s="264" t="s">
        <v>194</v>
      </c>
      <c r="F254" s="265" t="s">
        <v>653</v>
      </c>
      <c r="L254" s="191"/>
      <c r="M254" s="266"/>
      <c r="T254" s="267"/>
      <c r="AT254" s="183" t="s">
        <v>194</v>
      </c>
      <c r="AU254" s="183" t="s">
        <v>123</v>
      </c>
    </row>
    <row r="255" spans="2:65" s="190" customFormat="1" ht="49.15" customHeight="1" x14ac:dyDescent="0.2">
      <c r="B255" s="191"/>
      <c r="C255" s="252" t="s">
        <v>654</v>
      </c>
      <c r="D255" s="252" t="s">
        <v>187</v>
      </c>
      <c r="E255" s="253" t="s">
        <v>655</v>
      </c>
      <c r="F255" s="254" t="s">
        <v>656</v>
      </c>
      <c r="G255" s="255" t="s">
        <v>241</v>
      </c>
      <c r="H255" s="256">
        <v>2</v>
      </c>
      <c r="I255" s="257"/>
      <c r="J255" s="257">
        <f>ROUND(I255*H255,2)</f>
        <v>0</v>
      </c>
      <c r="K255" s="254" t="s">
        <v>191</v>
      </c>
      <c r="L255" s="191"/>
      <c r="M255" s="258" t="s">
        <v>129</v>
      </c>
      <c r="N255" s="259" t="s">
        <v>144</v>
      </c>
      <c r="O255" s="260">
        <v>0.436</v>
      </c>
      <c r="P255" s="260">
        <f>O255*H255</f>
        <v>0.872</v>
      </c>
      <c r="Q255" s="260">
        <v>8.0320000000000003E-2</v>
      </c>
      <c r="R255" s="260">
        <f>Q255*H255</f>
        <v>0.16064000000000001</v>
      </c>
      <c r="S255" s="260">
        <v>0</v>
      </c>
      <c r="T255" s="261">
        <f>S255*H255</f>
        <v>0</v>
      </c>
      <c r="AR255" s="262" t="s">
        <v>192</v>
      </c>
      <c r="AT255" s="262" t="s">
        <v>187</v>
      </c>
      <c r="AU255" s="262" t="s">
        <v>123</v>
      </c>
      <c r="AY255" s="183" t="s">
        <v>183</v>
      </c>
      <c r="BE255" s="263">
        <f>IF(N255="základní",J255,0)</f>
        <v>0</v>
      </c>
      <c r="BF255" s="263">
        <f>IF(N255="snížená",J255,0)</f>
        <v>0</v>
      </c>
      <c r="BG255" s="263">
        <f>IF(N255="zákl. přenesená",J255,0)</f>
        <v>0</v>
      </c>
      <c r="BH255" s="263">
        <f>IF(N255="sníž. přenesená",J255,0)</f>
        <v>0</v>
      </c>
      <c r="BI255" s="263">
        <f>IF(N255="nulová",J255,0)</f>
        <v>0</v>
      </c>
      <c r="BJ255" s="183" t="s">
        <v>186</v>
      </c>
      <c r="BK255" s="263">
        <f>ROUND(I255*H255,2)</f>
        <v>0</v>
      </c>
      <c r="BL255" s="183" t="s">
        <v>192</v>
      </c>
      <c r="BM255" s="262" t="s">
        <v>657</v>
      </c>
    </row>
    <row r="256" spans="2:65" s="190" customFormat="1" x14ac:dyDescent="0.2">
      <c r="B256" s="191"/>
      <c r="D256" s="264" t="s">
        <v>194</v>
      </c>
      <c r="F256" s="265" t="s">
        <v>658</v>
      </c>
      <c r="L256" s="191"/>
      <c r="M256" s="266"/>
      <c r="T256" s="267"/>
      <c r="AT256" s="183" t="s">
        <v>194</v>
      </c>
      <c r="AU256" s="183" t="s">
        <v>123</v>
      </c>
    </row>
    <row r="257" spans="2:65" s="190" customFormat="1" ht="49.15" customHeight="1" x14ac:dyDescent="0.2">
      <c r="B257" s="191"/>
      <c r="C257" s="252" t="s">
        <v>659</v>
      </c>
      <c r="D257" s="252" t="s">
        <v>187</v>
      </c>
      <c r="E257" s="253" t="s">
        <v>660</v>
      </c>
      <c r="F257" s="254" t="s">
        <v>661</v>
      </c>
      <c r="G257" s="255" t="s">
        <v>241</v>
      </c>
      <c r="H257" s="256">
        <v>2</v>
      </c>
      <c r="I257" s="257"/>
      <c r="J257" s="257">
        <f>ROUND(I257*H257,2)</f>
        <v>0</v>
      </c>
      <c r="K257" s="254" t="s">
        <v>191</v>
      </c>
      <c r="L257" s="191"/>
      <c r="M257" s="258" t="s">
        <v>129</v>
      </c>
      <c r="N257" s="259" t="s">
        <v>144</v>
      </c>
      <c r="O257" s="260">
        <v>0.47</v>
      </c>
      <c r="P257" s="260">
        <f>O257*H257</f>
        <v>0.94</v>
      </c>
      <c r="Q257" s="260">
        <v>9.1480000000000006E-2</v>
      </c>
      <c r="R257" s="260">
        <f>Q257*H257</f>
        <v>0.18296000000000001</v>
      </c>
      <c r="S257" s="260">
        <v>0</v>
      </c>
      <c r="T257" s="261">
        <f>S257*H257</f>
        <v>0</v>
      </c>
      <c r="AR257" s="262" t="s">
        <v>192</v>
      </c>
      <c r="AT257" s="262" t="s">
        <v>187</v>
      </c>
      <c r="AU257" s="262" t="s">
        <v>123</v>
      </c>
      <c r="AY257" s="183" t="s">
        <v>183</v>
      </c>
      <c r="BE257" s="263">
        <f>IF(N257="základní",J257,0)</f>
        <v>0</v>
      </c>
      <c r="BF257" s="263">
        <f>IF(N257="snížená",J257,0)</f>
        <v>0</v>
      </c>
      <c r="BG257" s="263">
        <f>IF(N257="zákl. přenesená",J257,0)</f>
        <v>0</v>
      </c>
      <c r="BH257" s="263">
        <f>IF(N257="sníž. přenesená",J257,0)</f>
        <v>0</v>
      </c>
      <c r="BI257" s="263">
        <f>IF(N257="nulová",J257,0)</f>
        <v>0</v>
      </c>
      <c r="BJ257" s="183" t="s">
        <v>186</v>
      </c>
      <c r="BK257" s="263">
        <f>ROUND(I257*H257,2)</f>
        <v>0</v>
      </c>
      <c r="BL257" s="183" t="s">
        <v>192</v>
      </c>
      <c r="BM257" s="262" t="s">
        <v>662</v>
      </c>
    </row>
    <row r="258" spans="2:65" s="190" customFormat="1" x14ac:dyDescent="0.2">
      <c r="B258" s="191"/>
      <c r="D258" s="264" t="s">
        <v>194</v>
      </c>
      <c r="F258" s="265" t="s">
        <v>663</v>
      </c>
      <c r="L258" s="191"/>
      <c r="M258" s="266"/>
      <c r="T258" s="267"/>
      <c r="AT258" s="183" t="s">
        <v>194</v>
      </c>
      <c r="AU258" s="183" t="s">
        <v>123</v>
      </c>
    </row>
    <row r="259" spans="2:65" s="190" customFormat="1" ht="24.2" customHeight="1" x14ac:dyDescent="0.2">
      <c r="B259" s="191"/>
      <c r="C259" s="252" t="s">
        <v>664</v>
      </c>
      <c r="D259" s="252" t="s">
        <v>187</v>
      </c>
      <c r="E259" s="253" t="s">
        <v>665</v>
      </c>
      <c r="F259" s="254" t="s">
        <v>666</v>
      </c>
      <c r="G259" s="255" t="s">
        <v>241</v>
      </c>
      <c r="H259" s="256">
        <v>19</v>
      </c>
      <c r="I259" s="257"/>
      <c r="J259" s="257">
        <f>ROUND(I259*H259,2)</f>
        <v>0</v>
      </c>
      <c r="K259" s="254" t="s">
        <v>191</v>
      </c>
      <c r="L259" s="191"/>
      <c r="M259" s="258" t="s">
        <v>129</v>
      </c>
      <c r="N259" s="259" t="s">
        <v>144</v>
      </c>
      <c r="O259" s="260">
        <v>0.60699999999999998</v>
      </c>
      <c r="P259" s="260">
        <f>O259*H259</f>
        <v>11.532999999999999</v>
      </c>
      <c r="Q259" s="260">
        <v>0</v>
      </c>
      <c r="R259" s="260">
        <f>Q259*H259</f>
        <v>0</v>
      </c>
      <c r="S259" s="260">
        <v>0</v>
      </c>
      <c r="T259" s="261">
        <f>S259*H259</f>
        <v>0</v>
      </c>
      <c r="AR259" s="262" t="s">
        <v>192</v>
      </c>
      <c r="AT259" s="262" t="s">
        <v>187</v>
      </c>
      <c r="AU259" s="262" t="s">
        <v>123</v>
      </c>
      <c r="AY259" s="183" t="s">
        <v>183</v>
      </c>
      <c r="BE259" s="263">
        <f>IF(N259="základní",J259,0)</f>
        <v>0</v>
      </c>
      <c r="BF259" s="263">
        <f>IF(N259="snížená",J259,0)</f>
        <v>0</v>
      </c>
      <c r="BG259" s="263">
        <f>IF(N259="zákl. přenesená",J259,0)</f>
        <v>0</v>
      </c>
      <c r="BH259" s="263">
        <f>IF(N259="sníž. přenesená",J259,0)</f>
        <v>0</v>
      </c>
      <c r="BI259" s="263">
        <f>IF(N259="nulová",J259,0)</f>
        <v>0</v>
      </c>
      <c r="BJ259" s="183" t="s">
        <v>186</v>
      </c>
      <c r="BK259" s="263">
        <f>ROUND(I259*H259,2)</f>
        <v>0</v>
      </c>
      <c r="BL259" s="183" t="s">
        <v>192</v>
      </c>
      <c r="BM259" s="262" t="s">
        <v>667</v>
      </c>
    </row>
    <row r="260" spans="2:65" s="190" customFormat="1" x14ac:dyDescent="0.2">
      <c r="B260" s="191"/>
      <c r="D260" s="264" t="s">
        <v>194</v>
      </c>
      <c r="F260" s="265" t="s">
        <v>668</v>
      </c>
      <c r="L260" s="191"/>
      <c r="M260" s="266"/>
      <c r="T260" s="267"/>
      <c r="AT260" s="183" t="s">
        <v>194</v>
      </c>
      <c r="AU260" s="183" t="s">
        <v>123</v>
      </c>
    </row>
    <row r="261" spans="2:65" s="190" customFormat="1" ht="55.5" customHeight="1" x14ac:dyDescent="0.2">
      <c r="B261" s="191"/>
      <c r="C261" s="268" t="s">
        <v>669</v>
      </c>
      <c r="D261" s="268" t="s">
        <v>196</v>
      </c>
      <c r="E261" s="269" t="s">
        <v>670</v>
      </c>
      <c r="F261" s="270" t="s">
        <v>671</v>
      </c>
      <c r="G261" s="271" t="s">
        <v>241</v>
      </c>
      <c r="H261" s="272">
        <v>1</v>
      </c>
      <c r="I261" s="273"/>
      <c r="J261" s="273">
        <f t="shared" ref="J261:J266" si="20">ROUND(I261*H261,2)</f>
        <v>0</v>
      </c>
      <c r="K261" s="270" t="s">
        <v>129</v>
      </c>
      <c r="L261" s="274"/>
      <c r="M261" s="275" t="s">
        <v>129</v>
      </c>
      <c r="N261" s="276" t="s">
        <v>144</v>
      </c>
      <c r="O261" s="260">
        <v>0</v>
      </c>
      <c r="P261" s="260">
        <f t="shared" ref="P261:P266" si="21">O261*H261</f>
        <v>0</v>
      </c>
      <c r="Q261" s="260">
        <v>2.3E-2</v>
      </c>
      <c r="R261" s="260">
        <f t="shared" ref="R261:R266" si="22">Q261*H261</f>
        <v>2.3E-2</v>
      </c>
      <c r="S261" s="260">
        <v>0</v>
      </c>
      <c r="T261" s="261">
        <f t="shared" ref="T261:T266" si="23">S261*H261</f>
        <v>0</v>
      </c>
      <c r="AR261" s="262" t="s">
        <v>199</v>
      </c>
      <c r="AT261" s="262" t="s">
        <v>196</v>
      </c>
      <c r="AU261" s="262" t="s">
        <v>123</v>
      </c>
      <c r="AY261" s="183" t="s">
        <v>183</v>
      </c>
      <c r="BE261" s="263">
        <f t="shared" ref="BE261:BE266" si="24">IF(N261="základní",J261,0)</f>
        <v>0</v>
      </c>
      <c r="BF261" s="263">
        <f t="shared" ref="BF261:BF266" si="25">IF(N261="snížená",J261,0)</f>
        <v>0</v>
      </c>
      <c r="BG261" s="263">
        <f t="shared" ref="BG261:BG266" si="26">IF(N261="zákl. přenesená",J261,0)</f>
        <v>0</v>
      </c>
      <c r="BH261" s="263">
        <f t="shared" ref="BH261:BH266" si="27">IF(N261="sníž. přenesená",J261,0)</f>
        <v>0</v>
      </c>
      <c r="BI261" s="263">
        <f t="shared" ref="BI261:BI266" si="28">IF(N261="nulová",J261,0)</f>
        <v>0</v>
      </c>
      <c r="BJ261" s="183" t="s">
        <v>186</v>
      </c>
      <c r="BK261" s="263">
        <f t="shared" ref="BK261:BK266" si="29">ROUND(I261*H261,2)</f>
        <v>0</v>
      </c>
      <c r="BL261" s="183" t="s">
        <v>192</v>
      </c>
      <c r="BM261" s="262" t="s">
        <v>672</v>
      </c>
    </row>
    <row r="262" spans="2:65" s="190" customFormat="1" ht="55.5" customHeight="1" x14ac:dyDescent="0.2">
      <c r="B262" s="191"/>
      <c r="C262" s="268" t="s">
        <v>673</v>
      </c>
      <c r="D262" s="268" t="s">
        <v>196</v>
      </c>
      <c r="E262" s="269" t="s">
        <v>674</v>
      </c>
      <c r="F262" s="270" t="s">
        <v>675</v>
      </c>
      <c r="G262" s="271" t="s">
        <v>241</v>
      </c>
      <c r="H262" s="272">
        <v>9</v>
      </c>
      <c r="I262" s="273"/>
      <c r="J262" s="273">
        <f t="shared" si="20"/>
        <v>0</v>
      </c>
      <c r="K262" s="270" t="s">
        <v>129</v>
      </c>
      <c r="L262" s="274"/>
      <c r="M262" s="275" t="s">
        <v>129</v>
      </c>
      <c r="N262" s="276" t="s">
        <v>144</v>
      </c>
      <c r="O262" s="260">
        <v>0</v>
      </c>
      <c r="P262" s="260">
        <f t="shared" si="21"/>
        <v>0</v>
      </c>
      <c r="Q262" s="260">
        <v>2.3E-2</v>
      </c>
      <c r="R262" s="260">
        <f t="shared" si="22"/>
        <v>0.20699999999999999</v>
      </c>
      <c r="S262" s="260">
        <v>0</v>
      </c>
      <c r="T262" s="261">
        <f t="shared" si="23"/>
        <v>0</v>
      </c>
      <c r="AR262" s="262" t="s">
        <v>199</v>
      </c>
      <c r="AT262" s="262" t="s">
        <v>196</v>
      </c>
      <c r="AU262" s="262" t="s">
        <v>123</v>
      </c>
      <c r="AY262" s="183" t="s">
        <v>183</v>
      </c>
      <c r="BE262" s="263">
        <f t="shared" si="24"/>
        <v>0</v>
      </c>
      <c r="BF262" s="263">
        <f t="shared" si="25"/>
        <v>0</v>
      </c>
      <c r="BG262" s="263">
        <f t="shared" si="26"/>
        <v>0</v>
      </c>
      <c r="BH262" s="263">
        <f t="shared" si="27"/>
        <v>0</v>
      </c>
      <c r="BI262" s="263">
        <f t="shared" si="28"/>
        <v>0</v>
      </c>
      <c r="BJ262" s="183" t="s">
        <v>186</v>
      </c>
      <c r="BK262" s="263">
        <f t="shared" si="29"/>
        <v>0</v>
      </c>
      <c r="BL262" s="183" t="s">
        <v>192</v>
      </c>
      <c r="BM262" s="262" t="s">
        <v>676</v>
      </c>
    </row>
    <row r="263" spans="2:65" s="190" customFormat="1" ht="55.5" customHeight="1" x14ac:dyDescent="0.2">
      <c r="B263" s="191"/>
      <c r="C263" s="268" t="s">
        <v>677</v>
      </c>
      <c r="D263" s="268" t="s">
        <v>196</v>
      </c>
      <c r="E263" s="269" t="s">
        <v>678</v>
      </c>
      <c r="F263" s="270" t="s">
        <v>679</v>
      </c>
      <c r="G263" s="271" t="s">
        <v>241</v>
      </c>
      <c r="H263" s="272">
        <v>2</v>
      </c>
      <c r="I263" s="273"/>
      <c r="J263" s="273">
        <f t="shared" si="20"/>
        <v>0</v>
      </c>
      <c r="K263" s="270" t="s">
        <v>129</v>
      </c>
      <c r="L263" s="274"/>
      <c r="M263" s="275" t="s">
        <v>129</v>
      </c>
      <c r="N263" s="276" t="s">
        <v>144</v>
      </c>
      <c r="O263" s="260">
        <v>0</v>
      </c>
      <c r="P263" s="260">
        <f t="shared" si="21"/>
        <v>0</v>
      </c>
      <c r="Q263" s="260">
        <v>2.3E-2</v>
      </c>
      <c r="R263" s="260">
        <f t="shared" si="22"/>
        <v>4.5999999999999999E-2</v>
      </c>
      <c r="S263" s="260">
        <v>0</v>
      </c>
      <c r="T263" s="261">
        <f t="shared" si="23"/>
        <v>0</v>
      </c>
      <c r="AR263" s="262" t="s">
        <v>199</v>
      </c>
      <c r="AT263" s="262" t="s">
        <v>196</v>
      </c>
      <c r="AU263" s="262" t="s">
        <v>123</v>
      </c>
      <c r="AY263" s="183" t="s">
        <v>183</v>
      </c>
      <c r="BE263" s="263">
        <f t="shared" si="24"/>
        <v>0</v>
      </c>
      <c r="BF263" s="263">
        <f t="shared" si="25"/>
        <v>0</v>
      </c>
      <c r="BG263" s="263">
        <f t="shared" si="26"/>
        <v>0</v>
      </c>
      <c r="BH263" s="263">
        <f t="shared" si="27"/>
        <v>0</v>
      </c>
      <c r="BI263" s="263">
        <f t="shared" si="28"/>
        <v>0</v>
      </c>
      <c r="BJ263" s="183" t="s">
        <v>186</v>
      </c>
      <c r="BK263" s="263">
        <f t="shared" si="29"/>
        <v>0</v>
      </c>
      <c r="BL263" s="183" t="s">
        <v>192</v>
      </c>
      <c r="BM263" s="262" t="s">
        <v>680</v>
      </c>
    </row>
    <row r="264" spans="2:65" s="190" customFormat="1" ht="90" customHeight="1" x14ac:dyDescent="0.2">
      <c r="B264" s="191"/>
      <c r="C264" s="268" t="s">
        <v>681</v>
      </c>
      <c r="D264" s="268" t="s">
        <v>196</v>
      </c>
      <c r="E264" s="269" t="s">
        <v>682</v>
      </c>
      <c r="F264" s="270" t="s">
        <v>683</v>
      </c>
      <c r="G264" s="271" t="s">
        <v>241</v>
      </c>
      <c r="H264" s="272">
        <v>4</v>
      </c>
      <c r="I264" s="273"/>
      <c r="J264" s="273">
        <f t="shared" si="20"/>
        <v>0</v>
      </c>
      <c r="K264" s="270" t="s">
        <v>129</v>
      </c>
      <c r="L264" s="274"/>
      <c r="M264" s="275" t="s">
        <v>129</v>
      </c>
      <c r="N264" s="276" t="s">
        <v>144</v>
      </c>
      <c r="O264" s="260">
        <v>0</v>
      </c>
      <c r="P264" s="260">
        <f t="shared" si="21"/>
        <v>0</v>
      </c>
      <c r="Q264" s="260">
        <v>2.3E-2</v>
      </c>
      <c r="R264" s="260">
        <f t="shared" si="22"/>
        <v>9.1999999999999998E-2</v>
      </c>
      <c r="S264" s="260">
        <v>0</v>
      </c>
      <c r="T264" s="261">
        <f t="shared" si="23"/>
        <v>0</v>
      </c>
      <c r="AR264" s="262" t="s">
        <v>199</v>
      </c>
      <c r="AT264" s="262" t="s">
        <v>196</v>
      </c>
      <c r="AU264" s="262" t="s">
        <v>123</v>
      </c>
      <c r="AY264" s="183" t="s">
        <v>183</v>
      </c>
      <c r="BE264" s="263">
        <f t="shared" si="24"/>
        <v>0</v>
      </c>
      <c r="BF264" s="263">
        <f t="shared" si="25"/>
        <v>0</v>
      </c>
      <c r="BG264" s="263">
        <f t="shared" si="26"/>
        <v>0</v>
      </c>
      <c r="BH264" s="263">
        <f t="shared" si="27"/>
        <v>0</v>
      </c>
      <c r="BI264" s="263">
        <f t="shared" si="28"/>
        <v>0</v>
      </c>
      <c r="BJ264" s="183" t="s">
        <v>186</v>
      </c>
      <c r="BK264" s="263">
        <f t="shared" si="29"/>
        <v>0</v>
      </c>
      <c r="BL264" s="183" t="s">
        <v>192</v>
      </c>
      <c r="BM264" s="262" t="s">
        <v>684</v>
      </c>
    </row>
    <row r="265" spans="2:65" s="190" customFormat="1" ht="90" customHeight="1" x14ac:dyDescent="0.2">
      <c r="B265" s="191"/>
      <c r="C265" s="268" t="s">
        <v>685</v>
      </c>
      <c r="D265" s="268" t="s">
        <v>196</v>
      </c>
      <c r="E265" s="269" t="s">
        <v>686</v>
      </c>
      <c r="F265" s="270" t="s">
        <v>687</v>
      </c>
      <c r="G265" s="271" t="s">
        <v>241</v>
      </c>
      <c r="H265" s="272">
        <v>3</v>
      </c>
      <c r="I265" s="273"/>
      <c r="J265" s="273">
        <f t="shared" si="20"/>
        <v>0</v>
      </c>
      <c r="K265" s="270" t="s">
        <v>129</v>
      </c>
      <c r="L265" s="274"/>
      <c r="M265" s="275" t="s">
        <v>129</v>
      </c>
      <c r="N265" s="276" t="s">
        <v>144</v>
      </c>
      <c r="O265" s="260">
        <v>0</v>
      </c>
      <c r="P265" s="260">
        <f t="shared" si="21"/>
        <v>0</v>
      </c>
      <c r="Q265" s="260">
        <v>2.3E-2</v>
      </c>
      <c r="R265" s="260">
        <f t="shared" si="22"/>
        <v>6.9000000000000006E-2</v>
      </c>
      <c r="S265" s="260">
        <v>0</v>
      </c>
      <c r="T265" s="261">
        <f t="shared" si="23"/>
        <v>0</v>
      </c>
      <c r="AR265" s="262" t="s">
        <v>199</v>
      </c>
      <c r="AT265" s="262" t="s">
        <v>196</v>
      </c>
      <c r="AU265" s="262" t="s">
        <v>123</v>
      </c>
      <c r="AY265" s="183" t="s">
        <v>183</v>
      </c>
      <c r="BE265" s="263">
        <f t="shared" si="24"/>
        <v>0</v>
      </c>
      <c r="BF265" s="263">
        <f t="shared" si="25"/>
        <v>0</v>
      </c>
      <c r="BG265" s="263">
        <f t="shared" si="26"/>
        <v>0</v>
      </c>
      <c r="BH265" s="263">
        <f t="shared" si="27"/>
        <v>0</v>
      </c>
      <c r="BI265" s="263">
        <f t="shared" si="28"/>
        <v>0</v>
      </c>
      <c r="BJ265" s="183" t="s">
        <v>186</v>
      </c>
      <c r="BK265" s="263">
        <f t="shared" si="29"/>
        <v>0</v>
      </c>
      <c r="BL265" s="183" t="s">
        <v>192</v>
      </c>
      <c r="BM265" s="262" t="s">
        <v>688</v>
      </c>
    </row>
    <row r="266" spans="2:65" s="190" customFormat="1" ht="33" customHeight="1" x14ac:dyDescent="0.2">
      <c r="B266" s="191"/>
      <c r="C266" s="252" t="s">
        <v>689</v>
      </c>
      <c r="D266" s="252" t="s">
        <v>187</v>
      </c>
      <c r="E266" s="253" t="s">
        <v>690</v>
      </c>
      <c r="F266" s="254" t="s">
        <v>691</v>
      </c>
      <c r="G266" s="255" t="s">
        <v>266</v>
      </c>
      <c r="H266" s="256">
        <v>1</v>
      </c>
      <c r="I266" s="257"/>
      <c r="J266" s="257">
        <f t="shared" si="20"/>
        <v>0</v>
      </c>
      <c r="K266" s="254" t="s">
        <v>191</v>
      </c>
      <c r="L266" s="191"/>
      <c r="M266" s="258" t="s">
        <v>129</v>
      </c>
      <c r="N266" s="259" t="s">
        <v>144</v>
      </c>
      <c r="O266" s="260">
        <v>0.82399999999999995</v>
      </c>
      <c r="P266" s="260">
        <f t="shared" si="21"/>
        <v>0.82399999999999995</v>
      </c>
      <c r="Q266" s="260">
        <v>0</v>
      </c>
      <c r="R266" s="260">
        <f t="shared" si="22"/>
        <v>0</v>
      </c>
      <c r="S266" s="260">
        <v>0</v>
      </c>
      <c r="T266" s="261">
        <f t="shared" si="23"/>
        <v>0</v>
      </c>
      <c r="AR266" s="262" t="s">
        <v>192</v>
      </c>
      <c r="AT266" s="262" t="s">
        <v>187</v>
      </c>
      <c r="AU266" s="262" t="s">
        <v>123</v>
      </c>
      <c r="AY266" s="183" t="s">
        <v>183</v>
      </c>
      <c r="BE266" s="263">
        <f t="shared" si="24"/>
        <v>0</v>
      </c>
      <c r="BF266" s="263">
        <f t="shared" si="25"/>
        <v>0</v>
      </c>
      <c r="BG266" s="263">
        <f t="shared" si="26"/>
        <v>0</v>
      </c>
      <c r="BH266" s="263">
        <f t="shared" si="27"/>
        <v>0</v>
      </c>
      <c r="BI266" s="263">
        <f t="shared" si="28"/>
        <v>0</v>
      </c>
      <c r="BJ266" s="183" t="s">
        <v>186</v>
      </c>
      <c r="BK266" s="263">
        <f t="shared" si="29"/>
        <v>0</v>
      </c>
      <c r="BL266" s="183" t="s">
        <v>192</v>
      </c>
      <c r="BM266" s="262" t="s">
        <v>692</v>
      </c>
    </row>
    <row r="267" spans="2:65" s="190" customFormat="1" x14ac:dyDescent="0.2">
      <c r="B267" s="191"/>
      <c r="D267" s="264" t="s">
        <v>194</v>
      </c>
      <c r="F267" s="265" t="s">
        <v>693</v>
      </c>
      <c r="L267" s="191"/>
      <c r="M267" s="266"/>
      <c r="T267" s="267"/>
      <c r="AT267" s="183" t="s">
        <v>194</v>
      </c>
      <c r="AU267" s="183" t="s">
        <v>123</v>
      </c>
    </row>
    <row r="268" spans="2:65" s="190" customFormat="1" ht="128.65" customHeight="1" x14ac:dyDescent="0.2">
      <c r="B268" s="191"/>
      <c r="C268" s="268" t="s">
        <v>694</v>
      </c>
      <c r="D268" s="268" t="s">
        <v>196</v>
      </c>
      <c r="E268" s="269" t="s">
        <v>695</v>
      </c>
      <c r="F268" s="270" t="s">
        <v>696</v>
      </c>
      <c r="G268" s="271" t="s">
        <v>266</v>
      </c>
      <c r="H268" s="272">
        <v>1</v>
      </c>
      <c r="I268" s="273"/>
      <c r="J268" s="273">
        <f>ROUND(I268*H268,2)</f>
        <v>0</v>
      </c>
      <c r="K268" s="270" t="s">
        <v>129</v>
      </c>
      <c r="L268" s="274"/>
      <c r="M268" s="275" t="s">
        <v>129</v>
      </c>
      <c r="N268" s="276" t="s">
        <v>144</v>
      </c>
      <c r="O268" s="260">
        <v>0</v>
      </c>
      <c r="P268" s="260">
        <f>O268*H268</f>
        <v>0</v>
      </c>
      <c r="Q268" s="260">
        <v>0</v>
      </c>
      <c r="R268" s="260">
        <f>Q268*H268</f>
        <v>0</v>
      </c>
      <c r="S268" s="260">
        <v>0</v>
      </c>
      <c r="T268" s="261">
        <f>S268*H268</f>
        <v>0</v>
      </c>
      <c r="AR268" s="262" t="s">
        <v>199</v>
      </c>
      <c r="AT268" s="262" t="s">
        <v>196</v>
      </c>
      <c r="AU268" s="262" t="s">
        <v>123</v>
      </c>
      <c r="AY268" s="183" t="s">
        <v>183</v>
      </c>
      <c r="BE268" s="263">
        <f>IF(N268="základní",J268,0)</f>
        <v>0</v>
      </c>
      <c r="BF268" s="263">
        <f>IF(N268="snížená",J268,0)</f>
        <v>0</v>
      </c>
      <c r="BG268" s="263">
        <f>IF(N268="zákl. přenesená",J268,0)</f>
        <v>0</v>
      </c>
      <c r="BH268" s="263">
        <f>IF(N268="sníž. přenesená",J268,0)</f>
        <v>0</v>
      </c>
      <c r="BI268" s="263">
        <f>IF(N268="nulová",J268,0)</f>
        <v>0</v>
      </c>
      <c r="BJ268" s="183" t="s">
        <v>186</v>
      </c>
      <c r="BK268" s="263">
        <f>ROUND(I268*H268,2)</f>
        <v>0</v>
      </c>
      <c r="BL268" s="183" t="s">
        <v>192</v>
      </c>
      <c r="BM268" s="262" t="s">
        <v>697</v>
      </c>
    </row>
    <row r="269" spans="2:65" s="190" customFormat="1" ht="24.2" customHeight="1" x14ac:dyDescent="0.2">
      <c r="B269" s="191"/>
      <c r="C269" s="252" t="s">
        <v>698</v>
      </c>
      <c r="D269" s="252" t="s">
        <v>187</v>
      </c>
      <c r="E269" s="253" t="s">
        <v>699</v>
      </c>
      <c r="F269" s="254" t="s">
        <v>700</v>
      </c>
      <c r="G269" s="255" t="s">
        <v>266</v>
      </c>
      <c r="H269" s="256">
        <v>17</v>
      </c>
      <c r="I269" s="257"/>
      <c r="J269" s="257">
        <f>ROUND(I269*H269,2)</f>
        <v>0</v>
      </c>
      <c r="K269" s="254" t="s">
        <v>191</v>
      </c>
      <c r="L269" s="191"/>
      <c r="M269" s="258" t="s">
        <v>129</v>
      </c>
      <c r="N269" s="259" t="s">
        <v>144</v>
      </c>
      <c r="O269" s="260">
        <v>0.96499999999999997</v>
      </c>
      <c r="P269" s="260">
        <f>O269*H269</f>
        <v>16.405000000000001</v>
      </c>
      <c r="Q269" s="260">
        <v>6.7000000000000002E-4</v>
      </c>
      <c r="R269" s="260">
        <f>Q269*H269</f>
        <v>1.1390000000000001E-2</v>
      </c>
      <c r="S269" s="260">
        <v>0</v>
      </c>
      <c r="T269" s="261">
        <f>S269*H269</f>
        <v>0</v>
      </c>
      <c r="AR269" s="262" t="s">
        <v>192</v>
      </c>
      <c r="AT269" s="262" t="s">
        <v>187</v>
      </c>
      <c r="AU269" s="262" t="s">
        <v>123</v>
      </c>
      <c r="AY269" s="183" t="s">
        <v>183</v>
      </c>
      <c r="BE269" s="263">
        <f>IF(N269="základní",J269,0)</f>
        <v>0</v>
      </c>
      <c r="BF269" s="263">
        <f>IF(N269="snížená",J269,0)</f>
        <v>0</v>
      </c>
      <c r="BG269" s="263">
        <f>IF(N269="zákl. přenesená",J269,0)</f>
        <v>0</v>
      </c>
      <c r="BH269" s="263">
        <f>IF(N269="sníž. přenesená",J269,0)</f>
        <v>0</v>
      </c>
      <c r="BI269" s="263">
        <f>IF(N269="nulová",J269,0)</f>
        <v>0</v>
      </c>
      <c r="BJ269" s="183" t="s">
        <v>186</v>
      </c>
      <c r="BK269" s="263">
        <f>ROUND(I269*H269,2)</f>
        <v>0</v>
      </c>
      <c r="BL269" s="183" t="s">
        <v>192</v>
      </c>
      <c r="BM269" s="262" t="s">
        <v>701</v>
      </c>
    </row>
    <row r="270" spans="2:65" s="190" customFormat="1" x14ac:dyDescent="0.2">
      <c r="B270" s="191"/>
      <c r="D270" s="264" t="s">
        <v>194</v>
      </c>
      <c r="F270" s="265" t="s">
        <v>702</v>
      </c>
      <c r="L270" s="191"/>
      <c r="M270" s="266"/>
      <c r="T270" s="267"/>
      <c r="AT270" s="183" t="s">
        <v>194</v>
      </c>
      <c r="AU270" s="183" t="s">
        <v>123</v>
      </c>
    </row>
    <row r="271" spans="2:65" s="190" customFormat="1" ht="24.2" customHeight="1" x14ac:dyDescent="0.2">
      <c r="B271" s="191"/>
      <c r="C271" s="252" t="s">
        <v>703</v>
      </c>
      <c r="D271" s="252" t="s">
        <v>187</v>
      </c>
      <c r="E271" s="253" t="s">
        <v>704</v>
      </c>
      <c r="F271" s="254" t="s">
        <v>705</v>
      </c>
      <c r="G271" s="255" t="s">
        <v>266</v>
      </c>
      <c r="H271" s="256">
        <v>7</v>
      </c>
      <c r="I271" s="257"/>
      <c r="J271" s="257">
        <f>ROUND(I271*H271,2)</f>
        <v>0</v>
      </c>
      <c r="K271" s="254" t="s">
        <v>191</v>
      </c>
      <c r="L271" s="191"/>
      <c r="M271" s="258" t="s">
        <v>129</v>
      </c>
      <c r="N271" s="259" t="s">
        <v>144</v>
      </c>
      <c r="O271" s="260">
        <v>1.123</v>
      </c>
      <c r="P271" s="260">
        <f>O271*H271</f>
        <v>7.8609999999999998</v>
      </c>
      <c r="Q271" s="260">
        <v>6.7000000000000002E-4</v>
      </c>
      <c r="R271" s="260">
        <f>Q271*H271</f>
        <v>4.6899999999999997E-3</v>
      </c>
      <c r="S271" s="260">
        <v>0</v>
      </c>
      <c r="T271" s="261">
        <f>S271*H271</f>
        <v>0</v>
      </c>
      <c r="AR271" s="262" t="s">
        <v>192</v>
      </c>
      <c r="AT271" s="262" t="s">
        <v>187</v>
      </c>
      <c r="AU271" s="262" t="s">
        <v>123</v>
      </c>
      <c r="AY271" s="183" t="s">
        <v>183</v>
      </c>
      <c r="BE271" s="263">
        <f>IF(N271="základní",J271,0)</f>
        <v>0</v>
      </c>
      <c r="BF271" s="263">
        <f>IF(N271="snížená",J271,0)</f>
        <v>0</v>
      </c>
      <c r="BG271" s="263">
        <f>IF(N271="zákl. přenesená",J271,0)</f>
        <v>0</v>
      </c>
      <c r="BH271" s="263">
        <f>IF(N271="sníž. přenesená",J271,0)</f>
        <v>0</v>
      </c>
      <c r="BI271" s="263">
        <f>IF(N271="nulová",J271,0)</f>
        <v>0</v>
      </c>
      <c r="BJ271" s="183" t="s">
        <v>186</v>
      </c>
      <c r="BK271" s="263">
        <f>ROUND(I271*H271,2)</f>
        <v>0</v>
      </c>
      <c r="BL271" s="183" t="s">
        <v>192</v>
      </c>
      <c r="BM271" s="262" t="s">
        <v>706</v>
      </c>
    </row>
    <row r="272" spans="2:65" s="190" customFormat="1" x14ac:dyDescent="0.2">
      <c r="B272" s="191"/>
      <c r="D272" s="264" t="s">
        <v>194</v>
      </c>
      <c r="F272" s="265" t="s">
        <v>707</v>
      </c>
      <c r="L272" s="191"/>
      <c r="M272" s="266"/>
      <c r="T272" s="267"/>
      <c r="AT272" s="183" t="s">
        <v>194</v>
      </c>
      <c r="AU272" s="183" t="s">
        <v>123</v>
      </c>
    </row>
    <row r="273" spans="2:65" s="190" customFormat="1" ht="78" customHeight="1" x14ac:dyDescent="0.2">
      <c r="B273" s="191"/>
      <c r="C273" s="268" t="s">
        <v>708</v>
      </c>
      <c r="D273" s="268" t="s">
        <v>196</v>
      </c>
      <c r="E273" s="269" t="s">
        <v>709</v>
      </c>
      <c r="F273" s="270" t="s">
        <v>710</v>
      </c>
      <c r="G273" s="271" t="s">
        <v>241</v>
      </c>
      <c r="H273" s="272">
        <v>1</v>
      </c>
      <c r="I273" s="273"/>
      <c r="J273" s="273">
        <f t="shared" ref="J273:J283" si="30">ROUND(I273*H273,2)</f>
        <v>0</v>
      </c>
      <c r="K273" s="270" t="s">
        <v>129</v>
      </c>
      <c r="L273" s="274"/>
      <c r="M273" s="275" t="s">
        <v>129</v>
      </c>
      <c r="N273" s="276" t="s">
        <v>144</v>
      </c>
      <c r="O273" s="260">
        <v>0</v>
      </c>
      <c r="P273" s="260">
        <f t="shared" ref="P273:P283" si="31">O273*H273</f>
        <v>0</v>
      </c>
      <c r="Q273" s="260">
        <v>2.477E-2</v>
      </c>
      <c r="R273" s="260">
        <f t="shared" ref="R273:R283" si="32">Q273*H273</f>
        <v>2.477E-2</v>
      </c>
      <c r="S273" s="260">
        <v>0</v>
      </c>
      <c r="T273" s="261">
        <f t="shared" ref="T273:T283" si="33">S273*H273</f>
        <v>0</v>
      </c>
      <c r="AR273" s="262" t="s">
        <v>199</v>
      </c>
      <c r="AT273" s="262" t="s">
        <v>196</v>
      </c>
      <c r="AU273" s="262" t="s">
        <v>123</v>
      </c>
      <c r="AY273" s="183" t="s">
        <v>183</v>
      </c>
      <c r="BE273" s="263">
        <f t="shared" ref="BE273:BE283" si="34">IF(N273="základní",J273,0)</f>
        <v>0</v>
      </c>
      <c r="BF273" s="263">
        <f t="shared" ref="BF273:BF283" si="35">IF(N273="snížená",J273,0)</f>
        <v>0</v>
      </c>
      <c r="BG273" s="263">
        <f t="shared" ref="BG273:BG283" si="36">IF(N273="zákl. přenesená",J273,0)</f>
        <v>0</v>
      </c>
      <c r="BH273" s="263">
        <f t="shared" ref="BH273:BH283" si="37">IF(N273="sníž. přenesená",J273,0)</f>
        <v>0</v>
      </c>
      <c r="BI273" s="263">
        <f t="shared" ref="BI273:BI283" si="38">IF(N273="nulová",J273,0)</f>
        <v>0</v>
      </c>
      <c r="BJ273" s="183" t="s">
        <v>186</v>
      </c>
      <c r="BK273" s="263">
        <f t="shared" ref="BK273:BK283" si="39">ROUND(I273*H273,2)</f>
        <v>0</v>
      </c>
      <c r="BL273" s="183" t="s">
        <v>192</v>
      </c>
      <c r="BM273" s="262" t="s">
        <v>711</v>
      </c>
    </row>
    <row r="274" spans="2:65" s="190" customFormat="1" ht="78" customHeight="1" x14ac:dyDescent="0.2">
      <c r="B274" s="191"/>
      <c r="C274" s="268" t="s">
        <v>712</v>
      </c>
      <c r="D274" s="268" t="s">
        <v>196</v>
      </c>
      <c r="E274" s="269" t="s">
        <v>713</v>
      </c>
      <c r="F274" s="270" t="s">
        <v>714</v>
      </c>
      <c r="G274" s="271" t="s">
        <v>241</v>
      </c>
      <c r="H274" s="272">
        <v>7</v>
      </c>
      <c r="I274" s="273"/>
      <c r="J274" s="273">
        <f t="shared" si="30"/>
        <v>0</v>
      </c>
      <c r="K274" s="270" t="s">
        <v>129</v>
      </c>
      <c r="L274" s="274"/>
      <c r="M274" s="275" t="s">
        <v>129</v>
      </c>
      <c r="N274" s="276" t="s">
        <v>144</v>
      </c>
      <c r="O274" s="260">
        <v>0</v>
      </c>
      <c r="P274" s="260">
        <f t="shared" si="31"/>
        <v>0</v>
      </c>
      <c r="Q274" s="260">
        <v>2.477E-2</v>
      </c>
      <c r="R274" s="260">
        <f t="shared" si="32"/>
        <v>0.17338999999999999</v>
      </c>
      <c r="S274" s="260">
        <v>0</v>
      </c>
      <c r="T274" s="261">
        <f t="shared" si="33"/>
        <v>0</v>
      </c>
      <c r="AR274" s="262" t="s">
        <v>199</v>
      </c>
      <c r="AT274" s="262" t="s">
        <v>196</v>
      </c>
      <c r="AU274" s="262" t="s">
        <v>123</v>
      </c>
      <c r="AY274" s="183" t="s">
        <v>183</v>
      </c>
      <c r="BE274" s="263">
        <f t="shared" si="34"/>
        <v>0</v>
      </c>
      <c r="BF274" s="263">
        <f t="shared" si="35"/>
        <v>0</v>
      </c>
      <c r="BG274" s="263">
        <f t="shared" si="36"/>
        <v>0</v>
      </c>
      <c r="BH274" s="263">
        <f t="shared" si="37"/>
        <v>0</v>
      </c>
      <c r="BI274" s="263">
        <f t="shared" si="38"/>
        <v>0</v>
      </c>
      <c r="BJ274" s="183" t="s">
        <v>186</v>
      </c>
      <c r="BK274" s="263">
        <f t="shared" si="39"/>
        <v>0</v>
      </c>
      <c r="BL274" s="183" t="s">
        <v>192</v>
      </c>
      <c r="BM274" s="262" t="s">
        <v>715</v>
      </c>
    </row>
    <row r="275" spans="2:65" s="190" customFormat="1" ht="66.75" customHeight="1" x14ac:dyDescent="0.2">
      <c r="B275" s="191"/>
      <c r="C275" s="268" t="s">
        <v>716</v>
      </c>
      <c r="D275" s="268" t="s">
        <v>196</v>
      </c>
      <c r="E275" s="269" t="s">
        <v>717</v>
      </c>
      <c r="F275" s="270" t="s">
        <v>718</v>
      </c>
      <c r="G275" s="271" t="s">
        <v>241</v>
      </c>
      <c r="H275" s="272">
        <v>3</v>
      </c>
      <c r="I275" s="273"/>
      <c r="J275" s="273">
        <f t="shared" si="30"/>
        <v>0</v>
      </c>
      <c r="K275" s="270" t="s">
        <v>129</v>
      </c>
      <c r="L275" s="274"/>
      <c r="M275" s="275" t="s">
        <v>129</v>
      </c>
      <c r="N275" s="276" t="s">
        <v>144</v>
      </c>
      <c r="O275" s="260">
        <v>0</v>
      </c>
      <c r="P275" s="260">
        <f t="shared" si="31"/>
        <v>0</v>
      </c>
      <c r="Q275" s="260">
        <v>2.477E-2</v>
      </c>
      <c r="R275" s="260">
        <f t="shared" si="32"/>
        <v>7.4310000000000001E-2</v>
      </c>
      <c r="S275" s="260">
        <v>0</v>
      </c>
      <c r="T275" s="261">
        <f t="shared" si="33"/>
        <v>0</v>
      </c>
      <c r="AR275" s="262" t="s">
        <v>199</v>
      </c>
      <c r="AT275" s="262" t="s">
        <v>196</v>
      </c>
      <c r="AU275" s="262" t="s">
        <v>123</v>
      </c>
      <c r="AY275" s="183" t="s">
        <v>183</v>
      </c>
      <c r="BE275" s="263">
        <f t="shared" si="34"/>
        <v>0</v>
      </c>
      <c r="BF275" s="263">
        <f t="shared" si="35"/>
        <v>0</v>
      </c>
      <c r="BG275" s="263">
        <f t="shared" si="36"/>
        <v>0</v>
      </c>
      <c r="BH275" s="263">
        <f t="shared" si="37"/>
        <v>0</v>
      </c>
      <c r="BI275" s="263">
        <f t="shared" si="38"/>
        <v>0</v>
      </c>
      <c r="BJ275" s="183" t="s">
        <v>186</v>
      </c>
      <c r="BK275" s="263">
        <f t="shared" si="39"/>
        <v>0</v>
      </c>
      <c r="BL275" s="183" t="s">
        <v>192</v>
      </c>
      <c r="BM275" s="262" t="s">
        <v>719</v>
      </c>
    </row>
    <row r="276" spans="2:65" s="190" customFormat="1" ht="78" customHeight="1" x14ac:dyDescent="0.2">
      <c r="B276" s="191"/>
      <c r="C276" s="268" t="s">
        <v>720</v>
      </c>
      <c r="D276" s="268" t="s">
        <v>196</v>
      </c>
      <c r="E276" s="269" t="s">
        <v>721</v>
      </c>
      <c r="F276" s="270" t="s">
        <v>722</v>
      </c>
      <c r="G276" s="271" t="s">
        <v>241</v>
      </c>
      <c r="H276" s="272">
        <v>3</v>
      </c>
      <c r="I276" s="273"/>
      <c r="J276" s="273">
        <f t="shared" si="30"/>
        <v>0</v>
      </c>
      <c r="K276" s="270" t="s">
        <v>129</v>
      </c>
      <c r="L276" s="274"/>
      <c r="M276" s="275" t="s">
        <v>129</v>
      </c>
      <c r="N276" s="276" t="s">
        <v>144</v>
      </c>
      <c r="O276" s="260">
        <v>0</v>
      </c>
      <c r="P276" s="260">
        <f t="shared" si="31"/>
        <v>0</v>
      </c>
      <c r="Q276" s="260">
        <v>2.477E-2</v>
      </c>
      <c r="R276" s="260">
        <f t="shared" si="32"/>
        <v>7.4310000000000001E-2</v>
      </c>
      <c r="S276" s="260">
        <v>0</v>
      </c>
      <c r="T276" s="261">
        <f t="shared" si="33"/>
        <v>0</v>
      </c>
      <c r="AR276" s="262" t="s">
        <v>199</v>
      </c>
      <c r="AT276" s="262" t="s">
        <v>196</v>
      </c>
      <c r="AU276" s="262" t="s">
        <v>123</v>
      </c>
      <c r="AY276" s="183" t="s">
        <v>183</v>
      </c>
      <c r="BE276" s="263">
        <f t="shared" si="34"/>
        <v>0</v>
      </c>
      <c r="BF276" s="263">
        <f t="shared" si="35"/>
        <v>0</v>
      </c>
      <c r="BG276" s="263">
        <f t="shared" si="36"/>
        <v>0</v>
      </c>
      <c r="BH276" s="263">
        <f t="shared" si="37"/>
        <v>0</v>
      </c>
      <c r="BI276" s="263">
        <f t="shared" si="38"/>
        <v>0</v>
      </c>
      <c r="BJ276" s="183" t="s">
        <v>186</v>
      </c>
      <c r="BK276" s="263">
        <f t="shared" si="39"/>
        <v>0</v>
      </c>
      <c r="BL276" s="183" t="s">
        <v>192</v>
      </c>
      <c r="BM276" s="262" t="s">
        <v>723</v>
      </c>
    </row>
    <row r="277" spans="2:65" s="190" customFormat="1" ht="78" customHeight="1" x14ac:dyDescent="0.2">
      <c r="B277" s="191"/>
      <c r="C277" s="268" t="s">
        <v>724</v>
      </c>
      <c r="D277" s="268" t="s">
        <v>196</v>
      </c>
      <c r="E277" s="269" t="s">
        <v>725</v>
      </c>
      <c r="F277" s="270" t="s">
        <v>726</v>
      </c>
      <c r="G277" s="271" t="s">
        <v>241</v>
      </c>
      <c r="H277" s="272">
        <v>3</v>
      </c>
      <c r="I277" s="273"/>
      <c r="J277" s="273">
        <f t="shared" si="30"/>
        <v>0</v>
      </c>
      <c r="K277" s="270" t="s">
        <v>129</v>
      </c>
      <c r="L277" s="274"/>
      <c r="M277" s="275" t="s">
        <v>129</v>
      </c>
      <c r="N277" s="276" t="s">
        <v>144</v>
      </c>
      <c r="O277" s="260">
        <v>0</v>
      </c>
      <c r="P277" s="260">
        <f t="shared" si="31"/>
        <v>0</v>
      </c>
      <c r="Q277" s="260">
        <v>2.477E-2</v>
      </c>
      <c r="R277" s="260">
        <f t="shared" si="32"/>
        <v>7.4310000000000001E-2</v>
      </c>
      <c r="S277" s="260">
        <v>0</v>
      </c>
      <c r="T277" s="261">
        <f t="shared" si="33"/>
        <v>0</v>
      </c>
      <c r="AR277" s="262" t="s">
        <v>199</v>
      </c>
      <c r="AT277" s="262" t="s">
        <v>196</v>
      </c>
      <c r="AU277" s="262" t="s">
        <v>123</v>
      </c>
      <c r="AY277" s="183" t="s">
        <v>183</v>
      </c>
      <c r="BE277" s="263">
        <f t="shared" si="34"/>
        <v>0</v>
      </c>
      <c r="BF277" s="263">
        <f t="shared" si="35"/>
        <v>0</v>
      </c>
      <c r="BG277" s="263">
        <f t="shared" si="36"/>
        <v>0</v>
      </c>
      <c r="BH277" s="263">
        <f t="shared" si="37"/>
        <v>0</v>
      </c>
      <c r="BI277" s="263">
        <f t="shared" si="38"/>
        <v>0</v>
      </c>
      <c r="BJ277" s="183" t="s">
        <v>186</v>
      </c>
      <c r="BK277" s="263">
        <f t="shared" si="39"/>
        <v>0</v>
      </c>
      <c r="BL277" s="183" t="s">
        <v>192</v>
      </c>
      <c r="BM277" s="262" t="s">
        <v>727</v>
      </c>
    </row>
    <row r="278" spans="2:65" s="190" customFormat="1" ht="78" customHeight="1" x14ac:dyDescent="0.2">
      <c r="B278" s="191"/>
      <c r="C278" s="268" t="s">
        <v>728</v>
      </c>
      <c r="D278" s="268" t="s">
        <v>196</v>
      </c>
      <c r="E278" s="269" t="s">
        <v>729</v>
      </c>
      <c r="F278" s="270" t="s">
        <v>730</v>
      </c>
      <c r="G278" s="271" t="s">
        <v>241</v>
      </c>
      <c r="H278" s="272">
        <v>2</v>
      </c>
      <c r="I278" s="273"/>
      <c r="J278" s="273">
        <f t="shared" si="30"/>
        <v>0</v>
      </c>
      <c r="K278" s="270" t="s">
        <v>129</v>
      </c>
      <c r="L278" s="274"/>
      <c r="M278" s="275" t="s">
        <v>129</v>
      </c>
      <c r="N278" s="276" t="s">
        <v>144</v>
      </c>
      <c r="O278" s="260">
        <v>0</v>
      </c>
      <c r="P278" s="260">
        <f t="shared" si="31"/>
        <v>0</v>
      </c>
      <c r="Q278" s="260">
        <v>2.477E-2</v>
      </c>
      <c r="R278" s="260">
        <f t="shared" si="32"/>
        <v>4.9540000000000001E-2</v>
      </c>
      <c r="S278" s="260">
        <v>0</v>
      </c>
      <c r="T278" s="261">
        <f t="shared" si="33"/>
        <v>0</v>
      </c>
      <c r="AR278" s="262" t="s">
        <v>199</v>
      </c>
      <c r="AT278" s="262" t="s">
        <v>196</v>
      </c>
      <c r="AU278" s="262" t="s">
        <v>123</v>
      </c>
      <c r="AY278" s="183" t="s">
        <v>183</v>
      </c>
      <c r="BE278" s="263">
        <f t="shared" si="34"/>
        <v>0</v>
      </c>
      <c r="BF278" s="263">
        <f t="shared" si="35"/>
        <v>0</v>
      </c>
      <c r="BG278" s="263">
        <f t="shared" si="36"/>
        <v>0</v>
      </c>
      <c r="BH278" s="263">
        <f t="shared" si="37"/>
        <v>0</v>
      </c>
      <c r="BI278" s="263">
        <f t="shared" si="38"/>
        <v>0</v>
      </c>
      <c r="BJ278" s="183" t="s">
        <v>186</v>
      </c>
      <c r="BK278" s="263">
        <f t="shared" si="39"/>
        <v>0</v>
      </c>
      <c r="BL278" s="183" t="s">
        <v>192</v>
      </c>
      <c r="BM278" s="262" t="s">
        <v>731</v>
      </c>
    </row>
    <row r="279" spans="2:65" s="190" customFormat="1" ht="78" customHeight="1" x14ac:dyDescent="0.2">
      <c r="B279" s="191"/>
      <c r="C279" s="268" t="s">
        <v>732</v>
      </c>
      <c r="D279" s="268" t="s">
        <v>196</v>
      </c>
      <c r="E279" s="269" t="s">
        <v>733</v>
      </c>
      <c r="F279" s="270" t="s">
        <v>734</v>
      </c>
      <c r="G279" s="271" t="s">
        <v>241</v>
      </c>
      <c r="H279" s="272">
        <v>2</v>
      </c>
      <c r="I279" s="273"/>
      <c r="J279" s="273">
        <f t="shared" si="30"/>
        <v>0</v>
      </c>
      <c r="K279" s="270" t="s">
        <v>129</v>
      </c>
      <c r="L279" s="274"/>
      <c r="M279" s="275" t="s">
        <v>129</v>
      </c>
      <c r="N279" s="276" t="s">
        <v>144</v>
      </c>
      <c r="O279" s="260">
        <v>0</v>
      </c>
      <c r="P279" s="260">
        <f t="shared" si="31"/>
        <v>0</v>
      </c>
      <c r="Q279" s="260">
        <v>2.477E-2</v>
      </c>
      <c r="R279" s="260">
        <f t="shared" si="32"/>
        <v>4.9540000000000001E-2</v>
      </c>
      <c r="S279" s="260">
        <v>0</v>
      </c>
      <c r="T279" s="261">
        <f t="shared" si="33"/>
        <v>0</v>
      </c>
      <c r="AR279" s="262" t="s">
        <v>199</v>
      </c>
      <c r="AT279" s="262" t="s">
        <v>196</v>
      </c>
      <c r="AU279" s="262" t="s">
        <v>123</v>
      </c>
      <c r="AY279" s="183" t="s">
        <v>183</v>
      </c>
      <c r="BE279" s="263">
        <f t="shared" si="34"/>
        <v>0</v>
      </c>
      <c r="BF279" s="263">
        <f t="shared" si="35"/>
        <v>0</v>
      </c>
      <c r="BG279" s="263">
        <f t="shared" si="36"/>
        <v>0</v>
      </c>
      <c r="BH279" s="263">
        <f t="shared" si="37"/>
        <v>0</v>
      </c>
      <c r="BI279" s="263">
        <f t="shared" si="38"/>
        <v>0</v>
      </c>
      <c r="BJ279" s="183" t="s">
        <v>186</v>
      </c>
      <c r="BK279" s="263">
        <f t="shared" si="39"/>
        <v>0</v>
      </c>
      <c r="BL279" s="183" t="s">
        <v>192</v>
      </c>
      <c r="BM279" s="262" t="s">
        <v>735</v>
      </c>
    </row>
    <row r="280" spans="2:65" s="190" customFormat="1" ht="78" customHeight="1" x14ac:dyDescent="0.2">
      <c r="B280" s="191"/>
      <c r="C280" s="268" t="s">
        <v>736</v>
      </c>
      <c r="D280" s="268" t="s">
        <v>196</v>
      </c>
      <c r="E280" s="269" t="s">
        <v>737</v>
      </c>
      <c r="F280" s="270" t="s">
        <v>738</v>
      </c>
      <c r="G280" s="271" t="s">
        <v>241</v>
      </c>
      <c r="H280" s="272">
        <v>1</v>
      </c>
      <c r="I280" s="273"/>
      <c r="J280" s="273">
        <f t="shared" si="30"/>
        <v>0</v>
      </c>
      <c r="K280" s="270" t="s">
        <v>129</v>
      </c>
      <c r="L280" s="274"/>
      <c r="M280" s="275" t="s">
        <v>129</v>
      </c>
      <c r="N280" s="276" t="s">
        <v>144</v>
      </c>
      <c r="O280" s="260">
        <v>0</v>
      </c>
      <c r="P280" s="260">
        <f t="shared" si="31"/>
        <v>0</v>
      </c>
      <c r="Q280" s="260">
        <v>2.477E-2</v>
      </c>
      <c r="R280" s="260">
        <f t="shared" si="32"/>
        <v>2.477E-2</v>
      </c>
      <c r="S280" s="260">
        <v>0</v>
      </c>
      <c r="T280" s="261">
        <f t="shared" si="33"/>
        <v>0</v>
      </c>
      <c r="AR280" s="262" t="s">
        <v>199</v>
      </c>
      <c r="AT280" s="262" t="s">
        <v>196</v>
      </c>
      <c r="AU280" s="262" t="s">
        <v>123</v>
      </c>
      <c r="AY280" s="183" t="s">
        <v>183</v>
      </c>
      <c r="BE280" s="263">
        <f t="shared" si="34"/>
        <v>0</v>
      </c>
      <c r="BF280" s="263">
        <f t="shared" si="35"/>
        <v>0</v>
      </c>
      <c r="BG280" s="263">
        <f t="shared" si="36"/>
        <v>0</v>
      </c>
      <c r="BH280" s="263">
        <f t="shared" si="37"/>
        <v>0</v>
      </c>
      <c r="BI280" s="263">
        <f t="shared" si="38"/>
        <v>0</v>
      </c>
      <c r="BJ280" s="183" t="s">
        <v>186</v>
      </c>
      <c r="BK280" s="263">
        <f t="shared" si="39"/>
        <v>0</v>
      </c>
      <c r="BL280" s="183" t="s">
        <v>192</v>
      </c>
      <c r="BM280" s="262" t="s">
        <v>739</v>
      </c>
    </row>
    <row r="281" spans="2:65" s="190" customFormat="1" ht="78" customHeight="1" x14ac:dyDescent="0.2">
      <c r="B281" s="191"/>
      <c r="C281" s="268" t="s">
        <v>740</v>
      </c>
      <c r="D281" s="268" t="s">
        <v>196</v>
      </c>
      <c r="E281" s="269" t="s">
        <v>741</v>
      </c>
      <c r="F281" s="270" t="s">
        <v>742</v>
      </c>
      <c r="G281" s="271" t="s">
        <v>241</v>
      </c>
      <c r="H281" s="272">
        <v>1</v>
      </c>
      <c r="I281" s="273"/>
      <c r="J281" s="273">
        <f t="shared" si="30"/>
        <v>0</v>
      </c>
      <c r="K281" s="270" t="s">
        <v>129</v>
      </c>
      <c r="L281" s="274"/>
      <c r="M281" s="275" t="s">
        <v>129</v>
      </c>
      <c r="N281" s="276" t="s">
        <v>144</v>
      </c>
      <c r="O281" s="260">
        <v>0</v>
      </c>
      <c r="P281" s="260">
        <f t="shared" si="31"/>
        <v>0</v>
      </c>
      <c r="Q281" s="260">
        <v>2.477E-2</v>
      </c>
      <c r="R281" s="260">
        <f t="shared" si="32"/>
        <v>2.477E-2</v>
      </c>
      <c r="S281" s="260">
        <v>0</v>
      </c>
      <c r="T281" s="261">
        <f t="shared" si="33"/>
        <v>0</v>
      </c>
      <c r="AR281" s="262" t="s">
        <v>199</v>
      </c>
      <c r="AT281" s="262" t="s">
        <v>196</v>
      </c>
      <c r="AU281" s="262" t="s">
        <v>123</v>
      </c>
      <c r="AY281" s="183" t="s">
        <v>183</v>
      </c>
      <c r="BE281" s="263">
        <f t="shared" si="34"/>
        <v>0</v>
      </c>
      <c r="BF281" s="263">
        <f t="shared" si="35"/>
        <v>0</v>
      </c>
      <c r="BG281" s="263">
        <f t="shared" si="36"/>
        <v>0</v>
      </c>
      <c r="BH281" s="263">
        <f t="shared" si="37"/>
        <v>0</v>
      </c>
      <c r="BI281" s="263">
        <f t="shared" si="38"/>
        <v>0</v>
      </c>
      <c r="BJ281" s="183" t="s">
        <v>186</v>
      </c>
      <c r="BK281" s="263">
        <f t="shared" si="39"/>
        <v>0</v>
      </c>
      <c r="BL281" s="183" t="s">
        <v>192</v>
      </c>
      <c r="BM281" s="262" t="s">
        <v>743</v>
      </c>
    </row>
    <row r="282" spans="2:65" s="190" customFormat="1" ht="78" customHeight="1" x14ac:dyDescent="0.2">
      <c r="B282" s="191"/>
      <c r="C282" s="268" t="s">
        <v>744</v>
      </c>
      <c r="D282" s="268" t="s">
        <v>196</v>
      </c>
      <c r="E282" s="269" t="s">
        <v>745</v>
      </c>
      <c r="F282" s="270" t="s">
        <v>746</v>
      </c>
      <c r="G282" s="271" t="s">
        <v>241</v>
      </c>
      <c r="H282" s="272">
        <v>1</v>
      </c>
      <c r="I282" s="273"/>
      <c r="J282" s="273">
        <f t="shared" si="30"/>
        <v>0</v>
      </c>
      <c r="K282" s="270" t="s">
        <v>129</v>
      </c>
      <c r="L282" s="274"/>
      <c r="M282" s="275" t="s">
        <v>129</v>
      </c>
      <c r="N282" s="276" t="s">
        <v>144</v>
      </c>
      <c r="O282" s="260">
        <v>0</v>
      </c>
      <c r="P282" s="260">
        <f t="shared" si="31"/>
        <v>0</v>
      </c>
      <c r="Q282" s="260">
        <v>2.477E-2</v>
      </c>
      <c r="R282" s="260">
        <f t="shared" si="32"/>
        <v>2.477E-2</v>
      </c>
      <c r="S282" s="260">
        <v>0</v>
      </c>
      <c r="T282" s="261">
        <f t="shared" si="33"/>
        <v>0</v>
      </c>
      <c r="AR282" s="262" t="s">
        <v>199</v>
      </c>
      <c r="AT282" s="262" t="s">
        <v>196</v>
      </c>
      <c r="AU282" s="262" t="s">
        <v>123</v>
      </c>
      <c r="AY282" s="183" t="s">
        <v>183</v>
      </c>
      <c r="BE282" s="263">
        <f t="shared" si="34"/>
        <v>0</v>
      </c>
      <c r="BF282" s="263">
        <f t="shared" si="35"/>
        <v>0</v>
      </c>
      <c r="BG282" s="263">
        <f t="shared" si="36"/>
        <v>0</v>
      </c>
      <c r="BH282" s="263">
        <f t="shared" si="37"/>
        <v>0</v>
      </c>
      <c r="BI282" s="263">
        <f t="shared" si="38"/>
        <v>0</v>
      </c>
      <c r="BJ282" s="183" t="s">
        <v>186</v>
      </c>
      <c r="BK282" s="263">
        <f t="shared" si="39"/>
        <v>0</v>
      </c>
      <c r="BL282" s="183" t="s">
        <v>192</v>
      </c>
      <c r="BM282" s="262" t="s">
        <v>747</v>
      </c>
    </row>
    <row r="283" spans="2:65" s="190" customFormat="1" ht="37.9" customHeight="1" x14ac:dyDescent="0.2">
      <c r="B283" s="191"/>
      <c r="C283" s="252" t="s">
        <v>748</v>
      </c>
      <c r="D283" s="252" t="s">
        <v>187</v>
      </c>
      <c r="E283" s="253" t="s">
        <v>749</v>
      </c>
      <c r="F283" s="254" t="s">
        <v>750</v>
      </c>
      <c r="G283" s="255" t="s">
        <v>190</v>
      </c>
      <c r="H283" s="256">
        <v>1950</v>
      </c>
      <c r="I283" s="257"/>
      <c r="J283" s="257">
        <f t="shared" si="30"/>
        <v>0</v>
      </c>
      <c r="K283" s="254" t="s">
        <v>191</v>
      </c>
      <c r="L283" s="191"/>
      <c r="M283" s="258" t="s">
        <v>129</v>
      </c>
      <c r="N283" s="259" t="s">
        <v>144</v>
      </c>
      <c r="O283" s="260">
        <v>2.5999999999999999E-2</v>
      </c>
      <c r="P283" s="260">
        <f t="shared" si="31"/>
        <v>50.699999999999996</v>
      </c>
      <c r="Q283" s="260">
        <v>1.1E-4</v>
      </c>
      <c r="R283" s="260">
        <f t="shared" si="32"/>
        <v>0.2145</v>
      </c>
      <c r="S283" s="260">
        <v>0</v>
      </c>
      <c r="T283" s="261">
        <f t="shared" si="33"/>
        <v>0</v>
      </c>
      <c r="AR283" s="262" t="s">
        <v>192</v>
      </c>
      <c r="AT283" s="262" t="s">
        <v>187</v>
      </c>
      <c r="AU283" s="262" t="s">
        <v>123</v>
      </c>
      <c r="AY283" s="183" t="s">
        <v>183</v>
      </c>
      <c r="BE283" s="263">
        <f t="shared" si="34"/>
        <v>0</v>
      </c>
      <c r="BF283" s="263">
        <f t="shared" si="35"/>
        <v>0</v>
      </c>
      <c r="BG283" s="263">
        <f t="shared" si="36"/>
        <v>0</v>
      </c>
      <c r="BH283" s="263">
        <f t="shared" si="37"/>
        <v>0</v>
      </c>
      <c r="BI283" s="263">
        <f t="shared" si="38"/>
        <v>0</v>
      </c>
      <c r="BJ283" s="183" t="s">
        <v>186</v>
      </c>
      <c r="BK283" s="263">
        <f t="shared" si="39"/>
        <v>0</v>
      </c>
      <c r="BL283" s="183" t="s">
        <v>192</v>
      </c>
      <c r="BM283" s="262" t="s">
        <v>751</v>
      </c>
    </row>
    <row r="284" spans="2:65" s="190" customFormat="1" x14ac:dyDescent="0.2">
      <c r="B284" s="191"/>
      <c r="D284" s="264" t="s">
        <v>194</v>
      </c>
      <c r="F284" s="265" t="s">
        <v>752</v>
      </c>
      <c r="L284" s="191"/>
      <c r="M284" s="266"/>
      <c r="T284" s="267"/>
      <c r="AT284" s="183" t="s">
        <v>194</v>
      </c>
      <c r="AU284" s="183" t="s">
        <v>123</v>
      </c>
    </row>
    <row r="285" spans="2:65" s="190" customFormat="1" ht="37.9" customHeight="1" x14ac:dyDescent="0.2">
      <c r="B285" s="191"/>
      <c r="C285" s="252" t="s">
        <v>753</v>
      </c>
      <c r="D285" s="252" t="s">
        <v>187</v>
      </c>
      <c r="E285" s="253" t="s">
        <v>754</v>
      </c>
      <c r="F285" s="254" t="s">
        <v>755</v>
      </c>
      <c r="G285" s="255" t="s">
        <v>756</v>
      </c>
      <c r="H285" s="256">
        <v>330</v>
      </c>
      <c r="I285" s="257"/>
      <c r="J285" s="257">
        <f>ROUND(I285*H285,2)</f>
        <v>0</v>
      </c>
      <c r="K285" s="254" t="s">
        <v>129</v>
      </c>
      <c r="L285" s="191"/>
      <c r="M285" s="258" t="s">
        <v>129</v>
      </c>
      <c r="N285" s="259" t="s">
        <v>144</v>
      </c>
      <c r="O285" s="260">
        <v>0.11</v>
      </c>
      <c r="P285" s="260">
        <f>O285*H285</f>
        <v>36.299999999999997</v>
      </c>
      <c r="Q285" s="260">
        <v>1.2099999999999999E-3</v>
      </c>
      <c r="R285" s="260">
        <f>Q285*H285</f>
        <v>0.39929999999999999</v>
      </c>
      <c r="S285" s="260">
        <v>0</v>
      </c>
      <c r="T285" s="261">
        <f>S285*H285</f>
        <v>0</v>
      </c>
      <c r="AR285" s="262" t="s">
        <v>192</v>
      </c>
      <c r="AT285" s="262" t="s">
        <v>187</v>
      </c>
      <c r="AU285" s="262" t="s">
        <v>123</v>
      </c>
      <c r="AY285" s="183" t="s">
        <v>183</v>
      </c>
      <c r="BE285" s="263">
        <f>IF(N285="základní",J285,0)</f>
        <v>0</v>
      </c>
      <c r="BF285" s="263">
        <f>IF(N285="snížená",J285,0)</f>
        <v>0</v>
      </c>
      <c r="BG285" s="263">
        <f>IF(N285="zákl. přenesená",J285,0)</f>
        <v>0</v>
      </c>
      <c r="BH285" s="263">
        <f>IF(N285="sníž. přenesená",J285,0)</f>
        <v>0</v>
      </c>
      <c r="BI285" s="263">
        <f>IF(N285="nulová",J285,0)</f>
        <v>0</v>
      </c>
      <c r="BJ285" s="183" t="s">
        <v>186</v>
      </c>
      <c r="BK285" s="263">
        <f>ROUND(I285*H285,2)</f>
        <v>0</v>
      </c>
      <c r="BL285" s="183" t="s">
        <v>192</v>
      </c>
      <c r="BM285" s="262" t="s">
        <v>757</v>
      </c>
    </row>
    <row r="286" spans="2:65" s="190" customFormat="1" ht="24.2" customHeight="1" x14ac:dyDescent="0.2">
      <c r="B286" s="191"/>
      <c r="C286" s="252" t="s">
        <v>758</v>
      </c>
      <c r="D286" s="252" t="s">
        <v>187</v>
      </c>
      <c r="E286" s="253" t="s">
        <v>759</v>
      </c>
      <c r="F286" s="254" t="s">
        <v>760</v>
      </c>
      <c r="G286" s="255" t="s">
        <v>190</v>
      </c>
      <c r="H286" s="256">
        <v>400</v>
      </c>
      <c r="I286" s="257"/>
      <c r="J286" s="257">
        <f>ROUND(I286*H286,2)</f>
        <v>0</v>
      </c>
      <c r="K286" s="254" t="s">
        <v>191</v>
      </c>
      <c r="L286" s="191"/>
      <c r="M286" s="258" t="s">
        <v>129</v>
      </c>
      <c r="N286" s="259" t="s">
        <v>144</v>
      </c>
      <c r="O286" s="260">
        <v>3.2000000000000001E-2</v>
      </c>
      <c r="P286" s="260">
        <f>O286*H286</f>
        <v>12.8</v>
      </c>
      <c r="Q286" s="260">
        <v>6.0000000000000002E-5</v>
      </c>
      <c r="R286" s="260">
        <f>Q286*H286</f>
        <v>2.4E-2</v>
      </c>
      <c r="S286" s="260">
        <v>0</v>
      </c>
      <c r="T286" s="261">
        <f>S286*H286</f>
        <v>0</v>
      </c>
      <c r="AR286" s="262" t="s">
        <v>192</v>
      </c>
      <c r="AT286" s="262" t="s">
        <v>187</v>
      </c>
      <c r="AU286" s="262" t="s">
        <v>123</v>
      </c>
      <c r="AY286" s="183" t="s">
        <v>183</v>
      </c>
      <c r="BE286" s="263">
        <f>IF(N286="základní",J286,0)</f>
        <v>0</v>
      </c>
      <c r="BF286" s="263">
        <f>IF(N286="snížená",J286,0)</f>
        <v>0</v>
      </c>
      <c r="BG286" s="263">
        <f>IF(N286="zákl. přenesená",J286,0)</f>
        <v>0</v>
      </c>
      <c r="BH286" s="263">
        <f>IF(N286="sníž. přenesená",J286,0)</f>
        <v>0</v>
      </c>
      <c r="BI286" s="263">
        <f>IF(N286="nulová",J286,0)</f>
        <v>0</v>
      </c>
      <c r="BJ286" s="183" t="s">
        <v>186</v>
      </c>
      <c r="BK286" s="263">
        <f>ROUND(I286*H286,2)</f>
        <v>0</v>
      </c>
      <c r="BL286" s="183" t="s">
        <v>192</v>
      </c>
      <c r="BM286" s="262" t="s">
        <v>761</v>
      </c>
    </row>
    <row r="287" spans="2:65" s="190" customFormat="1" x14ac:dyDescent="0.2">
      <c r="B287" s="191"/>
      <c r="D287" s="264" t="s">
        <v>194</v>
      </c>
      <c r="F287" s="265" t="s">
        <v>762</v>
      </c>
      <c r="L287" s="191"/>
      <c r="M287" s="266"/>
      <c r="T287" s="267"/>
      <c r="AT287" s="183" t="s">
        <v>194</v>
      </c>
      <c r="AU287" s="183" t="s">
        <v>123</v>
      </c>
    </row>
    <row r="288" spans="2:65" s="190" customFormat="1" ht="24.2" customHeight="1" x14ac:dyDescent="0.2">
      <c r="B288" s="191"/>
      <c r="C288" s="252" t="s">
        <v>763</v>
      </c>
      <c r="D288" s="252" t="s">
        <v>187</v>
      </c>
      <c r="E288" s="253" t="s">
        <v>764</v>
      </c>
      <c r="F288" s="254" t="s">
        <v>765</v>
      </c>
      <c r="G288" s="255" t="s">
        <v>190</v>
      </c>
      <c r="H288" s="256">
        <v>100</v>
      </c>
      <c r="I288" s="257"/>
      <c r="J288" s="257">
        <f>ROUND(I288*H288,2)</f>
        <v>0</v>
      </c>
      <c r="K288" s="254" t="s">
        <v>191</v>
      </c>
      <c r="L288" s="191"/>
      <c r="M288" s="258" t="s">
        <v>129</v>
      </c>
      <c r="N288" s="259" t="s">
        <v>144</v>
      </c>
      <c r="O288" s="260">
        <v>3.2000000000000001E-2</v>
      </c>
      <c r="P288" s="260">
        <f>O288*H288</f>
        <v>3.2</v>
      </c>
      <c r="Q288" s="260">
        <v>1E-4</v>
      </c>
      <c r="R288" s="260">
        <f>Q288*H288</f>
        <v>0.01</v>
      </c>
      <c r="S288" s="260">
        <v>0</v>
      </c>
      <c r="T288" s="261">
        <f>S288*H288</f>
        <v>0</v>
      </c>
      <c r="AR288" s="262" t="s">
        <v>192</v>
      </c>
      <c r="AT288" s="262" t="s">
        <v>187</v>
      </c>
      <c r="AU288" s="262" t="s">
        <v>123</v>
      </c>
      <c r="AY288" s="183" t="s">
        <v>183</v>
      </c>
      <c r="BE288" s="263">
        <f>IF(N288="základní",J288,0)</f>
        <v>0</v>
      </c>
      <c r="BF288" s="263">
        <f>IF(N288="snížená",J288,0)</f>
        <v>0</v>
      </c>
      <c r="BG288" s="263">
        <f>IF(N288="zákl. přenesená",J288,0)</f>
        <v>0</v>
      </c>
      <c r="BH288" s="263">
        <f>IF(N288="sníž. přenesená",J288,0)</f>
        <v>0</v>
      </c>
      <c r="BI288" s="263">
        <f>IF(N288="nulová",J288,0)</f>
        <v>0</v>
      </c>
      <c r="BJ288" s="183" t="s">
        <v>186</v>
      </c>
      <c r="BK288" s="263">
        <f>ROUND(I288*H288,2)</f>
        <v>0</v>
      </c>
      <c r="BL288" s="183" t="s">
        <v>192</v>
      </c>
      <c r="BM288" s="262" t="s">
        <v>766</v>
      </c>
    </row>
    <row r="289" spans="2:65" s="190" customFormat="1" x14ac:dyDescent="0.2">
      <c r="B289" s="191"/>
      <c r="D289" s="264" t="s">
        <v>194</v>
      </c>
      <c r="F289" s="265" t="s">
        <v>767</v>
      </c>
      <c r="L289" s="191"/>
      <c r="M289" s="266"/>
      <c r="T289" s="267"/>
      <c r="AT289" s="183" t="s">
        <v>194</v>
      </c>
      <c r="AU289" s="183" t="s">
        <v>123</v>
      </c>
    </row>
    <row r="290" spans="2:65" s="190" customFormat="1" ht="33" customHeight="1" x14ac:dyDescent="0.2">
      <c r="B290" s="191"/>
      <c r="C290" s="252" t="s">
        <v>768</v>
      </c>
      <c r="D290" s="252" t="s">
        <v>187</v>
      </c>
      <c r="E290" s="253" t="s">
        <v>769</v>
      </c>
      <c r="F290" s="254" t="s">
        <v>770</v>
      </c>
      <c r="G290" s="255" t="s">
        <v>241</v>
      </c>
      <c r="H290" s="256">
        <v>1</v>
      </c>
      <c r="I290" s="257"/>
      <c r="J290" s="257">
        <f>ROUND(I290*H290,2)</f>
        <v>0</v>
      </c>
      <c r="K290" s="254" t="s">
        <v>191</v>
      </c>
      <c r="L290" s="191"/>
      <c r="M290" s="258" t="s">
        <v>129</v>
      </c>
      <c r="N290" s="259" t="s">
        <v>144</v>
      </c>
      <c r="O290" s="260">
        <v>0.503</v>
      </c>
      <c r="P290" s="260">
        <f>O290*H290</f>
        <v>0.503</v>
      </c>
      <c r="Q290" s="260">
        <v>1.6000000000000001E-3</v>
      </c>
      <c r="R290" s="260">
        <f>Q290*H290</f>
        <v>1.6000000000000001E-3</v>
      </c>
      <c r="S290" s="260">
        <v>0</v>
      </c>
      <c r="T290" s="261">
        <f>S290*H290</f>
        <v>0</v>
      </c>
      <c r="AR290" s="262" t="s">
        <v>192</v>
      </c>
      <c r="AT290" s="262" t="s">
        <v>187</v>
      </c>
      <c r="AU290" s="262" t="s">
        <v>123</v>
      </c>
      <c r="AY290" s="183" t="s">
        <v>183</v>
      </c>
      <c r="BE290" s="263">
        <f>IF(N290="základní",J290,0)</f>
        <v>0</v>
      </c>
      <c r="BF290" s="263">
        <f>IF(N290="snížená",J290,0)</f>
        <v>0</v>
      </c>
      <c r="BG290" s="263">
        <f>IF(N290="zákl. přenesená",J290,0)</f>
        <v>0</v>
      </c>
      <c r="BH290" s="263">
        <f>IF(N290="sníž. přenesená",J290,0)</f>
        <v>0</v>
      </c>
      <c r="BI290" s="263">
        <f>IF(N290="nulová",J290,0)</f>
        <v>0</v>
      </c>
      <c r="BJ290" s="183" t="s">
        <v>186</v>
      </c>
      <c r="BK290" s="263">
        <f>ROUND(I290*H290,2)</f>
        <v>0</v>
      </c>
      <c r="BL290" s="183" t="s">
        <v>192</v>
      </c>
      <c r="BM290" s="262" t="s">
        <v>771</v>
      </c>
    </row>
    <row r="291" spans="2:65" s="190" customFormat="1" x14ac:dyDescent="0.2">
      <c r="B291" s="191"/>
      <c r="D291" s="264" t="s">
        <v>194</v>
      </c>
      <c r="F291" s="265" t="s">
        <v>772</v>
      </c>
      <c r="L291" s="191"/>
      <c r="M291" s="266"/>
      <c r="T291" s="267"/>
      <c r="AT291" s="183" t="s">
        <v>194</v>
      </c>
      <c r="AU291" s="183" t="s">
        <v>123</v>
      </c>
    </row>
    <row r="292" spans="2:65" s="190" customFormat="1" ht="33" customHeight="1" x14ac:dyDescent="0.2">
      <c r="B292" s="191"/>
      <c r="C292" s="252" t="s">
        <v>773</v>
      </c>
      <c r="D292" s="252" t="s">
        <v>187</v>
      </c>
      <c r="E292" s="253" t="s">
        <v>774</v>
      </c>
      <c r="F292" s="254" t="s">
        <v>775</v>
      </c>
      <c r="G292" s="255" t="s">
        <v>241</v>
      </c>
      <c r="H292" s="256">
        <v>1</v>
      </c>
      <c r="I292" s="257"/>
      <c r="J292" s="257">
        <f>ROUND(I292*H292,2)</f>
        <v>0</v>
      </c>
      <c r="K292" s="254" t="s">
        <v>191</v>
      </c>
      <c r="L292" s="191"/>
      <c r="M292" s="258" t="s">
        <v>129</v>
      </c>
      <c r="N292" s="259" t="s">
        <v>144</v>
      </c>
      <c r="O292" s="260">
        <v>0.53300000000000003</v>
      </c>
      <c r="P292" s="260">
        <f>O292*H292</f>
        <v>0.53300000000000003</v>
      </c>
      <c r="Q292" s="260">
        <v>4.7999999999999996E-3</v>
      </c>
      <c r="R292" s="260">
        <f>Q292*H292</f>
        <v>4.7999999999999996E-3</v>
      </c>
      <c r="S292" s="260">
        <v>0</v>
      </c>
      <c r="T292" s="261">
        <f>S292*H292</f>
        <v>0</v>
      </c>
      <c r="AR292" s="262" t="s">
        <v>192</v>
      </c>
      <c r="AT292" s="262" t="s">
        <v>187</v>
      </c>
      <c r="AU292" s="262" t="s">
        <v>123</v>
      </c>
      <c r="AY292" s="183" t="s">
        <v>183</v>
      </c>
      <c r="BE292" s="263">
        <f>IF(N292="základní",J292,0)</f>
        <v>0</v>
      </c>
      <c r="BF292" s="263">
        <f>IF(N292="snížená",J292,0)</f>
        <v>0</v>
      </c>
      <c r="BG292" s="263">
        <f>IF(N292="zákl. přenesená",J292,0)</f>
        <v>0</v>
      </c>
      <c r="BH292" s="263">
        <f>IF(N292="sníž. přenesená",J292,0)</f>
        <v>0</v>
      </c>
      <c r="BI292" s="263">
        <f>IF(N292="nulová",J292,0)</f>
        <v>0</v>
      </c>
      <c r="BJ292" s="183" t="s">
        <v>186</v>
      </c>
      <c r="BK292" s="263">
        <f>ROUND(I292*H292,2)</f>
        <v>0</v>
      </c>
      <c r="BL292" s="183" t="s">
        <v>192</v>
      </c>
      <c r="BM292" s="262" t="s">
        <v>776</v>
      </c>
    </row>
    <row r="293" spans="2:65" s="190" customFormat="1" x14ac:dyDescent="0.2">
      <c r="B293" s="191"/>
      <c r="D293" s="264" t="s">
        <v>194</v>
      </c>
      <c r="F293" s="265" t="s">
        <v>777</v>
      </c>
      <c r="L293" s="191"/>
      <c r="M293" s="266"/>
      <c r="T293" s="267"/>
      <c r="AT293" s="183" t="s">
        <v>194</v>
      </c>
      <c r="AU293" s="183" t="s">
        <v>123</v>
      </c>
    </row>
    <row r="294" spans="2:65" s="190" customFormat="1" ht="33" customHeight="1" x14ac:dyDescent="0.2">
      <c r="B294" s="191"/>
      <c r="C294" s="252" t="s">
        <v>778</v>
      </c>
      <c r="D294" s="252" t="s">
        <v>187</v>
      </c>
      <c r="E294" s="253" t="s">
        <v>779</v>
      </c>
      <c r="F294" s="254" t="s">
        <v>780</v>
      </c>
      <c r="G294" s="255" t="s">
        <v>241</v>
      </c>
      <c r="H294" s="256">
        <v>1</v>
      </c>
      <c r="I294" s="257"/>
      <c r="J294" s="257">
        <f>ROUND(I294*H294,2)</f>
        <v>0</v>
      </c>
      <c r="K294" s="254" t="s">
        <v>129</v>
      </c>
      <c r="L294" s="191"/>
      <c r="M294" s="258" t="s">
        <v>129</v>
      </c>
      <c r="N294" s="259" t="s">
        <v>144</v>
      </c>
      <c r="O294" s="260">
        <v>0.59</v>
      </c>
      <c r="P294" s="260">
        <f>O294*H294</f>
        <v>0.59</v>
      </c>
      <c r="Q294" s="260">
        <v>7.6499999999999997E-3</v>
      </c>
      <c r="R294" s="260">
        <f>Q294*H294</f>
        <v>7.6499999999999997E-3</v>
      </c>
      <c r="S294" s="260">
        <v>0</v>
      </c>
      <c r="T294" s="261">
        <f>S294*H294</f>
        <v>0</v>
      </c>
      <c r="AR294" s="262" t="s">
        <v>192</v>
      </c>
      <c r="AT294" s="262" t="s">
        <v>187</v>
      </c>
      <c r="AU294" s="262" t="s">
        <v>123</v>
      </c>
      <c r="AY294" s="183" t="s">
        <v>183</v>
      </c>
      <c r="BE294" s="263">
        <f>IF(N294="základní",J294,0)</f>
        <v>0</v>
      </c>
      <c r="BF294" s="263">
        <f>IF(N294="snížená",J294,0)</f>
        <v>0</v>
      </c>
      <c r="BG294" s="263">
        <f>IF(N294="zákl. přenesená",J294,0)</f>
        <v>0</v>
      </c>
      <c r="BH294" s="263">
        <f>IF(N294="sníž. přenesená",J294,0)</f>
        <v>0</v>
      </c>
      <c r="BI294" s="263">
        <f>IF(N294="nulová",J294,0)</f>
        <v>0</v>
      </c>
      <c r="BJ294" s="183" t="s">
        <v>186</v>
      </c>
      <c r="BK294" s="263">
        <f>ROUND(I294*H294,2)</f>
        <v>0</v>
      </c>
      <c r="BL294" s="183" t="s">
        <v>192</v>
      </c>
      <c r="BM294" s="262" t="s">
        <v>781</v>
      </c>
    </row>
    <row r="295" spans="2:65" s="190" customFormat="1" ht="37.9" customHeight="1" x14ac:dyDescent="0.2">
      <c r="B295" s="191"/>
      <c r="C295" s="252" t="s">
        <v>782</v>
      </c>
      <c r="D295" s="252" t="s">
        <v>187</v>
      </c>
      <c r="E295" s="253" t="s">
        <v>783</v>
      </c>
      <c r="F295" s="254" t="s">
        <v>784</v>
      </c>
      <c r="G295" s="255" t="s">
        <v>241</v>
      </c>
      <c r="H295" s="256">
        <v>1</v>
      </c>
      <c r="I295" s="257"/>
      <c r="J295" s="257">
        <f>ROUND(I295*H295,2)</f>
        <v>0</v>
      </c>
      <c r="K295" s="254" t="s">
        <v>191</v>
      </c>
      <c r="L295" s="191"/>
      <c r="M295" s="258" t="s">
        <v>129</v>
      </c>
      <c r="N295" s="259" t="s">
        <v>144</v>
      </c>
      <c r="O295" s="260">
        <v>0.57299999999999995</v>
      </c>
      <c r="P295" s="260">
        <f>O295*H295</f>
        <v>0.57299999999999995</v>
      </c>
      <c r="Q295" s="260">
        <v>9.1000000000000004E-3</v>
      </c>
      <c r="R295" s="260">
        <f>Q295*H295</f>
        <v>9.1000000000000004E-3</v>
      </c>
      <c r="S295" s="260">
        <v>0</v>
      </c>
      <c r="T295" s="261">
        <f>S295*H295</f>
        <v>0</v>
      </c>
      <c r="AR295" s="262" t="s">
        <v>192</v>
      </c>
      <c r="AT295" s="262" t="s">
        <v>187</v>
      </c>
      <c r="AU295" s="262" t="s">
        <v>123</v>
      </c>
      <c r="AY295" s="183" t="s">
        <v>183</v>
      </c>
      <c r="BE295" s="263">
        <f>IF(N295="základní",J295,0)</f>
        <v>0</v>
      </c>
      <c r="BF295" s="263">
        <f>IF(N295="snížená",J295,0)</f>
        <v>0</v>
      </c>
      <c r="BG295" s="263">
        <f>IF(N295="zákl. přenesená",J295,0)</f>
        <v>0</v>
      </c>
      <c r="BH295" s="263">
        <f>IF(N295="sníž. přenesená",J295,0)</f>
        <v>0</v>
      </c>
      <c r="BI295" s="263">
        <f>IF(N295="nulová",J295,0)</f>
        <v>0</v>
      </c>
      <c r="BJ295" s="183" t="s">
        <v>186</v>
      </c>
      <c r="BK295" s="263">
        <f>ROUND(I295*H295,2)</f>
        <v>0</v>
      </c>
      <c r="BL295" s="183" t="s">
        <v>192</v>
      </c>
      <c r="BM295" s="262" t="s">
        <v>785</v>
      </c>
    </row>
    <row r="296" spans="2:65" s="190" customFormat="1" x14ac:dyDescent="0.2">
      <c r="B296" s="191"/>
      <c r="D296" s="264" t="s">
        <v>194</v>
      </c>
      <c r="F296" s="265" t="s">
        <v>786</v>
      </c>
      <c r="L296" s="191"/>
      <c r="M296" s="266"/>
      <c r="T296" s="267"/>
      <c r="AT296" s="183" t="s">
        <v>194</v>
      </c>
      <c r="AU296" s="183" t="s">
        <v>123</v>
      </c>
    </row>
    <row r="297" spans="2:65" s="190" customFormat="1" ht="37.9" customHeight="1" x14ac:dyDescent="0.2">
      <c r="B297" s="191"/>
      <c r="C297" s="252" t="s">
        <v>290</v>
      </c>
      <c r="D297" s="252" t="s">
        <v>187</v>
      </c>
      <c r="E297" s="253" t="s">
        <v>787</v>
      </c>
      <c r="F297" s="254" t="s">
        <v>788</v>
      </c>
      <c r="G297" s="255" t="s">
        <v>241</v>
      </c>
      <c r="H297" s="256">
        <v>1</v>
      </c>
      <c r="I297" s="257"/>
      <c r="J297" s="257">
        <f>ROUND(I297*H297,2)</f>
        <v>0</v>
      </c>
      <c r="K297" s="254" t="s">
        <v>191</v>
      </c>
      <c r="L297" s="191"/>
      <c r="M297" s="258" t="s">
        <v>129</v>
      </c>
      <c r="N297" s="259" t="s">
        <v>144</v>
      </c>
      <c r="O297" s="260">
        <v>0.495</v>
      </c>
      <c r="P297" s="260">
        <f>O297*H297</f>
        <v>0.495</v>
      </c>
      <c r="Q297" s="260">
        <v>9.1999999999999998E-3</v>
      </c>
      <c r="R297" s="260">
        <f>Q297*H297</f>
        <v>9.1999999999999998E-3</v>
      </c>
      <c r="S297" s="260">
        <v>0</v>
      </c>
      <c r="T297" s="261">
        <f>S297*H297</f>
        <v>0</v>
      </c>
      <c r="AR297" s="262" t="s">
        <v>192</v>
      </c>
      <c r="AT297" s="262" t="s">
        <v>187</v>
      </c>
      <c r="AU297" s="262" t="s">
        <v>123</v>
      </c>
      <c r="AY297" s="183" t="s">
        <v>183</v>
      </c>
      <c r="BE297" s="263">
        <f>IF(N297="základní",J297,0)</f>
        <v>0</v>
      </c>
      <c r="BF297" s="263">
        <f>IF(N297="snížená",J297,0)</f>
        <v>0</v>
      </c>
      <c r="BG297" s="263">
        <f>IF(N297="zákl. přenesená",J297,0)</f>
        <v>0</v>
      </c>
      <c r="BH297" s="263">
        <f>IF(N297="sníž. přenesená",J297,0)</f>
        <v>0</v>
      </c>
      <c r="BI297" s="263">
        <f>IF(N297="nulová",J297,0)</f>
        <v>0</v>
      </c>
      <c r="BJ297" s="183" t="s">
        <v>186</v>
      </c>
      <c r="BK297" s="263">
        <f>ROUND(I297*H297,2)</f>
        <v>0</v>
      </c>
      <c r="BL297" s="183" t="s">
        <v>192</v>
      </c>
      <c r="BM297" s="262" t="s">
        <v>789</v>
      </c>
    </row>
    <row r="298" spans="2:65" s="190" customFormat="1" x14ac:dyDescent="0.2">
      <c r="B298" s="191"/>
      <c r="D298" s="264" t="s">
        <v>194</v>
      </c>
      <c r="F298" s="265" t="s">
        <v>790</v>
      </c>
      <c r="L298" s="191"/>
      <c r="M298" s="266"/>
      <c r="T298" s="267"/>
      <c r="AT298" s="183" t="s">
        <v>194</v>
      </c>
      <c r="AU298" s="183" t="s">
        <v>123</v>
      </c>
    </row>
    <row r="299" spans="2:65" s="190" customFormat="1" ht="37.9" customHeight="1" x14ac:dyDescent="0.2">
      <c r="B299" s="191"/>
      <c r="C299" s="252" t="s">
        <v>791</v>
      </c>
      <c r="D299" s="252" t="s">
        <v>187</v>
      </c>
      <c r="E299" s="253" t="s">
        <v>792</v>
      </c>
      <c r="F299" s="254" t="s">
        <v>793</v>
      </c>
      <c r="G299" s="255" t="s">
        <v>241</v>
      </c>
      <c r="H299" s="256">
        <v>1</v>
      </c>
      <c r="I299" s="257"/>
      <c r="J299" s="257">
        <f>ROUND(I299*H299,2)</f>
        <v>0</v>
      </c>
      <c r="K299" s="254" t="s">
        <v>191</v>
      </c>
      <c r="L299" s="191"/>
      <c r="M299" s="258" t="s">
        <v>129</v>
      </c>
      <c r="N299" s="259" t="s">
        <v>144</v>
      </c>
      <c r="O299" s="260">
        <v>0.54</v>
      </c>
      <c r="P299" s="260">
        <f>O299*H299</f>
        <v>0.54</v>
      </c>
      <c r="Q299" s="260">
        <v>1.8800000000000001E-2</v>
      </c>
      <c r="R299" s="260">
        <f>Q299*H299</f>
        <v>1.8800000000000001E-2</v>
      </c>
      <c r="S299" s="260">
        <v>0</v>
      </c>
      <c r="T299" s="261">
        <f>S299*H299</f>
        <v>0</v>
      </c>
      <c r="AR299" s="262" t="s">
        <v>192</v>
      </c>
      <c r="AT299" s="262" t="s">
        <v>187</v>
      </c>
      <c r="AU299" s="262" t="s">
        <v>123</v>
      </c>
      <c r="AY299" s="183" t="s">
        <v>183</v>
      </c>
      <c r="BE299" s="263">
        <f>IF(N299="základní",J299,0)</f>
        <v>0</v>
      </c>
      <c r="BF299" s="263">
        <f>IF(N299="snížená",J299,0)</f>
        <v>0</v>
      </c>
      <c r="BG299" s="263">
        <f>IF(N299="zákl. přenesená",J299,0)</f>
        <v>0</v>
      </c>
      <c r="BH299" s="263">
        <f>IF(N299="sníž. přenesená",J299,0)</f>
        <v>0</v>
      </c>
      <c r="BI299" s="263">
        <f>IF(N299="nulová",J299,0)</f>
        <v>0</v>
      </c>
      <c r="BJ299" s="183" t="s">
        <v>186</v>
      </c>
      <c r="BK299" s="263">
        <f>ROUND(I299*H299,2)</f>
        <v>0</v>
      </c>
      <c r="BL299" s="183" t="s">
        <v>192</v>
      </c>
      <c r="BM299" s="262" t="s">
        <v>794</v>
      </c>
    </row>
    <row r="300" spans="2:65" s="190" customFormat="1" x14ac:dyDescent="0.2">
      <c r="B300" s="191"/>
      <c r="D300" s="264" t="s">
        <v>194</v>
      </c>
      <c r="F300" s="265" t="s">
        <v>795</v>
      </c>
      <c r="L300" s="191"/>
      <c r="M300" s="266"/>
      <c r="T300" s="267"/>
      <c r="AT300" s="183" t="s">
        <v>194</v>
      </c>
      <c r="AU300" s="183" t="s">
        <v>123</v>
      </c>
    </row>
    <row r="301" spans="2:65" s="190" customFormat="1" ht="33" customHeight="1" x14ac:dyDescent="0.2">
      <c r="B301" s="191"/>
      <c r="C301" s="252" t="s">
        <v>796</v>
      </c>
      <c r="D301" s="252" t="s">
        <v>187</v>
      </c>
      <c r="E301" s="253" t="s">
        <v>797</v>
      </c>
      <c r="F301" s="254" t="s">
        <v>798</v>
      </c>
      <c r="G301" s="255" t="s">
        <v>241</v>
      </c>
      <c r="H301" s="256">
        <v>42</v>
      </c>
      <c r="I301" s="257"/>
      <c r="J301" s="257">
        <f>ROUND(I301*H301,2)</f>
        <v>0</v>
      </c>
      <c r="K301" s="254" t="s">
        <v>191</v>
      </c>
      <c r="L301" s="191"/>
      <c r="M301" s="258" t="s">
        <v>129</v>
      </c>
      <c r="N301" s="259" t="s">
        <v>144</v>
      </c>
      <c r="O301" s="260">
        <v>6.5000000000000002E-2</v>
      </c>
      <c r="P301" s="260">
        <f>O301*H301</f>
        <v>2.73</v>
      </c>
      <c r="Q301" s="260">
        <v>6.9999999999999994E-5</v>
      </c>
      <c r="R301" s="260">
        <f>Q301*H301</f>
        <v>2.9399999999999999E-3</v>
      </c>
      <c r="S301" s="260">
        <v>0</v>
      </c>
      <c r="T301" s="261">
        <f>S301*H301</f>
        <v>0</v>
      </c>
      <c r="AR301" s="262" t="s">
        <v>192</v>
      </c>
      <c r="AT301" s="262" t="s">
        <v>187</v>
      </c>
      <c r="AU301" s="262" t="s">
        <v>123</v>
      </c>
      <c r="AY301" s="183" t="s">
        <v>183</v>
      </c>
      <c r="BE301" s="263">
        <f>IF(N301="základní",J301,0)</f>
        <v>0</v>
      </c>
      <c r="BF301" s="263">
        <f>IF(N301="snížená",J301,0)</f>
        <v>0</v>
      </c>
      <c r="BG301" s="263">
        <f>IF(N301="zákl. přenesená",J301,0)</f>
        <v>0</v>
      </c>
      <c r="BH301" s="263">
        <f>IF(N301="sníž. přenesená",J301,0)</f>
        <v>0</v>
      </c>
      <c r="BI301" s="263">
        <f>IF(N301="nulová",J301,0)</f>
        <v>0</v>
      </c>
      <c r="BJ301" s="183" t="s">
        <v>186</v>
      </c>
      <c r="BK301" s="263">
        <f>ROUND(I301*H301,2)</f>
        <v>0</v>
      </c>
      <c r="BL301" s="183" t="s">
        <v>192</v>
      </c>
      <c r="BM301" s="262" t="s">
        <v>799</v>
      </c>
    </row>
    <row r="302" spans="2:65" s="190" customFormat="1" x14ac:dyDescent="0.2">
      <c r="B302" s="191"/>
      <c r="D302" s="264" t="s">
        <v>194</v>
      </c>
      <c r="F302" s="265" t="s">
        <v>800</v>
      </c>
      <c r="L302" s="191"/>
      <c r="M302" s="266"/>
      <c r="T302" s="267"/>
      <c r="AT302" s="183" t="s">
        <v>194</v>
      </c>
      <c r="AU302" s="183" t="s">
        <v>123</v>
      </c>
    </row>
    <row r="303" spans="2:65" s="190" customFormat="1" ht="24.2" customHeight="1" x14ac:dyDescent="0.2">
      <c r="B303" s="191"/>
      <c r="C303" s="252" t="s">
        <v>801</v>
      </c>
      <c r="D303" s="252" t="s">
        <v>187</v>
      </c>
      <c r="E303" s="253" t="s">
        <v>802</v>
      </c>
      <c r="F303" s="254" t="s">
        <v>803</v>
      </c>
      <c r="G303" s="255" t="s">
        <v>241</v>
      </c>
      <c r="H303" s="256">
        <v>42</v>
      </c>
      <c r="I303" s="257"/>
      <c r="J303" s="257">
        <f>ROUND(I303*H303,2)</f>
        <v>0</v>
      </c>
      <c r="K303" s="254" t="s">
        <v>129</v>
      </c>
      <c r="L303" s="191"/>
      <c r="M303" s="258" t="s">
        <v>129</v>
      </c>
      <c r="N303" s="259" t="s">
        <v>144</v>
      </c>
      <c r="O303" s="260">
        <v>0.377</v>
      </c>
      <c r="P303" s="260">
        <f>O303*H303</f>
        <v>15.834</v>
      </c>
      <c r="Q303" s="260">
        <v>2.0999999999999999E-3</v>
      </c>
      <c r="R303" s="260">
        <f>Q303*H303</f>
        <v>8.8200000000000001E-2</v>
      </c>
      <c r="S303" s="260">
        <v>0</v>
      </c>
      <c r="T303" s="261">
        <f>S303*H303</f>
        <v>0</v>
      </c>
      <c r="AR303" s="262" t="s">
        <v>192</v>
      </c>
      <c r="AT303" s="262" t="s">
        <v>187</v>
      </c>
      <c r="AU303" s="262" t="s">
        <v>123</v>
      </c>
      <c r="AY303" s="183" t="s">
        <v>183</v>
      </c>
      <c r="BE303" s="263">
        <f>IF(N303="základní",J303,0)</f>
        <v>0</v>
      </c>
      <c r="BF303" s="263">
        <f>IF(N303="snížená",J303,0)</f>
        <v>0</v>
      </c>
      <c r="BG303" s="263">
        <f>IF(N303="zákl. přenesená",J303,0)</f>
        <v>0</v>
      </c>
      <c r="BH303" s="263">
        <f>IF(N303="sníž. přenesená",J303,0)</f>
        <v>0</v>
      </c>
      <c r="BI303" s="263">
        <f>IF(N303="nulová",J303,0)</f>
        <v>0</v>
      </c>
      <c r="BJ303" s="183" t="s">
        <v>186</v>
      </c>
      <c r="BK303" s="263">
        <f>ROUND(I303*H303,2)</f>
        <v>0</v>
      </c>
      <c r="BL303" s="183" t="s">
        <v>192</v>
      </c>
      <c r="BM303" s="262" t="s">
        <v>804</v>
      </c>
    </row>
    <row r="304" spans="2:65" s="190" customFormat="1" ht="24.2" customHeight="1" x14ac:dyDescent="0.2">
      <c r="B304" s="191"/>
      <c r="C304" s="252" t="s">
        <v>805</v>
      </c>
      <c r="D304" s="252" t="s">
        <v>187</v>
      </c>
      <c r="E304" s="253" t="s">
        <v>806</v>
      </c>
      <c r="F304" s="254" t="s">
        <v>807</v>
      </c>
      <c r="G304" s="255" t="s">
        <v>241</v>
      </c>
      <c r="H304" s="256">
        <v>500</v>
      </c>
      <c r="I304" s="257"/>
      <c r="J304" s="257">
        <f>ROUND(I304*H304,2)</f>
        <v>0</v>
      </c>
      <c r="K304" s="254" t="s">
        <v>129</v>
      </c>
      <c r="L304" s="191"/>
      <c r="M304" s="258" t="s">
        <v>129</v>
      </c>
      <c r="N304" s="259" t="s">
        <v>144</v>
      </c>
      <c r="O304" s="260">
        <v>0.377</v>
      </c>
      <c r="P304" s="260">
        <f>O304*H304</f>
        <v>188.5</v>
      </c>
      <c r="Q304" s="260">
        <v>2.0999999999999999E-3</v>
      </c>
      <c r="R304" s="260">
        <f>Q304*H304</f>
        <v>1.05</v>
      </c>
      <c r="S304" s="260">
        <v>0</v>
      </c>
      <c r="T304" s="261">
        <f>S304*H304</f>
        <v>0</v>
      </c>
      <c r="AR304" s="262" t="s">
        <v>192</v>
      </c>
      <c r="AT304" s="262" t="s">
        <v>187</v>
      </c>
      <c r="AU304" s="262" t="s">
        <v>123</v>
      </c>
      <c r="AY304" s="183" t="s">
        <v>183</v>
      </c>
      <c r="BE304" s="263">
        <f>IF(N304="základní",J304,0)</f>
        <v>0</v>
      </c>
      <c r="BF304" s="263">
        <f>IF(N304="snížená",J304,0)</f>
        <v>0</v>
      </c>
      <c r="BG304" s="263">
        <f>IF(N304="zákl. přenesená",J304,0)</f>
        <v>0</v>
      </c>
      <c r="BH304" s="263">
        <f>IF(N304="sníž. přenesená",J304,0)</f>
        <v>0</v>
      </c>
      <c r="BI304" s="263">
        <f>IF(N304="nulová",J304,0)</f>
        <v>0</v>
      </c>
      <c r="BJ304" s="183" t="s">
        <v>186</v>
      </c>
      <c r="BK304" s="263">
        <f>ROUND(I304*H304,2)</f>
        <v>0</v>
      </c>
      <c r="BL304" s="183" t="s">
        <v>192</v>
      </c>
      <c r="BM304" s="262" t="s">
        <v>808</v>
      </c>
    </row>
    <row r="305" spans="2:65" s="190" customFormat="1" ht="44.25" customHeight="1" x14ac:dyDescent="0.2">
      <c r="B305" s="191"/>
      <c r="C305" s="252" t="s">
        <v>809</v>
      </c>
      <c r="D305" s="252" t="s">
        <v>187</v>
      </c>
      <c r="E305" s="253" t="s">
        <v>810</v>
      </c>
      <c r="F305" s="254" t="s">
        <v>811</v>
      </c>
      <c r="G305" s="255" t="s">
        <v>241</v>
      </c>
      <c r="H305" s="256">
        <v>3</v>
      </c>
      <c r="I305" s="257"/>
      <c r="J305" s="257">
        <f>ROUND(I305*H305,2)</f>
        <v>0</v>
      </c>
      <c r="K305" s="254" t="s">
        <v>129</v>
      </c>
      <c r="L305" s="191"/>
      <c r="M305" s="258" t="s">
        <v>129</v>
      </c>
      <c r="N305" s="259" t="s">
        <v>144</v>
      </c>
      <c r="O305" s="260">
        <v>0.377</v>
      </c>
      <c r="P305" s="260">
        <f>O305*H305</f>
        <v>1.131</v>
      </c>
      <c r="Q305" s="260">
        <v>2.0999999999999999E-3</v>
      </c>
      <c r="R305" s="260">
        <f>Q305*H305</f>
        <v>6.3E-3</v>
      </c>
      <c r="S305" s="260">
        <v>0</v>
      </c>
      <c r="T305" s="261">
        <f>S305*H305</f>
        <v>0</v>
      </c>
      <c r="AR305" s="262" t="s">
        <v>192</v>
      </c>
      <c r="AT305" s="262" t="s">
        <v>187</v>
      </c>
      <c r="AU305" s="262" t="s">
        <v>123</v>
      </c>
      <c r="AY305" s="183" t="s">
        <v>183</v>
      </c>
      <c r="BE305" s="263">
        <f>IF(N305="základní",J305,0)</f>
        <v>0</v>
      </c>
      <c r="BF305" s="263">
        <f>IF(N305="snížená",J305,0)</f>
        <v>0</v>
      </c>
      <c r="BG305" s="263">
        <f>IF(N305="zákl. přenesená",J305,0)</f>
        <v>0</v>
      </c>
      <c r="BH305" s="263">
        <f>IF(N305="sníž. přenesená",J305,0)</f>
        <v>0</v>
      </c>
      <c r="BI305" s="263">
        <f>IF(N305="nulová",J305,0)</f>
        <v>0</v>
      </c>
      <c r="BJ305" s="183" t="s">
        <v>186</v>
      </c>
      <c r="BK305" s="263">
        <f>ROUND(I305*H305,2)</f>
        <v>0</v>
      </c>
      <c r="BL305" s="183" t="s">
        <v>192</v>
      </c>
      <c r="BM305" s="262" t="s">
        <v>812</v>
      </c>
    </row>
    <row r="306" spans="2:65" s="190" customFormat="1" ht="49.15" customHeight="1" x14ac:dyDescent="0.2">
      <c r="B306" s="191"/>
      <c r="C306" s="252" t="s">
        <v>813</v>
      </c>
      <c r="D306" s="252" t="s">
        <v>187</v>
      </c>
      <c r="E306" s="253" t="s">
        <v>814</v>
      </c>
      <c r="F306" s="254" t="s">
        <v>815</v>
      </c>
      <c r="G306" s="255" t="s">
        <v>228</v>
      </c>
      <c r="H306" s="256">
        <v>3.766</v>
      </c>
      <c r="I306" s="257"/>
      <c r="J306" s="257">
        <f>ROUND(I306*H306,2)</f>
        <v>0</v>
      </c>
      <c r="K306" s="254" t="s">
        <v>191</v>
      </c>
      <c r="L306" s="191"/>
      <c r="M306" s="258" t="s">
        <v>129</v>
      </c>
      <c r="N306" s="259" t="s">
        <v>144</v>
      </c>
      <c r="O306" s="260">
        <v>1.6519999999999999</v>
      </c>
      <c r="P306" s="260">
        <f>O306*H306</f>
        <v>6.2214320000000001</v>
      </c>
      <c r="Q306" s="260">
        <v>0</v>
      </c>
      <c r="R306" s="260">
        <f>Q306*H306</f>
        <v>0</v>
      </c>
      <c r="S306" s="260">
        <v>0</v>
      </c>
      <c r="T306" s="261">
        <f>S306*H306</f>
        <v>0</v>
      </c>
      <c r="AR306" s="262" t="s">
        <v>192</v>
      </c>
      <c r="AT306" s="262" t="s">
        <v>187</v>
      </c>
      <c r="AU306" s="262" t="s">
        <v>123</v>
      </c>
      <c r="AY306" s="183" t="s">
        <v>183</v>
      </c>
      <c r="BE306" s="263">
        <f>IF(N306="základní",J306,0)</f>
        <v>0</v>
      </c>
      <c r="BF306" s="263">
        <f>IF(N306="snížená",J306,0)</f>
        <v>0</v>
      </c>
      <c r="BG306" s="263">
        <f>IF(N306="zákl. přenesená",J306,0)</f>
        <v>0</v>
      </c>
      <c r="BH306" s="263">
        <f>IF(N306="sníž. přenesená",J306,0)</f>
        <v>0</v>
      </c>
      <c r="BI306" s="263">
        <f>IF(N306="nulová",J306,0)</f>
        <v>0</v>
      </c>
      <c r="BJ306" s="183" t="s">
        <v>186</v>
      </c>
      <c r="BK306" s="263">
        <f>ROUND(I306*H306,2)</f>
        <v>0</v>
      </c>
      <c r="BL306" s="183" t="s">
        <v>192</v>
      </c>
      <c r="BM306" s="262" t="s">
        <v>816</v>
      </c>
    </row>
    <row r="307" spans="2:65" s="190" customFormat="1" x14ac:dyDescent="0.2">
      <c r="B307" s="191"/>
      <c r="D307" s="264" t="s">
        <v>194</v>
      </c>
      <c r="F307" s="265" t="s">
        <v>817</v>
      </c>
      <c r="L307" s="191"/>
      <c r="M307" s="266"/>
      <c r="T307" s="267"/>
      <c r="AT307" s="183" t="s">
        <v>194</v>
      </c>
      <c r="AU307" s="183" t="s">
        <v>123</v>
      </c>
    </row>
    <row r="308" spans="2:65" s="240" customFormat="1" ht="22.9" customHeight="1" x14ac:dyDescent="0.2">
      <c r="B308" s="241"/>
      <c r="D308" s="242" t="s">
        <v>180</v>
      </c>
      <c r="E308" s="250" t="s">
        <v>669</v>
      </c>
      <c r="F308" s="250" t="s">
        <v>818</v>
      </c>
      <c r="J308" s="251">
        <f>BK308</f>
        <v>0</v>
      </c>
      <c r="L308" s="241"/>
      <c r="M308" s="245"/>
      <c r="P308" s="246">
        <f>P309</f>
        <v>0</v>
      </c>
      <c r="R308" s="246">
        <f>R309</f>
        <v>0</v>
      </c>
      <c r="T308" s="247">
        <f>T309</f>
        <v>0</v>
      </c>
      <c r="AR308" s="242" t="s">
        <v>123</v>
      </c>
      <c r="AT308" s="248" t="s">
        <v>180</v>
      </c>
      <c r="AU308" s="248" t="s">
        <v>186</v>
      </c>
      <c r="AY308" s="242" t="s">
        <v>183</v>
      </c>
      <c r="BK308" s="249">
        <f>BK309</f>
        <v>0</v>
      </c>
    </row>
    <row r="309" spans="2:65" s="190" customFormat="1" ht="16.5" customHeight="1" x14ac:dyDescent="0.2">
      <c r="B309" s="191"/>
      <c r="C309" s="252" t="s">
        <v>819</v>
      </c>
      <c r="D309" s="252" t="s">
        <v>187</v>
      </c>
      <c r="E309" s="253" t="s">
        <v>820</v>
      </c>
      <c r="F309" s="254" t="s">
        <v>821</v>
      </c>
      <c r="G309" s="255" t="s">
        <v>241</v>
      </c>
      <c r="H309" s="256">
        <v>1</v>
      </c>
      <c r="I309" s="257"/>
      <c r="J309" s="257">
        <f>ROUND(I309*H309,2)</f>
        <v>0</v>
      </c>
      <c r="K309" s="254" t="s">
        <v>129</v>
      </c>
      <c r="L309" s="191"/>
      <c r="M309" s="258" t="s">
        <v>129</v>
      </c>
      <c r="N309" s="259" t="s">
        <v>144</v>
      </c>
      <c r="O309" s="260">
        <v>0</v>
      </c>
      <c r="P309" s="260">
        <f>O309*H309</f>
        <v>0</v>
      </c>
      <c r="Q309" s="260">
        <v>0</v>
      </c>
      <c r="R309" s="260">
        <f>Q309*H309</f>
        <v>0</v>
      </c>
      <c r="S309" s="260">
        <v>0</v>
      </c>
      <c r="T309" s="261">
        <f>S309*H309</f>
        <v>0</v>
      </c>
      <c r="AR309" s="262" t="s">
        <v>822</v>
      </c>
      <c r="AT309" s="262" t="s">
        <v>187</v>
      </c>
      <c r="AU309" s="262" t="s">
        <v>123</v>
      </c>
      <c r="AY309" s="183" t="s">
        <v>183</v>
      </c>
      <c r="BE309" s="263">
        <f>IF(N309="základní",J309,0)</f>
        <v>0</v>
      </c>
      <c r="BF309" s="263">
        <f>IF(N309="snížená",J309,0)</f>
        <v>0</v>
      </c>
      <c r="BG309" s="263">
        <f>IF(N309="zákl. přenesená",J309,0)</f>
        <v>0</v>
      </c>
      <c r="BH309" s="263">
        <f>IF(N309="sníž. přenesená",J309,0)</f>
        <v>0</v>
      </c>
      <c r="BI309" s="263">
        <f>IF(N309="nulová",J309,0)</f>
        <v>0</v>
      </c>
      <c r="BJ309" s="183" t="s">
        <v>186</v>
      </c>
      <c r="BK309" s="263">
        <f>ROUND(I309*H309,2)</f>
        <v>0</v>
      </c>
      <c r="BL309" s="183" t="s">
        <v>822</v>
      </c>
      <c r="BM309" s="262" t="s">
        <v>823</v>
      </c>
    </row>
    <row r="310" spans="2:65" s="240" customFormat="1" ht="22.9" customHeight="1" x14ac:dyDescent="0.2">
      <c r="B310" s="241"/>
      <c r="D310" s="242" t="s">
        <v>180</v>
      </c>
      <c r="E310" s="250" t="s">
        <v>824</v>
      </c>
      <c r="F310" s="250" t="s">
        <v>825</v>
      </c>
      <c r="J310" s="251">
        <f>BK310</f>
        <v>0</v>
      </c>
      <c r="L310" s="241"/>
      <c r="M310" s="245"/>
      <c r="P310" s="246">
        <f>SUM(P311:P313)</f>
        <v>40.200000000000003</v>
      </c>
      <c r="R310" s="246">
        <f>SUM(R311:R313)</f>
        <v>3.6000000000000004E-2</v>
      </c>
      <c r="T310" s="247">
        <f>SUM(T311:T313)</f>
        <v>0</v>
      </c>
      <c r="AR310" s="242" t="s">
        <v>123</v>
      </c>
      <c r="AT310" s="248" t="s">
        <v>180</v>
      </c>
      <c r="AU310" s="248" t="s">
        <v>186</v>
      </c>
      <c r="AY310" s="242" t="s">
        <v>183</v>
      </c>
      <c r="BK310" s="249">
        <f>SUM(BK311:BK313)</f>
        <v>0</v>
      </c>
    </row>
    <row r="311" spans="2:65" s="190" customFormat="1" ht="24.2" customHeight="1" x14ac:dyDescent="0.2">
      <c r="B311" s="191"/>
      <c r="C311" s="252" t="s">
        <v>826</v>
      </c>
      <c r="D311" s="252" t="s">
        <v>187</v>
      </c>
      <c r="E311" s="253" t="s">
        <v>827</v>
      </c>
      <c r="F311" s="254" t="s">
        <v>828</v>
      </c>
      <c r="G311" s="255" t="s">
        <v>829</v>
      </c>
      <c r="H311" s="256">
        <v>300</v>
      </c>
      <c r="I311" s="257"/>
      <c r="J311" s="257">
        <f>ROUND(I311*H311,2)</f>
        <v>0</v>
      </c>
      <c r="K311" s="254" t="s">
        <v>129</v>
      </c>
      <c r="L311" s="191"/>
      <c r="M311" s="258" t="s">
        <v>129</v>
      </c>
      <c r="N311" s="259" t="s">
        <v>144</v>
      </c>
      <c r="O311" s="260">
        <v>0.13400000000000001</v>
      </c>
      <c r="P311" s="260">
        <f>O311*H311</f>
        <v>40.200000000000003</v>
      </c>
      <c r="Q311" s="260">
        <v>6.0000000000000002E-5</v>
      </c>
      <c r="R311" s="260">
        <f>Q311*H311</f>
        <v>1.8000000000000002E-2</v>
      </c>
      <c r="S311" s="260">
        <v>0</v>
      </c>
      <c r="T311" s="261">
        <f>S311*H311</f>
        <v>0</v>
      </c>
      <c r="AR311" s="262" t="s">
        <v>192</v>
      </c>
      <c r="AT311" s="262" t="s">
        <v>187</v>
      </c>
      <c r="AU311" s="262" t="s">
        <v>123</v>
      </c>
      <c r="AY311" s="183" t="s">
        <v>183</v>
      </c>
      <c r="BE311" s="263">
        <f>IF(N311="základní",J311,0)</f>
        <v>0</v>
      </c>
      <c r="BF311" s="263">
        <f>IF(N311="snížená",J311,0)</f>
        <v>0</v>
      </c>
      <c r="BG311" s="263">
        <f>IF(N311="zákl. přenesená",J311,0)</f>
        <v>0</v>
      </c>
      <c r="BH311" s="263">
        <f>IF(N311="sníž. přenesená",J311,0)</f>
        <v>0</v>
      </c>
      <c r="BI311" s="263">
        <f>IF(N311="nulová",J311,0)</f>
        <v>0</v>
      </c>
      <c r="BJ311" s="183" t="s">
        <v>186</v>
      </c>
      <c r="BK311" s="263">
        <f>ROUND(I311*H311,2)</f>
        <v>0</v>
      </c>
      <c r="BL311" s="183" t="s">
        <v>192</v>
      </c>
      <c r="BM311" s="262" t="s">
        <v>830</v>
      </c>
    </row>
    <row r="312" spans="2:65" s="190" customFormat="1" ht="24.2" customHeight="1" x14ac:dyDescent="0.2">
      <c r="B312" s="191"/>
      <c r="C312" s="268" t="s">
        <v>831</v>
      </c>
      <c r="D312" s="268" t="s">
        <v>196</v>
      </c>
      <c r="E312" s="269" t="s">
        <v>832</v>
      </c>
      <c r="F312" s="270" t="s">
        <v>828</v>
      </c>
      <c r="G312" s="271" t="s">
        <v>829</v>
      </c>
      <c r="H312" s="272">
        <v>300</v>
      </c>
      <c r="I312" s="273"/>
      <c r="J312" s="273">
        <f>ROUND(I312*H312,2)</f>
        <v>0</v>
      </c>
      <c r="K312" s="270" t="s">
        <v>129</v>
      </c>
      <c r="L312" s="274"/>
      <c r="M312" s="275" t="s">
        <v>129</v>
      </c>
      <c r="N312" s="276" t="s">
        <v>144</v>
      </c>
      <c r="O312" s="260">
        <v>0</v>
      </c>
      <c r="P312" s="260">
        <f>O312*H312</f>
        <v>0</v>
      </c>
      <c r="Q312" s="260">
        <v>6.0000000000000002E-5</v>
      </c>
      <c r="R312" s="260">
        <f>Q312*H312</f>
        <v>1.8000000000000002E-2</v>
      </c>
      <c r="S312" s="260">
        <v>0</v>
      </c>
      <c r="T312" s="261">
        <f>S312*H312</f>
        <v>0</v>
      </c>
      <c r="AR312" s="262" t="s">
        <v>199</v>
      </c>
      <c r="AT312" s="262" t="s">
        <v>196</v>
      </c>
      <c r="AU312" s="262" t="s">
        <v>123</v>
      </c>
      <c r="AY312" s="183" t="s">
        <v>183</v>
      </c>
      <c r="BE312" s="263">
        <f>IF(N312="základní",J312,0)</f>
        <v>0</v>
      </c>
      <c r="BF312" s="263">
        <f>IF(N312="snížená",J312,0)</f>
        <v>0</v>
      </c>
      <c r="BG312" s="263">
        <f>IF(N312="zákl. přenesená",J312,0)</f>
        <v>0</v>
      </c>
      <c r="BH312" s="263">
        <f>IF(N312="sníž. přenesená",J312,0)</f>
        <v>0</v>
      </c>
      <c r="BI312" s="263">
        <f>IF(N312="nulová",J312,0)</f>
        <v>0</v>
      </c>
      <c r="BJ312" s="183" t="s">
        <v>186</v>
      </c>
      <c r="BK312" s="263">
        <f>ROUND(I312*H312,2)</f>
        <v>0</v>
      </c>
      <c r="BL312" s="183" t="s">
        <v>192</v>
      </c>
      <c r="BM312" s="262" t="s">
        <v>833</v>
      </c>
    </row>
    <row r="313" spans="2:65" s="190" customFormat="1" ht="21.75" customHeight="1" x14ac:dyDescent="0.2">
      <c r="B313" s="191"/>
      <c r="C313" s="252" t="s">
        <v>834</v>
      </c>
      <c r="D313" s="252" t="s">
        <v>187</v>
      </c>
      <c r="E313" s="253" t="s">
        <v>835</v>
      </c>
      <c r="F313" s="254" t="s">
        <v>836</v>
      </c>
      <c r="G313" s="255" t="s">
        <v>228</v>
      </c>
      <c r="H313" s="256">
        <v>0.3</v>
      </c>
      <c r="I313" s="257"/>
      <c r="J313" s="257">
        <f>ROUND(I313*H313,2)</f>
        <v>0</v>
      </c>
      <c r="K313" s="254" t="s">
        <v>129</v>
      </c>
      <c r="L313" s="191"/>
      <c r="M313" s="258" t="s">
        <v>129</v>
      </c>
      <c r="N313" s="259" t="s">
        <v>144</v>
      </c>
      <c r="O313" s="260">
        <v>0</v>
      </c>
      <c r="P313" s="260">
        <f>O313*H313</f>
        <v>0</v>
      </c>
      <c r="Q313" s="260">
        <v>0</v>
      </c>
      <c r="R313" s="260">
        <f>Q313*H313</f>
        <v>0</v>
      </c>
      <c r="S313" s="260">
        <v>0</v>
      </c>
      <c r="T313" s="261">
        <f>S313*H313</f>
        <v>0</v>
      </c>
      <c r="AR313" s="262" t="s">
        <v>205</v>
      </c>
      <c r="AT313" s="262" t="s">
        <v>187</v>
      </c>
      <c r="AU313" s="262" t="s">
        <v>123</v>
      </c>
      <c r="AY313" s="183" t="s">
        <v>183</v>
      </c>
      <c r="BE313" s="263">
        <f>IF(N313="základní",J313,0)</f>
        <v>0</v>
      </c>
      <c r="BF313" s="263">
        <f>IF(N313="snížená",J313,0)</f>
        <v>0</v>
      </c>
      <c r="BG313" s="263">
        <f>IF(N313="zákl. přenesená",J313,0)</f>
        <v>0</v>
      </c>
      <c r="BH313" s="263">
        <f>IF(N313="sníž. přenesená",J313,0)</f>
        <v>0</v>
      </c>
      <c r="BI313" s="263">
        <f>IF(N313="nulová",J313,0)</f>
        <v>0</v>
      </c>
      <c r="BJ313" s="183" t="s">
        <v>186</v>
      </c>
      <c r="BK313" s="263">
        <f>ROUND(I313*H313,2)</f>
        <v>0</v>
      </c>
      <c r="BL313" s="183" t="s">
        <v>205</v>
      </c>
      <c r="BM313" s="262" t="s">
        <v>837</v>
      </c>
    </row>
    <row r="314" spans="2:65" s="240" customFormat="1" ht="25.9" customHeight="1" x14ac:dyDescent="0.2">
      <c r="B314" s="241"/>
      <c r="D314" s="242" t="s">
        <v>180</v>
      </c>
      <c r="E314" s="243" t="s">
        <v>838</v>
      </c>
      <c r="F314" s="243" t="s">
        <v>839</v>
      </c>
      <c r="J314" s="244">
        <f>BK314</f>
        <v>0</v>
      </c>
      <c r="L314" s="241"/>
      <c r="M314" s="245"/>
      <c r="P314" s="246">
        <f>P315</f>
        <v>0</v>
      </c>
      <c r="R314" s="246">
        <f>R315</f>
        <v>0</v>
      </c>
      <c r="T314" s="247">
        <f>T315</f>
        <v>0</v>
      </c>
      <c r="AR314" s="242" t="s">
        <v>209</v>
      </c>
      <c r="AT314" s="248" t="s">
        <v>180</v>
      </c>
      <c r="AU314" s="248" t="s">
        <v>182</v>
      </c>
      <c r="AY314" s="242" t="s">
        <v>183</v>
      </c>
      <c r="BK314" s="249">
        <f>BK315</f>
        <v>0</v>
      </c>
    </row>
    <row r="315" spans="2:65" s="240" customFormat="1" ht="22.9" customHeight="1" x14ac:dyDescent="0.2">
      <c r="B315" s="241"/>
      <c r="D315" s="242" t="s">
        <v>180</v>
      </c>
      <c r="E315" s="250" t="s">
        <v>840</v>
      </c>
      <c r="F315" s="250" t="s">
        <v>841</v>
      </c>
      <c r="J315" s="251">
        <f>BK315</f>
        <v>0</v>
      </c>
      <c r="L315" s="241"/>
      <c r="M315" s="245"/>
      <c r="P315" s="246">
        <f>SUM(P316:P317)</f>
        <v>0</v>
      </c>
      <c r="R315" s="246">
        <f>SUM(R316:R317)</f>
        <v>0</v>
      </c>
      <c r="T315" s="247">
        <f>SUM(T316:T317)</f>
        <v>0</v>
      </c>
      <c r="AR315" s="242" t="s">
        <v>209</v>
      </c>
      <c r="AT315" s="248" t="s">
        <v>180</v>
      </c>
      <c r="AU315" s="248" t="s">
        <v>186</v>
      </c>
      <c r="AY315" s="242" t="s">
        <v>183</v>
      </c>
      <c r="BK315" s="249">
        <f>SUM(BK316:BK317)</f>
        <v>0</v>
      </c>
    </row>
    <row r="316" spans="2:65" s="190" customFormat="1" ht="37.9" customHeight="1" x14ac:dyDescent="0.2">
      <c r="B316" s="191"/>
      <c r="C316" s="252" t="s">
        <v>842</v>
      </c>
      <c r="D316" s="252" t="s">
        <v>187</v>
      </c>
      <c r="E316" s="253" t="s">
        <v>843</v>
      </c>
      <c r="F316" s="254" t="s">
        <v>844</v>
      </c>
      <c r="G316" s="255" t="s">
        <v>845</v>
      </c>
      <c r="H316" s="256">
        <v>1</v>
      </c>
      <c r="I316" s="257"/>
      <c r="J316" s="257">
        <f>ROUND(I316*H316,2)</f>
        <v>0</v>
      </c>
      <c r="K316" s="254" t="s">
        <v>191</v>
      </c>
      <c r="L316" s="191"/>
      <c r="M316" s="258" t="s">
        <v>129</v>
      </c>
      <c r="N316" s="259" t="s">
        <v>144</v>
      </c>
      <c r="O316" s="260">
        <v>0</v>
      </c>
      <c r="P316" s="260">
        <f>O316*H316</f>
        <v>0</v>
      </c>
      <c r="Q316" s="260">
        <v>0</v>
      </c>
      <c r="R316" s="260">
        <f>Q316*H316</f>
        <v>0</v>
      </c>
      <c r="S316" s="260">
        <v>0</v>
      </c>
      <c r="T316" s="261">
        <f>S316*H316</f>
        <v>0</v>
      </c>
      <c r="AR316" s="262" t="s">
        <v>846</v>
      </c>
      <c r="AT316" s="262" t="s">
        <v>187</v>
      </c>
      <c r="AU316" s="262" t="s">
        <v>123</v>
      </c>
      <c r="AY316" s="183" t="s">
        <v>183</v>
      </c>
      <c r="BE316" s="263">
        <f>IF(N316="základní",J316,0)</f>
        <v>0</v>
      </c>
      <c r="BF316" s="263">
        <f>IF(N316="snížená",J316,0)</f>
        <v>0</v>
      </c>
      <c r="BG316" s="263">
        <f>IF(N316="zákl. přenesená",J316,0)</f>
        <v>0</v>
      </c>
      <c r="BH316" s="263">
        <f>IF(N316="sníž. přenesená",J316,0)</f>
        <v>0</v>
      </c>
      <c r="BI316" s="263">
        <f>IF(N316="nulová",J316,0)</f>
        <v>0</v>
      </c>
      <c r="BJ316" s="183" t="s">
        <v>186</v>
      </c>
      <c r="BK316" s="263">
        <f>ROUND(I316*H316,2)</f>
        <v>0</v>
      </c>
      <c r="BL316" s="183" t="s">
        <v>846</v>
      </c>
      <c r="BM316" s="262" t="s">
        <v>847</v>
      </c>
    </row>
    <row r="317" spans="2:65" s="190" customFormat="1" x14ac:dyDescent="0.2">
      <c r="B317" s="191"/>
      <c r="D317" s="264" t="s">
        <v>194</v>
      </c>
      <c r="F317" s="265" t="s">
        <v>848</v>
      </c>
      <c r="L317" s="191"/>
      <c r="M317" s="279"/>
      <c r="N317" s="280"/>
      <c r="O317" s="280"/>
      <c r="P317" s="280"/>
      <c r="Q317" s="280"/>
      <c r="R317" s="280"/>
      <c r="S317" s="280"/>
      <c r="T317" s="281"/>
      <c r="AT317" s="183" t="s">
        <v>194</v>
      </c>
      <c r="AU317" s="183" t="s">
        <v>123</v>
      </c>
    </row>
    <row r="318" spans="2:65" s="190" customFormat="1" ht="6.95" customHeight="1" x14ac:dyDescent="0.2">
      <c r="B318" s="210"/>
      <c r="C318" s="211"/>
      <c r="D318" s="211"/>
      <c r="E318" s="211"/>
      <c r="F318" s="211"/>
      <c r="G318" s="211"/>
      <c r="H318" s="211"/>
      <c r="I318" s="211"/>
      <c r="J318" s="211"/>
      <c r="K318" s="211"/>
      <c r="L318" s="191"/>
    </row>
  </sheetData>
  <mergeCells count="9">
    <mergeCell ref="E50:H50"/>
    <mergeCell ref="E81:H81"/>
    <mergeCell ref="E83:H83"/>
    <mergeCell ref="L2:V2"/>
    <mergeCell ref="E7:H7"/>
    <mergeCell ref="E9:H9"/>
    <mergeCell ref="E18:H18"/>
    <mergeCell ref="E27:H27"/>
    <mergeCell ref="E48:H48"/>
  </mergeCells>
  <hyperlinks>
    <hyperlink ref="F95" r:id="rId1" xr:uid="{19AA7E9F-D29E-482F-882B-24719BC06342}"/>
    <hyperlink ref="F104" r:id="rId2" xr:uid="{96573A88-5BFA-4A1A-B5F1-D43598147C74}"/>
    <hyperlink ref="F107" r:id="rId3" xr:uid="{7299137D-0A4C-48D9-AABA-23DD742A22B6}"/>
    <hyperlink ref="F109" r:id="rId4" xr:uid="{4AA6B93F-3A4E-4047-BFD6-E9304492AB7F}"/>
    <hyperlink ref="F111" r:id="rId5" xr:uid="{F6603413-7A12-4503-877F-5A5B3D964283}"/>
    <hyperlink ref="F113" r:id="rId6" xr:uid="{E2D84C05-1131-4CF9-AAC0-B8EF42730BEE}"/>
    <hyperlink ref="F115" r:id="rId7" xr:uid="{8856B493-D6C4-42A6-92EF-C651AE3183DC}"/>
    <hyperlink ref="F117" r:id="rId8" xr:uid="{0D8ED424-3D6C-43C6-A593-A7F6C025FEF2}"/>
    <hyperlink ref="F122" r:id="rId9" xr:uid="{E2561F83-CD14-4A71-8ABC-C0B0982886F6}"/>
    <hyperlink ref="F136" r:id="rId10" xr:uid="{2B40CA83-3D8B-4548-8B7F-86AF76B18BB8}"/>
    <hyperlink ref="F140" r:id="rId11" xr:uid="{6A2E3F09-0E21-480D-8A07-5BF324821C10}"/>
    <hyperlink ref="F143" r:id="rId12" xr:uid="{090106D4-B63A-4982-8FF9-27284D2040B8}"/>
    <hyperlink ref="F146" r:id="rId13" xr:uid="{092C9F50-E1AB-4685-8942-1DBA8BD27994}"/>
    <hyperlink ref="F148" r:id="rId14" xr:uid="{3879C2C3-8C39-435C-AA09-33D7A482C33D}"/>
    <hyperlink ref="F150" r:id="rId15" xr:uid="{FAF05850-127E-463D-9FE5-6B78751586A3}"/>
    <hyperlink ref="F164" r:id="rId16" xr:uid="{311FC910-5C79-4F13-BBE7-3210E020FEFD}"/>
    <hyperlink ref="F167" r:id="rId17" xr:uid="{8106CF58-DCE1-4937-BEBE-908A50A86783}"/>
    <hyperlink ref="F169" r:id="rId18" xr:uid="{E60C3EA1-E81D-4425-AC90-2B9A878CDA41}"/>
    <hyperlink ref="F171" r:id="rId19" xr:uid="{6F7DAECB-FC4C-40E8-8955-C415380D4B16}"/>
    <hyperlink ref="F173" r:id="rId20" xr:uid="{E313BDA4-B0A8-480D-B572-9ACF814FFAEE}"/>
    <hyperlink ref="F175" r:id="rId21" xr:uid="{E0E9569B-24FE-4C64-8D65-29842C7B8A28}"/>
    <hyperlink ref="F177" r:id="rId22" xr:uid="{ED3DFCEC-A554-4EC6-8AE3-4BCF1D2C5114}"/>
    <hyperlink ref="F179" r:id="rId23" xr:uid="{182E85A9-7FC3-44A4-98E4-74285C09CC69}"/>
    <hyperlink ref="F181" r:id="rId24" xr:uid="{4B69D8C1-EF2C-418F-A2A0-588C12601464}"/>
    <hyperlink ref="F183" r:id="rId25" xr:uid="{7D4DE280-2D9A-4FEA-A587-084082F08F51}"/>
    <hyperlink ref="F185" r:id="rId26" xr:uid="{C7EEB010-3471-4B19-B94D-5F5F06F410B0}"/>
    <hyperlink ref="F187" r:id="rId27" xr:uid="{51B7B5C4-44AE-4CCA-8DCB-AF2993B618F9}"/>
    <hyperlink ref="F189" r:id="rId28" xr:uid="{CCEE1EBC-BE70-4C16-B61D-4AE29089CCB2}"/>
    <hyperlink ref="F191" r:id="rId29" xr:uid="{5C8FFA87-1DDD-4249-9CC2-F0C547B3A68A}"/>
    <hyperlink ref="F193" r:id="rId30" xr:uid="{3ADEFB8E-BEB0-4BC9-9B94-49D5D577F26B}"/>
    <hyperlink ref="F197" r:id="rId31" xr:uid="{0338F163-C830-4392-A62D-44F159E5910A}"/>
    <hyperlink ref="F200" r:id="rId32" xr:uid="{340A883A-C4DA-46BF-991F-276FF222A7BB}"/>
    <hyperlink ref="F206" r:id="rId33" xr:uid="{2F24303A-447D-44A6-9E11-532532C79CF4}"/>
    <hyperlink ref="F209" r:id="rId34" xr:uid="{46C19BD9-2C9D-4A70-9452-6B84FEFDE085}"/>
    <hyperlink ref="F213" r:id="rId35" xr:uid="{126394CE-FB30-47BD-92A8-7B938EF1ECD7}"/>
    <hyperlink ref="F215" r:id="rId36" xr:uid="{A31B52AB-2174-4BEA-972A-4E8671182379}"/>
    <hyperlink ref="F217" r:id="rId37" xr:uid="{160C3DD2-9A6D-47D5-9E61-A1F1AA385659}"/>
    <hyperlink ref="F219" r:id="rId38" xr:uid="{E823458A-3F25-4A47-A21E-374F1E370B19}"/>
    <hyperlink ref="F221" r:id="rId39" xr:uid="{3E11B6AB-B52E-40D2-9534-8B43A4E5E9F0}"/>
    <hyperlink ref="F223" r:id="rId40" xr:uid="{F14D3026-8239-4C11-B783-2EB2CC52858A}"/>
    <hyperlink ref="F225" r:id="rId41" xr:uid="{7437F279-FA74-43EB-B0F0-8D5407212A40}"/>
    <hyperlink ref="F227" r:id="rId42" xr:uid="{AA9448B6-76A9-45BF-9E0A-D70A8F7F4D45}"/>
    <hyperlink ref="F229" r:id="rId43" xr:uid="{A44A56A4-4BFD-439E-B533-98EECFDAD75C}"/>
    <hyperlink ref="F231" r:id="rId44" xr:uid="{6502BBAE-C897-45A6-B21D-06CE65740CB0}"/>
    <hyperlink ref="F233" r:id="rId45" xr:uid="{416F1BC3-ECBB-47E3-8DFE-8AB3EA73B038}"/>
    <hyperlink ref="F235" r:id="rId46" xr:uid="{7939138F-E5F0-497A-99B8-D1B22712D310}"/>
    <hyperlink ref="F237" r:id="rId47" xr:uid="{4239BB93-1B2E-4E41-B62C-B63965A99485}"/>
    <hyperlink ref="F239" r:id="rId48" xr:uid="{B7E77955-C47C-46D6-B5FF-8C238D37E5D9}"/>
    <hyperlink ref="F241" r:id="rId49" xr:uid="{11CC1E5B-6169-499A-BD78-C04359E4BA03}"/>
    <hyperlink ref="F244" r:id="rId50" xr:uid="{8DD7A503-DF3C-4A3C-9946-8CC77B3F96A3}"/>
    <hyperlink ref="F246" r:id="rId51" xr:uid="{468B0FF8-44C3-4068-B2F1-4E44AC5BA4A6}"/>
    <hyperlink ref="F248" r:id="rId52" xr:uid="{2046E157-E48E-4459-B387-14E219250C74}"/>
    <hyperlink ref="F250" r:id="rId53" xr:uid="{551A4CAD-0E11-4F9E-B3D7-38ED9D540E6E}"/>
    <hyperlink ref="F252" r:id="rId54" xr:uid="{BEACEBA3-0907-4550-BB43-DD50EDCBF242}"/>
    <hyperlink ref="F254" r:id="rId55" xr:uid="{30A4F537-5A09-4239-BD72-5D0B131CCB18}"/>
    <hyperlink ref="F256" r:id="rId56" xr:uid="{AD387C79-13E9-4EAC-9746-B6BE28213434}"/>
    <hyperlink ref="F258" r:id="rId57" xr:uid="{66BA30C8-F86D-4625-8C15-264D14A07F1F}"/>
    <hyperlink ref="F260" r:id="rId58" xr:uid="{98057E35-E2ED-4949-B8E1-B8DC4264F922}"/>
    <hyperlink ref="F267" r:id="rId59" xr:uid="{D547538D-9A6E-4C76-9A87-3F16FFC2C73F}"/>
    <hyperlink ref="F270" r:id="rId60" xr:uid="{2F1B325E-31BD-4A1F-842D-DD4C9C5CB496}"/>
    <hyperlink ref="F272" r:id="rId61" xr:uid="{F486E3DE-36C6-48C7-BA0E-580E4D8851A7}"/>
    <hyperlink ref="F284" r:id="rId62" xr:uid="{7D1FA349-598B-4783-8DE5-62D18E11F6D8}"/>
    <hyperlink ref="F287" r:id="rId63" xr:uid="{5319D14F-1BB1-420F-9752-BB7088380947}"/>
    <hyperlink ref="F289" r:id="rId64" xr:uid="{8B439DFF-C060-4388-B0DE-874448AF1F1B}"/>
    <hyperlink ref="F291" r:id="rId65" xr:uid="{49D1EE68-A32C-4E7B-87F4-C260403D114C}"/>
    <hyperlink ref="F293" r:id="rId66" xr:uid="{EE491BA7-6832-4873-8678-8F2E075ACFF3}"/>
    <hyperlink ref="F296" r:id="rId67" xr:uid="{4DC0516E-7EDE-4C91-AE34-8AEA454F58E2}"/>
    <hyperlink ref="F298" r:id="rId68" xr:uid="{72B9E5F1-D1CA-41AC-B5D6-339A7696FDDB}"/>
    <hyperlink ref="F300" r:id="rId69" xr:uid="{F1F2115B-061D-4388-95A0-7813EC50E2CD}"/>
    <hyperlink ref="F302" r:id="rId70" xr:uid="{DC70905D-2C04-446F-ABD1-DE90372B7E23}"/>
    <hyperlink ref="F307" r:id="rId71" xr:uid="{42E2C19D-8C9A-49D7-B5E0-F5613C79EC77}"/>
    <hyperlink ref="F317" r:id="rId72" xr:uid="{FBBEADA1-ADA2-4144-B326-32C2498BD16E}"/>
  </hyperlinks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79D010-F008-41E6-9996-BFA2DDD6D826}">
  <dimension ref="A1:H109"/>
  <sheetViews>
    <sheetView workbookViewId="0">
      <selection activeCell="G83" sqref="G83"/>
    </sheetView>
  </sheetViews>
  <sheetFormatPr defaultRowHeight="12.75" x14ac:dyDescent="0.2"/>
  <cols>
    <col min="1" max="1" width="67.7109375" style="284" customWidth="1"/>
    <col min="4" max="4" width="14" style="282" customWidth="1"/>
    <col min="5" max="5" width="13.7109375" style="282" bestFit="1" customWidth="1"/>
    <col min="6" max="6" width="18" style="282" customWidth="1"/>
    <col min="7" max="7" width="14.28515625" style="282" customWidth="1"/>
    <col min="8" max="8" width="14.42578125" style="283" customWidth="1"/>
  </cols>
  <sheetData>
    <row r="1" spans="1:6" x14ac:dyDescent="0.2">
      <c r="A1" s="284" t="s">
        <v>1020</v>
      </c>
    </row>
    <row r="2" spans="1:6" ht="15" x14ac:dyDescent="0.25">
      <c r="A2" s="285" t="s">
        <v>849</v>
      </c>
      <c r="B2" s="286" t="s">
        <v>850</v>
      </c>
      <c r="C2" s="286"/>
      <c r="D2" s="287"/>
      <c r="F2" s="288"/>
    </row>
    <row r="3" spans="1:6" ht="15.75" x14ac:dyDescent="0.25">
      <c r="A3" s="289" t="s">
        <v>1021</v>
      </c>
      <c r="B3">
        <v>1</v>
      </c>
      <c r="E3" s="282">
        <v>0</v>
      </c>
    </row>
    <row r="4" spans="1:6" ht="15.75" x14ac:dyDescent="0.25">
      <c r="A4" s="289" t="s">
        <v>1022</v>
      </c>
      <c r="B4">
        <v>1</v>
      </c>
      <c r="E4" s="282">
        <v>0</v>
      </c>
    </row>
    <row r="5" spans="1:6" ht="15.75" x14ac:dyDescent="0.25">
      <c r="A5" s="289" t="s">
        <v>1023</v>
      </c>
      <c r="B5">
        <v>1</v>
      </c>
      <c r="E5" s="282">
        <v>0</v>
      </c>
    </row>
    <row r="6" spans="1:6" ht="16.5" thickBot="1" x14ac:dyDescent="0.3">
      <c r="A6" s="289" t="s">
        <v>1024</v>
      </c>
      <c r="B6">
        <v>1</v>
      </c>
      <c r="E6" s="282">
        <v>0</v>
      </c>
    </row>
    <row r="7" spans="1:6" ht="16.5" thickBot="1" x14ac:dyDescent="0.3">
      <c r="A7" s="290"/>
      <c r="B7" s="291"/>
      <c r="C7" s="291"/>
      <c r="D7" s="292"/>
      <c r="E7" s="293">
        <f>SUM(E3:E6)</f>
        <v>0</v>
      </c>
      <c r="F7" s="294"/>
    </row>
    <row r="9" spans="1:6" ht="15" x14ac:dyDescent="0.25">
      <c r="A9" s="285" t="s">
        <v>1025</v>
      </c>
      <c r="B9" s="286" t="s">
        <v>850</v>
      </c>
      <c r="C9" s="286"/>
    </row>
    <row r="10" spans="1:6" x14ac:dyDescent="0.2">
      <c r="A10" s="295" t="s">
        <v>1026</v>
      </c>
      <c r="B10" s="296">
        <v>1</v>
      </c>
      <c r="C10" s="296"/>
      <c r="D10" s="282">
        <v>0</v>
      </c>
      <c r="E10" s="282">
        <f t="shared" ref="E10:E11" si="0">8*D10</f>
        <v>0</v>
      </c>
    </row>
    <row r="11" spans="1:6" x14ac:dyDescent="0.2">
      <c r="A11" s="295" t="s">
        <v>1027</v>
      </c>
      <c r="B11" s="296">
        <v>1</v>
      </c>
      <c r="C11" s="296"/>
      <c r="D11" s="282">
        <v>0</v>
      </c>
      <c r="E11" s="282">
        <f t="shared" si="0"/>
        <v>0</v>
      </c>
    </row>
    <row r="12" spans="1:6" x14ac:dyDescent="0.2">
      <c r="A12" s="295" t="s">
        <v>1028</v>
      </c>
      <c r="B12" s="296">
        <v>8</v>
      </c>
      <c r="C12" s="296"/>
      <c r="D12" s="282">
        <v>0</v>
      </c>
      <c r="E12" s="282">
        <f>8*D12</f>
        <v>0</v>
      </c>
    </row>
    <row r="13" spans="1:6" x14ac:dyDescent="0.2">
      <c r="A13" s="295" t="s">
        <v>1029</v>
      </c>
      <c r="B13" s="296">
        <v>1</v>
      </c>
      <c r="C13" s="296"/>
      <c r="D13" s="282">
        <v>0</v>
      </c>
      <c r="E13" s="282">
        <f t="shared" ref="E13:E17" si="1">8*D13</f>
        <v>0</v>
      </c>
    </row>
    <row r="14" spans="1:6" x14ac:dyDescent="0.2">
      <c r="A14" s="295" t="s">
        <v>1030</v>
      </c>
      <c r="B14" s="296">
        <v>2</v>
      </c>
      <c r="C14" s="296"/>
      <c r="D14" s="282">
        <v>0</v>
      </c>
      <c r="E14" s="282">
        <f t="shared" si="1"/>
        <v>0</v>
      </c>
    </row>
    <row r="15" spans="1:6" x14ac:dyDescent="0.2">
      <c r="A15" s="295" t="s">
        <v>1031</v>
      </c>
      <c r="B15" s="296">
        <v>1</v>
      </c>
      <c r="C15" s="296"/>
      <c r="D15" s="282">
        <v>0</v>
      </c>
      <c r="E15" s="282">
        <f t="shared" si="1"/>
        <v>0</v>
      </c>
    </row>
    <row r="16" spans="1:6" x14ac:dyDescent="0.2">
      <c r="A16" s="295" t="s">
        <v>1032</v>
      </c>
      <c r="B16" s="296">
        <v>3</v>
      </c>
      <c r="C16" s="296"/>
      <c r="D16" s="282">
        <v>0</v>
      </c>
      <c r="E16" s="282">
        <f t="shared" si="1"/>
        <v>0</v>
      </c>
    </row>
    <row r="17" spans="1:7" ht="13.5" thickBot="1" x14ac:dyDescent="0.25">
      <c r="A17" s="295" t="s">
        <v>1033</v>
      </c>
      <c r="B17" s="296">
        <v>5</v>
      </c>
      <c r="C17" s="296"/>
      <c r="D17" s="282">
        <v>0</v>
      </c>
      <c r="E17" s="282">
        <f t="shared" si="1"/>
        <v>0</v>
      </c>
    </row>
    <row r="18" spans="1:7" ht="15.75" thickBot="1" x14ac:dyDescent="0.3">
      <c r="A18" s="297"/>
      <c r="B18" s="291"/>
      <c r="C18" s="291"/>
      <c r="D18" s="292"/>
      <c r="E18" s="293">
        <f>E10+E11+E12+E13+E14+E15+E16+E17</f>
        <v>0</v>
      </c>
    </row>
    <row r="20" spans="1:7" ht="15" x14ac:dyDescent="0.25">
      <c r="A20" s="285" t="s">
        <v>851</v>
      </c>
      <c r="B20" s="286" t="s">
        <v>852</v>
      </c>
      <c r="C20" s="286" t="s">
        <v>853</v>
      </c>
      <c r="D20" s="286" t="s">
        <v>854</v>
      </c>
      <c r="E20" s="286" t="s">
        <v>850</v>
      </c>
    </row>
    <row r="21" spans="1:7" ht="15" x14ac:dyDescent="0.25">
      <c r="A21" s="295"/>
      <c r="B21" s="298">
        <v>50</v>
      </c>
      <c r="C21" s="298" t="s">
        <v>855</v>
      </c>
      <c r="D21" s="299">
        <v>3</v>
      </c>
      <c r="E21" s="296">
        <v>2</v>
      </c>
      <c r="F21" s="282">
        <v>0</v>
      </c>
      <c r="G21" s="282">
        <f>F21*E21</f>
        <v>0</v>
      </c>
    </row>
    <row r="22" spans="1:7" ht="15" x14ac:dyDescent="0.25">
      <c r="A22" s="300"/>
      <c r="B22" s="298">
        <v>10</v>
      </c>
      <c r="C22" s="298" t="s">
        <v>855</v>
      </c>
      <c r="D22" s="299">
        <v>3</v>
      </c>
      <c r="E22" s="296">
        <v>2</v>
      </c>
      <c r="F22" s="282">
        <v>0</v>
      </c>
      <c r="G22" s="282">
        <f t="shared" ref="G22:G28" si="2">F22*E22</f>
        <v>0</v>
      </c>
    </row>
    <row r="23" spans="1:7" ht="15" x14ac:dyDescent="0.25">
      <c r="A23" s="300"/>
      <c r="B23" s="298">
        <v>16</v>
      </c>
      <c r="C23" s="298" t="s">
        <v>855</v>
      </c>
      <c r="D23" s="299">
        <v>1</v>
      </c>
      <c r="E23" s="296">
        <v>3</v>
      </c>
      <c r="F23" s="282">
        <v>0</v>
      </c>
      <c r="G23" s="282">
        <f t="shared" si="2"/>
        <v>0</v>
      </c>
    </row>
    <row r="24" spans="1:7" x14ac:dyDescent="0.2">
      <c r="A24" s="295"/>
      <c r="B24" s="298">
        <v>10</v>
      </c>
      <c r="C24" s="298" t="s">
        <v>855</v>
      </c>
      <c r="D24" s="298">
        <v>1</v>
      </c>
      <c r="E24" s="296">
        <v>1</v>
      </c>
      <c r="F24" s="282">
        <v>0</v>
      </c>
      <c r="G24" s="282">
        <f t="shared" si="2"/>
        <v>0</v>
      </c>
    </row>
    <row r="25" spans="1:7" x14ac:dyDescent="0.2">
      <c r="A25" s="295"/>
      <c r="B25" s="298">
        <v>6</v>
      </c>
      <c r="C25" s="298" t="s">
        <v>855</v>
      </c>
      <c r="D25" s="298">
        <v>1</v>
      </c>
      <c r="E25" s="296">
        <v>4</v>
      </c>
      <c r="F25" s="282">
        <v>0</v>
      </c>
      <c r="G25" s="282">
        <f t="shared" si="2"/>
        <v>0</v>
      </c>
    </row>
    <row r="26" spans="1:7" x14ac:dyDescent="0.2">
      <c r="A26" s="295"/>
      <c r="B26" s="298">
        <v>4</v>
      </c>
      <c r="C26" s="298" t="s">
        <v>855</v>
      </c>
      <c r="D26" s="298">
        <v>1</v>
      </c>
      <c r="E26" s="296">
        <v>7</v>
      </c>
      <c r="F26" s="282">
        <v>0</v>
      </c>
      <c r="G26" s="282">
        <f t="shared" si="2"/>
        <v>0</v>
      </c>
    </row>
    <row r="27" spans="1:7" ht="15" x14ac:dyDescent="0.25">
      <c r="A27" s="300"/>
      <c r="B27" s="298">
        <v>2</v>
      </c>
      <c r="C27" s="298" t="s">
        <v>855</v>
      </c>
      <c r="D27" s="298">
        <v>1</v>
      </c>
      <c r="E27" s="296">
        <v>3</v>
      </c>
      <c r="F27" s="282">
        <v>0</v>
      </c>
      <c r="G27" s="282">
        <f t="shared" si="2"/>
        <v>0</v>
      </c>
    </row>
    <row r="28" spans="1:7" ht="15.75" thickBot="1" x14ac:dyDescent="0.3">
      <c r="A28" s="300"/>
      <c r="B28" s="298">
        <v>1</v>
      </c>
      <c r="C28" s="298" t="s">
        <v>855</v>
      </c>
      <c r="D28" s="298">
        <v>1</v>
      </c>
      <c r="E28" s="296">
        <v>1</v>
      </c>
      <c r="F28" s="282">
        <v>0</v>
      </c>
      <c r="G28" s="282">
        <f t="shared" si="2"/>
        <v>0</v>
      </c>
    </row>
    <row r="29" spans="1:7" ht="15.75" thickBot="1" x14ac:dyDescent="0.3">
      <c r="A29" s="297"/>
      <c r="B29" s="291"/>
      <c r="C29" s="291"/>
      <c r="D29" s="292"/>
      <c r="E29" s="292"/>
      <c r="F29" s="292"/>
      <c r="G29" s="293">
        <f>SUM(G21:G28)</f>
        <v>0</v>
      </c>
    </row>
    <row r="31" spans="1:7" ht="13.5" thickBot="1" x14ac:dyDescent="0.25">
      <c r="B31" s="10"/>
      <c r="C31" s="10"/>
      <c r="D31" s="10"/>
      <c r="E31" s="286" t="s">
        <v>850</v>
      </c>
    </row>
    <row r="32" spans="1:7" ht="15.75" thickBot="1" x14ac:dyDescent="0.3">
      <c r="A32" s="301" t="s">
        <v>856</v>
      </c>
      <c r="B32" s="302" t="s">
        <v>857</v>
      </c>
      <c r="C32" s="302"/>
      <c r="D32" s="302"/>
      <c r="E32" s="303">
        <v>2</v>
      </c>
      <c r="F32" s="282">
        <v>0</v>
      </c>
      <c r="G32" s="293">
        <f>F32*E32</f>
        <v>0</v>
      </c>
    </row>
    <row r="33" spans="1:7" ht="13.5" thickBot="1" x14ac:dyDescent="0.25"/>
    <row r="34" spans="1:7" ht="15.75" thickBot="1" x14ac:dyDescent="0.3">
      <c r="A34" s="301" t="s">
        <v>858</v>
      </c>
      <c r="B34" s="302"/>
      <c r="C34" s="302"/>
      <c r="D34" s="302"/>
      <c r="E34" s="303" t="s">
        <v>859</v>
      </c>
      <c r="G34" s="304">
        <v>0</v>
      </c>
    </row>
    <row r="36" spans="1:7" ht="15" x14ac:dyDescent="0.25">
      <c r="A36" s="285" t="s">
        <v>860</v>
      </c>
      <c r="B36" s="286"/>
      <c r="C36" s="286"/>
      <c r="D36" s="286"/>
      <c r="E36" s="286" t="s">
        <v>850</v>
      </c>
    </row>
    <row r="37" spans="1:7" x14ac:dyDescent="0.2">
      <c r="A37" s="295" t="s">
        <v>861</v>
      </c>
      <c r="B37" s="298"/>
      <c r="C37" s="298"/>
      <c r="D37" s="298"/>
      <c r="E37" s="296">
        <v>5</v>
      </c>
      <c r="F37" s="282">
        <v>0</v>
      </c>
      <c r="G37" s="282">
        <f>F37*E37</f>
        <v>0</v>
      </c>
    </row>
    <row r="38" spans="1:7" x14ac:dyDescent="0.2">
      <c r="A38" s="295" t="s">
        <v>862</v>
      </c>
      <c r="B38" s="298"/>
      <c r="C38" s="298"/>
      <c r="D38" s="298"/>
      <c r="E38" s="296">
        <v>12</v>
      </c>
      <c r="F38" s="282">
        <v>0</v>
      </c>
      <c r="G38" s="282">
        <f t="shared" ref="G38:G42" si="3">F38*E38</f>
        <v>0</v>
      </c>
    </row>
    <row r="39" spans="1:7" x14ac:dyDescent="0.2">
      <c r="A39" s="295" t="s">
        <v>863</v>
      </c>
      <c r="B39" s="298"/>
      <c r="C39" s="298"/>
      <c r="D39" s="298"/>
      <c r="E39" s="296">
        <v>10</v>
      </c>
      <c r="F39" s="282">
        <v>0</v>
      </c>
      <c r="G39" s="282">
        <f t="shared" si="3"/>
        <v>0</v>
      </c>
    </row>
    <row r="40" spans="1:7" x14ac:dyDescent="0.2">
      <c r="A40" s="295" t="s">
        <v>864</v>
      </c>
      <c r="B40" s="298"/>
      <c r="C40" s="298"/>
      <c r="D40" s="298"/>
      <c r="E40" s="296">
        <v>5</v>
      </c>
      <c r="F40" s="282">
        <v>0</v>
      </c>
      <c r="G40" s="282">
        <f t="shared" si="3"/>
        <v>0</v>
      </c>
    </row>
    <row r="41" spans="1:7" x14ac:dyDescent="0.2">
      <c r="A41" s="295" t="s">
        <v>865</v>
      </c>
      <c r="B41" s="298"/>
      <c r="C41" s="298"/>
      <c r="D41" s="298"/>
      <c r="E41" s="296">
        <v>8</v>
      </c>
      <c r="F41" s="282">
        <v>0</v>
      </c>
      <c r="G41" s="282">
        <f t="shared" si="3"/>
        <v>0</v>
      </c>
    </row>
    <row r="42" spans="1:7" ht="13.5" thickBot="1" x14ac:dyDescent="0.25">
      <c r="A42" s="295" t="s">
        <v>866</v>
      </c>
      <c r="B42" s="298"/>
      <c r="C42" s="298"/>
      <c r="D42" s="298"/>
      <c r="E42" s="296">
        <v>1</v>
      </c>
      <c r="F42" s="282">
        <v>0</v>
      </c>
      <c r="G42" s="282">
        <f t="shared" si="3"/>
        <v>0</v>
      </c>
    </row>
    <row r="43" spans="1:7" ht="15.75" thickBot="1" x14ac:dyDescent="0.3">
      <c r="A43" s="297"/>
      <c r="B43" s="305"/>
      <c r="C43" s="305"/>
      <c r="D43" s="305"/>
      <c r="E43" s="291"/>
      <c r="F43" s="292"/>
      <c r="G43" s="293">
        <f>SUM(G37:G42)</f>
        <v>0</v>
      </c>
    </row>
    <row r="45" spans="1:7" x14ac:dyDescent="0.2">
      <c r="A45" s="295" t="s">
        <v>867</v>
      </c>
      <c r="B45" s="298"/>
      <c r="C45" s="298"/>
      <c r="D45" s="298"/>
      <c r="E45" s="296">
        <v>6</v>
      </c>
      <c r="F45" s="282">
        <v>0</v>
      </c>
      <c r="G45" s="282">
        <f>F45*E45</f>
        <v>0</v>
      </c>
    </row>
    <row r="46" spans="1:7" x14ac:dyDescent="0.2">
      <c r="A46" s="295" t="s">
        <v>868</v>
      </c>
      <c r="B46" s="298"/>
      <c r="C46" s="298"/>
      <c r="D46" s="298"/>
      <c r="E46" s="296">
        <v>6</v>
      </c>
      <c r="F46" s="282">
        <v>0</v>
      </c>
      <c r="G46" s="282">
        <f>F46*E46</f>
        <v>0</v>
      </c>
    </row>
    <row r="47" spans="1:7" x14ac:dyDescent="0.2">
      <c r="A47" s="295" t="s">
        <v>869</v>
      </c>
      <c r="B47" s="298"/>
      <c r="C47" s="298"/>
      <c r="D47" s="298"/>
      <c r="E47" s="296">
        <v>2</v>
      </c>
      <c r="F47" s="282">
        <v>0</v>
      </c>
      <c r="G47" s="282">
        <f t="shared" ref="G47:G48" si="4">F47*E47</f>
        <v>0</v>
      </c>
    </row>
    <row r="48" spans="1:7" x14ac:dyDescent="0.2">
      <c r="A48" s="295" t="s">
        <v>870</v>
      </c>
      <c r="B48" s="298"/>
      <c r="C48" s="298"/>
      <c r="D48" s="298"/>
      <c r="E48" s="296">
        <v>1</v>
      </c>
      <c r="F48" s="282">
        <v>0</v>
      </c>
      <c r="G48" s="282">
        <f t="shared" si="4"/>
        <v>0</v>
      </c>
    </row>
    <row r="49" spans="1:8" x14ac:dyDescent="0.2">
      <c r="A49" s="295" t="s">
        <v>871</v>
      </c>
      <c r="B49" s="298"/>
      <c r="C49" s="298"/>
      <c r="D49" s="298"/>
      <c r="E49" s="296">
        <v>38</v>
      </c>
      <c r="F49" s="282">
        <v>0</v>
      </c>
      <c r="G49" s="282">
        <f>F49*E49</f>
        <v>0</v>
      </c>
    </row>
    <row r="50" spans="1:8" x14ac:dyDescent="0.2">
      <c r="A50" s="295" t="s">
        <v>872</v>
      </c>
      <c r="B50" s="298"/>
      <c r="C50" s="298"/>
      <c r="D50" s="298"/>
      <c r="E50" s="296">
        <v>4</v>
      </c>
      <c r="F50" s="282">
        <v>0</v>
      </c>
      <c r="G50" s="282">
        <f t="shared" ref="G50:G53" si="5">F50*E50</f>
        <v>0</v>
      </c>
    </row>
    <row r="51" spans="1:8" x14ac:dyDescent="0.2">
      <c r="A51" s="295" t="s">
        <v>873</v>
      </c>
      <c r="B51" s="298"/>
      <c r="C51" s="298"/>
      <c r="D51" s="298"/>
      <c r="E51" s="296">
        <v>4</v>
      </c>
      <c r="F51" s="282">
        <v>0</v>
      </c>
      <c r="G51" s="282">
        <f t="shared" si="5"/>
        <v>0</v>
      </c>
    </row>
    <row r="52" spans="1:8" x14ac:dyDescent="0.2">
      <c r="A52" s="295" t="s">
        <v>1034</v>
      </c>
      <c r="B52" s="298"/>
      <c r="C52" s="298"/>
      <c r="D52" s="298"/>
      <c r="E52" s="296">
        <v>16</v>
      </c>
      <c r="F52" s="282">
        <v>0</v>
      </c>
      <c r="G52" s="282">
        <f t="shared" si="5"/>
        <v>0</v>
      </c>
    </row>
    <row r="53" spans="1:8" ht="13.5" thickBot="1" x14ac:dyDescent="0.25">
      <c r="A53" s="295" t="s">
        <v>1035</v>
      </c>
      <c r="B53" s="298"/>
      <c r="C53" s="298"/>
      <c r="D53" s="298"/>
      <c r="E53" s="296">
        <v>10</v>
      </c>
      <c r="F53" s="282">
        <v>0</v>
      </c>
      <c r="G53" s="282">
        <f t="shared" si="5"/>
        <v>0</v>
      </c>
    </row>
    <row r="54" spans="1:8" ht="15.75" thickBot="1" x14ac:dyDescent="0.3">
      <c r="A54" s="297"/>
      <c r="B54" s="305"/>
      <c r="C54" s="305"/>
      <c r="D54" s="305"/>
      <c r="E54" s="291"/>
      <c r="F54" s="292"/>
      <c r="G54" s="293">
        <f>SUM(G45:G53)</f>
        <v>0</v>
      </c>
    </row>
    <row r="55" spans="1:8" x14ac:dyDescent="0.2">
      <c r="B55" s="10"/>
      <c r="C55" s="10"/>
      <c r="D55" s="10"/>
      <c r="E55"/>
    </row>
    <row r="56" spans="1:8" ht="15" x14ac:dyDescent="0.25">
      <c r="A56" s="306" t="s">
        <v>874</v>
      </c>
      <c r="B56" s="307"/>
      <c r="C56" s="307"/>
      <c r="D56" s="307"/>
      <c r="E56" s="308"/>
    </row>
    <row r="57" spans="1:8" x14ac:dyDescent="0.2">
      <c r="B57" s="309" t="s">
        <v>875</v>
      </c>
      <c r="C57" s="309" t="s">
        <v>853</v>
      </c>
      <c r="D57" s="309"/>
      <c r="E57" s="309" t="s">
        <v>850</v>
      </c>
    </row>
    <row r="58" spans="1:8" x14ac:dyDescent="0.2">
      <c r="A58" s="295"/>
      <c r="B58" s="298" t="s">
        <v>876</v>
      </c>
      <c r="C58" s="298"/>
      <c r="D58" s="298"/>
      <c r="E58" s="296">
        <v>7</v>
      </c>
      <c r="F58" s="282">
        <v>0</v>
      </c>
      <c r="G58" s="282">
        <f>F58*E58</f>
        <v>0</v>
      </c>
    </row>
    <row r="59" spans="1:8" x14ac:dyDescent="0.2">
      <c r="A59" s="295"/>
      <c r="B59" s="298" t="s">
        <v>877</v>
      </c>
      <c r="C59" s="298"/>
      <c r="D59" s="298"/>
      <c r="E59" s="296">
        <v>1</v>
      </c>
      <c r="G59" s="282">
        <f>F59*E59</f>
        <v>0</v>
      </c>
    </row>
    <row r="60" spans="1:8" x14ac:dyDescent="0.2">
      <c r="A60" s="295"/>
      <c r="B60" s="298" t="s">
        <v>878</v>
      </c>
      <c r="C60" s="298"/>
      <c r="D60" s="298"/>
      <c r="E60" s="296">
        <v>4</v>
      </c>
      <c r="F60" s="282">
        <v>0</v>
      </c>
      <c r="G60" s="282">
        <f>F60*E60</f>
        <v>0</v>
      </c>
    </row>
    <row r="61" spans="1:8" ht="13.5" thickBot="1" x14ac:dyDescent="0.25">
      <c r="A61" s="295"/>
      <c r="B61" s="298" t="s">
        <v>879</v>
      </c>
      <c r="C61" s="298"/>
      <c r="D61" s="298"/>
      <c r="E61" s="296">
        <v>3</v>
      </c>
      <c r="F61" s="282">
        <v>0</v>
      </c>
      <c r="G61" s="282">
        <f>F61*E61</f>
        <v>0</v>
      </c>
    </row>
    <row r="62" spans="1:8" ht="15.75" thickBot="1" x14ac:dyDescent="0.3">
      <c r="A62" s="297"/>
      <c r="B62" s="305"/>
      <c r="C62" s="305"/>
      <c r="D62" s="305"/>
      <c r="E62" s="291"/>
      <c r="F62" s="292"/>
      <c r="G62" s="293">
        <f>SUM(G58:G61)</f>
        <v>0</v>
      </c>
    </row>
    <row r="64" spans="1:8" x14ac:dyDescent="0.2">
      <c r="A64" s="295" t="s">
        <v>880</v>
      </c>
      <c r="B64" s="298"/>
      <c r="C64" s="298"/>
      <c r="D64" s="298"/>
      <c r="E64" s="296">
        <v>97</v>
      </c>
      <c r="F64" t="s">
        <v>881</v>
      </c>
      <c r="G64" s="282">
        <v>0</v>
      </c>
      <c r="H64" s="283">
        <f>G64*E64</f>
        <v>0</v>
      </c>
    </row>
    <row r="65" spans="1:8" x14ac:dyDescent="0.2">
      <c r="A65" s="295" t="s">
        <v>1036</v>
      </c>
      <c r="B65" s="298"/>
      <c r="C65" s="298"/>
      <c r="D65" s="298"/>
      <c r="E65" s="296">
        <v>4</v>
      </c>
      <c r="F65" t="s">
        <v>881</v>
      </c>
      <c r="G65" s="282">
        <v>0</v>
      </c>
      <c r="H65" s="283">
        <f>G65*E65</f>
        <v>0</v>
      </c>
    </row>
    <row r="66" spans="1:8" x14ac:dyDescent="0.2">
      <c r="A66" s="295" t="s">
        <v>1037</v>
      </c>
      <c r="B66" s="298"/>
      <c r="C66" s="298"/>
      <c r="D66" s="298"/>
      <c r="E66" s="296">
        <f>20+25+6+2</f>
        <v>53</v>
      </c>
      <c r="F66" t="s">
        <v>881</v>
      </c>
      <c r="G66" s="282">
        <v>0</v>
      </c>
      <c r="H66" s="283">
        <f>G66*E66</f>
        <v>0</v>
      </c>
    </row>
    <row r="67" spans="1:8" x14ac:dyDescent="0.2">
      <c r="A67" s="295" t="s">
        <v>882</v>
      </c>
      <c r="B67" s="298"/>
      <c r="C67" s="298"/>
      <c r="D67" s="298"/>
      <c r="E67" s="296">
        <v>4</v>
      </c>
      <c r="F67" t="s">
        <v>881</v>
      </c>
      <c r="G67" s="282">
        <v>0</v>
      </c>
      <c r="H67" s="283">
        <f>G67*E67</f>
        <v>0</v>
      </c>
    </row>
    <row r="68" spans="1:8" x14ac:dyDescent="0.2">
      <c r="A68" s="295" t="s">
        <v>883</v>
      </c>
      <c r="B68" s="298"/>
      <c r="C68" s="298"/>
      <c r="D68" s="298"/>
      <c r="E68" s="296">
        <v>5</v>
      </c>
      <c r="F68"/>
      <c r="G68" s="282">
        <v>0</v>
      </c>
      <c r="H68" s="283">
        <f t="shared" ref="H68:H78" si="6">G68*E68</f>
        <v>0</v>
      </c>
    </row>
    <row r="69" spans="1:8" x14ac:dyDescent="0.2">
      <c r="A69" s="295" t="s">
        <v>884</v>
      </c>
      <c r="B69" s="298"/>
      <c r="C69" s="298"/>
      <c r="D69" s="298"/>
      <c r="E69" s="296">
        <v>2</v>
      </c>
      <c r="F69"/>
      <c r="G69" s="282">
        <v>0</v>
      </c>
      <c r="H69" s="283">
        <f t="shared" si="6"/>
        <v>0</v>
      </c>
    </row>
    <row r="70" spans="1:8" x14ac:dyDescent="0.2">
      <c r="A70" s="295" t="s">
        <v>1038</v>
      </c>
      <c r="B70" s="298"/>
      <c r="C70" s="298"/>
      <c r="D70" s="298"/>
      <c r="E70" s="296">
        <v>1</v>
      </c>
      <c r="F70" t="s">
        <v>881</v>
      </c>
      <c r="G70" s="282">
        <v>0</v>
      </c>
      <c r="H70" s="283">
        <f t="shared" si="6"/>
        <v>0</v>
      </c>
    </row>
    <row r="71" spans="1:8" x14ac:dyDescent="0.2">
      <c r="A71" s="295" t="s">
        <v>885</v>
      </c>
      <c r="B71" s="298"/>
      <c r="C71" s="298"/>
      <c r="D71" s="298"/>
      <c r="E71" s="296">
        <v>6</v>
      </c>
      <c r="F71" t="s">
        <v>881</v>
      </c>
      <c r="G71" s="282">
        <v>0</v>
      </c>
      <c r="H71" s="283">
        <f t="shared" si="6"/>
        <v>0</v>
      </c>
    </row>
    <row r="72" spans="1:8" x14ac:dyDescent="0.2">
      <c r="A72" s="295" t="s">
        <v>886</v>
      </c>
      <c r="B72" s="298"/>
      <c r="C72" s="298"/>
      <c r="D72" s="298"/>
      <c r="E72" s="296">
        <v>1</v>
      </c>
      <c r="F72" t="s">
        <v>881</v>
      </c>
      <c r="G72" s="282">
        <v>0</v>
      </c>
      <c r="H72" s="283">
        <f t="shared" si="6"/>
        <v>0</v>
      </c>
    </row>
    <row r="73" spans="1:8" x14ac:dyDescent="0.2">
      <c r="A73" s="295" t="s">
        <v>887</v>
      </c>
      <c r="B73" s="298"/>
      <c r="C73" s="298"/>
      <c r="D73" s="298"/>
      <c r="E73" s="296">
        <v>2</v>
      </c>
      <c r="F73" t="s">
        <v>881</v>
      </c>
      <c r="G73" s="282">
        <v>0</v>
      </c>
      <c r="H73" s="283">
        <f t="shared" si="6"/>
        <v>0</v>
      </c>
    </row>
    <row r="74" spans="1:8" x14ac:dyDescent="0.2">
      <c r="A74" s="295" t="s">
        <v>888</v>
      </c>
      <c r="B74" s="298"/>
      <c r="C74" s="298"/>
      <c r="D74" s="298"/>
      <c r="E74" s="296">
        <v>1</v>
      </c>
      <c r="F74" t="s">
        <v>881</v>
      </c>
      <c r="G74" s="282">
        <v>0</v>
      </c>
      <c r="H74" s="283">
        <f t="shared" si="6"/>
        <v>0</v>
      </c>
    </row>
    <row r="75" spans="1:8" x14ac:dyDescent="0.2">
      <c r="A75" s="295" t="s">
        <v>889</v>
      </c>
      <c r="B75" s="298"/>
      <c r="C75" s="298"/>
      <c r="D75" s="298"/>
      <c r="E75" s="296">
        <v>1</v>
      </c>
      <c r="F75" t="s">
        <v>881</v>
      </c>
      <c r="G75" s="282">
        <v>0</v>
      </c>
      <c r="H75" s="283">
        <f t="shared" si="6"/>
        <v>0</v>
      </c>
    </row>
    <row r="76" spans="1:8" x14ac:dyDescent="0.2">
      <c r="A76" s="295" t="s">
        <v>890</v>
      </c>
      <c r="B76" s="298"/>
      <c r="C76" s="298"/>
      <c r="D76" s="298"/>
      <c r="E76" s="296">
        <v>3</v>
      </c>
      <c r="F76" t="s">
        <v>881</v>
      </c>
      <c r="G76" s="282">
        <v>0</v>
      </c>
      <c r="H76" s="283">
        <f t="shared" si="6"/>
        <v>0</v>
      </c>
    </row>
    <row r="77" spans="1:8" x14ac:dyDescent="0.2">
      <c r="A77" s="295" t="s">
        <v>891</v>
      </c>
      <c r="B77" s="296"/>
      <c r="C77" s="296"/>
      <c r="D77" s="298"/>
      <c r="E77" s="296">
        <v>4</v>
      </c>
      <c r="F77" s="310" t="s">
        <v>881</v>
      </c>
      <c r="G77" s="282">
        <v>0</v>
      </c>
      <c r="H77" s="283">
        <f t="shared" si="6"/>
        <v>0</v>
      </c>
    </row>
    <row r="78" spans="1:8" ht="13.5" thickBot="1" x14ac:dyDescent="0.25">
      <c r="A78" s="295" t="s">
        <v>1039</v>
      </c>
      <c r="B78" s="298"/>
      <c r="C78" s="298"/>
      <c r="D78" s="298"/>
      <c r="E78" s="296">
        <v>1</v>
      </c>
      <c r="F78" s="310" t="s">
        <v>881</v>
      </c>
      <c r="H78" s="283">
        <f t="shared" si="6"/>
        <v>0</v>
      </c>
    </row>
    <row r="79" spans="1:8" ht="15.75" thickBot="1" x14ac:dyDescent="0.3">
      <c r="A79" s="297"/>
      <c r="B79" s="305"/>
      <c r="C79" s="305"/>
      <c r="D79" s="305"/>
      <c r="E79" s="291"/>
      <c r="F79" s="311"/>
      <c r="G79" s="292"/>
      <c r="H79" s="312">
        <f>SUM(H64:H78)</f>
        <v>0</v>
      </c>
    </row>
    <row r="81" spans="1:8" x14ac:dyDescent="0.2">
      <c r="A81" s="295" t="s">
        <v>892</v>
      </c>
      <c r="B81" s="295"/>
      <c r="C81" s="295"/>
      <c r="D81" s="295"/>
      <c r="E81" s="313">
        <v>6</v>
      </c>
      <c r="F81" s="310" t="s">
        <v>190</v>
      </c>
      <c r="G81" s="282">
        <v>0</v>
      </c>
      <c r="H81" s="283">
        <f>G81*E81</f>
        <v>0</v>
      </c>
    </row>
    <row r="82" spans="1:8" x14ac:dyDescent="0.2">
      <c r="A82" s="295" t="s">
        <v>893</v>
      </c>
      <c r="B82" s="295"/>
      <c r="C82" s="295"/>
      <c r="D82" s="295"/>
      <c r="E82" s="313">
        <v>20</v>
      </c>
      <c r="F82" s="310" t="s">
        <v>190</v>
      </c>
      <c r="G82" s="282">
        <v>0</v>
      </c>
      <c r="H82" s="283">
        <f>G82*E82</f>
        <v>0</v>
      </c>
    </row>
    <row r="83" spans="1:8" ht="13.5" thickBot="1" x14ac:dyDescent="0.25">
      <c r="A83" s="314" t="s">
        <v>894</v>
      </c>
      <c r="B83" s="315"/>
      <c r="C83" s="315"/>
      <c r="D83" s="315"/>
      <c r="E83" s="316"/>
      <c r="F83" s="310" t="s">
        <v>190</v>
      </c>
      <c r="H83" s="283">
        <f>SUM(E84:E91)</f>
        <v>0</v>
      </c>
    </row>
    <row r="84" spans="1:8" ht="15.75" thickBot="1" x14ac:dyDescent="0.3">
      <c r="A84" s="317" t="s">
        <v>895</v>
      </c>
      <c r="B84" s="318">
        <f>2275+1200</f>
        <v>3475</v>
      </c>
      <c r="C84" s="318" t="s">
        <v>190</v>
      </c>
      <c r="D84" s="319">
        <v>0</v>
      </c>
      <c r="E84" s="320">
        <f>B84*D84</f>
        <v>0</v>
      </c>
      <c r="H84" s="312">
        <f>H81+H82+H83</f>
        <v>0</v>
      </c>
    </row>
    <row r="85" spans="1:8" ht="15" x14ac:dyDescent="0.25">
      <c r="A85" s="317" t="s">
        <v>896</v>
      </c>
      <c r="B85" s="318">
        <v>567</v>
      </c>
      <c r="C85" s="318" t="s">
        <v>190</v>
      </c>
      <c r="D85" s="319">
        <v>0</v>
      </c>
      <c r="E85" s="320">
        <f>B85*D85</f>
        <v>0</v>
      </c>
    </row>
    <row r="86" spans="1:8" ht="15" x14ac:dyDescent="0.25">
      <c r="A86" s="317" t="s">
        <v>897</v>
      </c>
      <c r="B86" s="318">
        <v>235</v>
      </c>
      <c r="C86" s="318" t="s">
        <v>190</v>
      </c>
      <c r="D86" s="319">
        <v>0</v>
      </c>
      <c r="E86" s="320">
        <f t="shared" ref="E86:E91" si="7">B86*D86</f>
        <v>0</v>
      </c>
    </row>
    <row r="87" spans="1:8" ht="15" x14ac:dyDescent="0.25">
      <c r="A87" s="317" t="s">
        <v>898</v>
      </c>
      <c r="B87" s="318">
        <v>25</v>
      </c>
      <c r="C87" s="318" t="s">
        <v>190</v>
      </c>
      <c r="D87" s="319">
        <v>0</v>
      </c>
      <c r="E87" s="320">
        <f t="shared" si="7"/>
        <v>0</v>
      </c>
    </row>
    <row r="88" spans="1:8" ht="15" x14ac:dyDescent="0.25">
      <c r="A88" s="317" t="s">
        <v>899</v>
      </c>
      <c r="B88" s="318">
        <v>260</v>
      </c>
      <c r="C88" s="318" t="s">
        <v>190</v>
      </c>
      <c r="D88" s="319">
        <v>0</v>
      </c>
      <c r="E88" s="320">
        <f t="shared" si="7"/>
        <v>0</v>
      </c>
    </row>
    <row r="89" spans="1:8" ht="15" x14ac:dyDescent="0.25">
      <c r="A89" s="317" t="s">
        <v>900</v>
      </c>
      <c r="B89" s="318">
        <v>29</v>
      </c>
      <c r="C89" s="318" t="s">
        <v>190</v>
      </c>
      <c r="D89" s="319">
        <v>0</v>
      </c>
      <c r="E89" s="320">
        <f t="shared" si="7"/>
        <v>0</v>
      </c>
    </row>
    <row r="90" spans="1:8" ht="15" x14ac:dyDescent="0.25">
      <c r="A90" s="317" t="s">
        <v>901</v>
      </c>
      <c r="B90" s="318">
        <v>155</v>
      </c>
      <c r="C90" s="318" t="s">
        <v>190</v>
      </c>
      <c r="D90" s="319">
        <v>0</v>
      </c>
      <c r="E90" s="320">
        <f t="shared" si="7"/>
        <v>0</v>
      </c>
    </row>
    <row r="91" spans="1:8" ht="15" x14ac:dyDescent="0.25">
      <c r="A91" s="321" t="s">
        <v>902</v>
      </c>
      <c r="B91" s="322">
        <v>35</v>
      </c>
      <c r="C91" s="322" t="s">
        <v>190</v>
      </c>
      <c r="D91" s="323">
        <v>0</v>
      </c>
      <c r="E91" s="324">
        <f t="shared" si="7"/>
        <v>0</v>
      </c>
    </row>
    <row r="95" spans="1:8" ht="15" x14ac:dyDescent="0.25">
      <c r="A95" s="285" t="s">
        <v>104</v>
      </c>
      <c r="B95" s="286"/>
      <c r="C95" s="286"/>
      <c r="D95" s="286"/>
      <c r="E95" s="286"/>
    </row>
    <row r="96" spans="1:8" ht="15" x14ac:dyDescent="0.25">
      <c r="A96" s="296" t="s">
        <v>903</v>
      </c>
      <c r="B96" s="325" t="s">
        <v>904</v>
      </c>
      <c r="C96" s="296"/>
      <c r="D96" s="326"/>
      <c r="E96" s="296"/>
      <c r="F96" s="282">
        <v>0</v>
      </c>
      <c r="G96" s="327" t="s">
        <v>1040</v>
      </c>
    </row>
    <row r="97" spans="1:7" ht="15" x14ac:dyDescent="0.25">
      <c r="A97" s="296"/>
      <c r="B97" s="325" t="s">
        <v>905</v>
      </c>
      <c r="C97" s="296"/>
      <c r="D97" s="326"/>
      <c r="E97" s="296"/>
      <c r="F97" s="282">
        <v>0</v>
      </c>
    </row>
    <row r="98" spans="1:7" ht="15" x14ac:dyDescent="0.25">
      <c r="A98" s="296"/>
      <c r="B98" s="325" t="s">
        <v>906</v>
      </c>
      <c r="C98" s="296"/>
      <c r="D98" s="326"/>
      <c r="E98" s="296"/>
      <c r="F98" s="282">
        <v>0</v>
      </c>
    </row>
    <row r="99" spans="1:7" ht="33.75" customHeight="1" x14ac:dyDescent="0.25">
      <c r="A99" s="296"/>
      <c r="B99" s="454" t="s">
        <v>907</v>
      </c>
      <c r="C99" s="454"/>
      <c r="D99" s="454"/>
      <c r="E99" s="454"/>
      <c r="F99" s="328">
        <v>0</v>
      </c>
    </row>
    <row r="100" spans="1:7" ht="15" x14ac:dyDescent="0.25">
      <c r="A100" s="296"/>
      <c r="B100" s="325" t="s">
        <v>908</v>
      </c>
      <c r="C100" s="296"/>
      <c r="D100" s="326"/>
      <c r="E100" s="296"/>
      <c r="F100" s="282">
        <v>0</v>
      </c>
    </row>
    <row r="101" spans="1:7" ht="15" x14ac:dyDescent="0.25">
      <c r="A101" s="296" t="s">
        <v>909</v>
      </c>
      <c r="B101" s="325" t="s">
        <v>910</v>
      </c>
      <c r="C101" s="296"/>
      <c r="D101" s="326"/>
      <c r="E101" s="296"/>
      <c r="F101" s="282">
        <v>0</v>
      </c>
    </row>
    <row r="102" spans="1:7" ht="15" x14ac:dyDescent="0.25">
      <c r="A102" s="296" t="s">
        <v>911</v>
      </c>
      <c r="B102" s="325" t="s">
        <v>912</v>
      </c>
      <c r="C102" s="296"/>
      <c r="D102" s="326"/>
      <c r="E102" s="296"/>
      <c r="F102" s="282">
        <v>0</v>
      </c>
    </row>
    <row r="103" spans="1:7" ht="15" x14ac:dyDescent="0.25">
      <c r="A103" s="296" t="s">
        <v>913</v>
      </c>
      <c r="B103" s="325"/>
      <c r="C103" s="296"/>
      <c r="D103" s="296"/>
      <c r="E103" s="296"/>
      <c r="F103" s="282">
        <v>0</v>
      </c>
      <c r="G103" s="327" t="s">
        <v>1041</v>
      </c>
    </row>
    <row r="104" spans="1:7" ht="15.75" thickBot="1" x14ac:dyDescent="0.3">
      <c r="A104" s="295" t="s">
        <v>914</v>
      </c>
      <c r="B104" s="329" t="s">
        <v>915</v>
      </c>
      <c r="C104" s="298"/>
      <c r="D104" s="298"/>
      <c r="E104" s="296"/>
      <c r="F104" s="282">
        <v>0</v>
      </c>
    </row>
    <row r="105" spans="1:7" ht="15.75" thickBot="1" x14ac:dyDescent="0.3">
      <c r="A105" s="297"/>
      <c r="B105" s="291"/>
      <c r="C105" s="291"/>
      <c r="D105" s="292"/>
      <c r="E105" s="292"/>
      <c r="F105" s="312">
        <f>SUM(F96:F104)</f>
        <v>0</v>
      </c>
    </row>
    <row r="108" spans="1:7" ht="13.5" thickBot="1" x14ac:dyDescent="0.25"/>
    <row r="109" spans="1:7" ht="15.75" thickBot="1" x14ac:dyDescent="0.3">
      <c r="E109" s="330" t="s">
        <v>916</v>
      </c>
      <c r="F109" s="331">
        <f>E7+E18+G29+G32+G34+G43+G54+G62+H79+H84+F105</f>
        <v>0</v>
      </c>
    </row>
  </sheetData>
  <mergeCells count="1">
    <mergeCell ref="B99:E99"/>
  </mergeCells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8AAF46-3373-4895-809A-A8D600B08187}">
  <dimension ref="A1:BX41"/>
  <sheetViews>
    <sheetView workbookViewId="0">
      <selection activeCell="H37" sqref="H37:H38"/>
    </sheetView>
  </sheetViews>
  <sheetFormatPr defaultColWidth="12.140625" defaultRowHeight="12.75" x14ac:dyDescent="0.2"/>
  <cols>
    <col min="1" max="1" width="4" customWidth="1"/>
    <col min="2" max="2" width="7.5703125" customWidth="1"/>
    <col min="3" max="3" width="17.85546875" customWidth="1"/>
    <col min="4" max="4" width="28.5703125" customWidth="1"/>
    <col min="5" max="5" width="34.5703125" customWidth="1"/>
    <col min="6" max="6" width="6.42578125" customWidth="1"/>
    <col min="7" max="7" width="12.85546875" customWidth="1"/>
    <col min="8" max="8" width="12" customWidth="1"/>
    <col min="9" max="9" width="11.140625" customWidth="1"/>
    <col min="10" max="13" width="15.7109375" customWidth="1"/>
    <col min="14" max="15" width="11.7109375" customWidth="1"/>
    <col min="16" max="16" width="13.42578125" customWidth="1"/>
    <col min="76" max="76" width="63.140625" hidden="1" customWidth="1"/>
  </cols>
  <sheetData>
    <row r="1" spans="1:76" ht="23.25" x14ac:dyDescent="0.2">
      <c r="A1" s="457" t="s">
        <v>917</v>
      </c>
      <c r="B1" s="457"/>
      <c r="C1" s="457"/>
      <c r="D1" s="457"/>
      <c r="E1" s="457"/>
      <c r="F1" s="457"/>
      <c r="G1" s="457"/>
      <c r="H1" s="457"/>
      <c r="I1" s="457"/>
      <c r="J1" s="457"/>
      <c r="K1" s="457"/>
      <c r="L1" s="457"/>
      <c r="M1" s="457"/>
      <c r="N1" s="457"/>
      <c r="O1" s="457"/>
      <c r="P1" s="457"/>
      <c r="AS1" s="332">
        <f>SUM(AJ1:AJ2)</f>
        <v>0</v>
      </c>
      <c r="AT1" s="332">
        <f>SUM(AK1:AK2)</f>
        <v>0</v>
      </c>
      <c r="AU1" s="332">
        <f>SUM(AL1:AL2)</f>
        <v>0</v>
      </c>
    </row>
    <row r="2" spans="1:76" x14ac:dyDescent="0.2">
      <c r="A2" s="458" t="s">
        <v>918</v>
      </c>
      <c r="B2" s="459"/>
      <c r="C2" s="459"/>
      <c r="D2" s="461" t="s">
        <v>46</v>
      </c>
      <c r="E2" s="462"/>
      <c r="F2" s="459" t="s">
        <v>919</v>
      </c>
      <c r="G2" s="459"/>
      <c r="H2" s="459" t="s">
        <v>920</v>
      </c>
      <c r="I2" s="464" t="s">
        <v>23</v>
      </c>
      <c r="J2" s="459" t="s">
        <v>921</v>
      </c>
      <c r="K2" s="459"/>
      <c r="L2" s="459"/>
      <c r="M2" s="459"/>
      <c r="N2" s="459"/>
      <c r="O2" s="459"/>
      <c r="P2" s="465"/>
    </row>
    <row r="3" spans="1:76" x14ac:dyDescent="0.2">
      <c r="A3" s="460"/>
      <c r="B3" s="455"/>
      <c r="C3" s="455"/>
      <c r="D3" s="463"/>
      <c r="E3" s="463"/>
      <c r="F3" s="455"/>
      <c r="G3" s="455"/>
      <c r="H3" s="455"/>
      <c r="I3" s="455"/>
      <c r="J3" s="455"/>
      <c r="K3" s="455"/>
      <c r="L3" s="455"/>
      <c r="M3" s="455"/>
      <c r="N3" s="455"/>
      <c r="O3" s="455"/>
      <c r="P3" s="456"/>
    </row>
    <row r="4" spans="1:76" x14ac:dyDescent="0.2">
      <c r="A4" s="466" t="s">
        <v>922</v>
      </c>
      <c r="B4" s="455"/>
      <c r="C4" s="455"/>
      <c r="D4" s="467" t="s">
        <v>923</v>
      </c>
      <c r="E4" s="455"/>
      <c r="F4" s="455" t="s">
        <v>924</v>
      </c>
      <c r="G4" s="455"/>
      <c r="H4" s="455"/>
      <c r="I4" s="467" t="s">
        <v>21</v>
      </c>
      <c r="J4" s="455" t="s">
        <v>921</v>
      </c>
      <c r="K4" s="455"/>
      <c r="L4" s="455"/>
      <c r="M4" s="455"/>
      <c r="N4" s="455"/>
      <c r="O4" s="455"/>
      <c r="P4" s="456"/>
    </row>
    <row r="5" spans="1:76" x14ac:dyDescent="0.2">
      <c r="A5" s="460"/>
      <c r="B5" s="455"/>
      <c r="C5" s="455"/>
      <c r="D5" s="455"/>
      <c r="E5" s="455"/>
      <c r="F5" s="455"/>
      <c r="G5" s="455"/>
      <c r="H5" s="455"/>
      <c r="I5" s="455"/>
      <c r="J5" s="455"/>
      <c r="K5" s="455"/>
      <c r="L5" s="455"/>
      <c r="M5" s="455"/>
      <c r="N5" s="455"/>
      <c r="O5" s="455"/>
      <c r="P5" s="456"/>
    </row>
    <row r="6" spans="1:76" x14ac:dyDescent="0.2">
      <c r="A6" s="466" t="s">
        <v>925</v>
      </c>
      <c r="B6" s="455"/>
      <c r="C6" s="455"/>
      <c r="D6" s="467" t="s">
        <v>926</v>
      </c>
      <c r="E6" s="455"/>
      <c r="F6" s="455" t="s">
        <v>927</v>
      </c>
      <c r="G6" s="455"/>
      <c r="H6" s="455" t="s">
        <v>920</v>
      </c>
      <c r="I6" s="467" t="s">
        <v>20</v>
      </c>
      <c r="J6" s="455" t="s">
        <v>921</v>
      </c>
      <c r="K6" s="455"/>
      <c r="L6" s="455"/>
      <c r="M6" s="455"/>
      <c r="N6" s="455"/>
      <c r="O6" s="455"/>
      <c r="P6" s="456"/>
    </row>
    <row r="7" spans="1:76" x14ac:dyDescent="0.2">
      <c r="A7" s="460"/>
      <c r="B7" s="455"/>
      <c r="C7" s="455"/>
      <c r="D7" s="455"/>
      <c r="E7" s="455"/>
      <c r="F7" s="455"/>
      <c r="G7" s="455"/>
      <c r="H7" s="455"/>
      <c r="I7" s="455"/>
      <c r="J7" s="455"/>
      <c r="K7" s="455"/>
      <c r="L7" s="455"/>
      <c r="M7" s="455"/>
      <c r="N7" s="455"/>
      <c r="O7" s="455"/>
      <c r="P7" s="456"/>
    </row>
    <row r="8" spans="1:76" x14ac:dyDescent="0.2">
      <c r="A8" s="466" t="s">
        <v>928</v>
      </c>
      <c r="B8" s="455"/>
      <c r="C8" s="455"/>
      <c r="D8" s="467" t="s">
        <v>920</v>
      </c>
      <c r="E8" s="455"/>
      <c r="F8" s="455" t="s">
        <v>929</v>
      </c>
      <c r="G8" s="455"/>
      <c r="H8" s="455"/>
      <c r="I8" s="467" t="s">
        <v>930</v>
      </c>
      <c r="J8" s="455" t="s">
        <v>921</v>
      </c>
      <c r="K8" s="455"/>
      <c r="L8" s="455"/>
      <c r="M8" s="455"/>
      <c r="N8" s="455"/>
      <c r="O8" s="455"/>
      <c r="P8" s="456"/>
    </row>
    <row r="9" spans="1:76" ht="13.5" thickBot="1" x14ac:dyDescent="0.25">
      <c r="A9" s="460"/>
      <c r="B9" s="455"/>
      <c r="C9" s="455"/>
      <c r="D9" s="455"/>
      <c r="E9" s="455"/>
      <c r="F9" s="455"/>
      <c r="G9" s="455"/>
      <c r="H9" s="455"/>
      <c r="I9" s="455"/>
      <c r="J9" s="455"/>
      <c r="K9" s="455"/>
      <c r="L9" s="455"/>
      <c r="M9" s="455"/>
      <c r="N9" s="455"/>
      <c r="O9" s="455"/>
      <c r="P9" s="456"/>
    </row>
    <row r="10" spans="1:76" x14ac:dyDescent="0.2">
      <c r="A10" s="336" t="s">
        <v>931</v>
      </c>
      <c r="B10" s="337" t="s">
        <v>932</v>
      </c>
      <c r="C10" s="337" t="s">
        <v>169</v>
      </c>
      <c r="D10" s="468" t="s">
        <v>933</v>
      </c>
      <c r="E10" s="469"/>
      <c r="F10" s="337" t="s">
        <v>79</v>
      </c>
      <c r="G10" s="338" t="s">
        <v>80</v>
      </c>
      <c r="H10" s="339" t="s">
        <v>934</v>
      </c>
      <c r="I10" s="340" t="s">
        <v>935</v>
      </c>
      <c r="J10" s="470" t="s">
        <v>936</v>
      </c>
      <c r="K10" s="471"/>
      <c r="L10" s="472"/>
      <c r="M10" s="341" t="s">
        <v>936</v>
      </c>
      <c r="N10" s="471" t="s">
        <v>937</v>
      </c>
      <c r="O10" s="471"/>
      <c r="P10" s="342" t="s">
        <v>938</v>
      </c>
      <c r="BK10" s="343" t="s">
        <v>939</v>
      </c>
      <c r="BL10" s="344" t="s">
        <v>940</v>
      </c>
      <c r="BW10" s="344" t="s">
        <v>941</v>
      </c>
    </row>
    <row r="11" spans="1:76" ht="13.5" thickBot="1" x14ac:dyDescent="0.25">
      <c r="A11" s="345" t="s">
        <v>920</v>
      </c>
      <c r="B11" s="346" t="s">
        <v>920</v>
      </c>
      <c r="C11" s="346" t="s">
        <v>920</v>
      </c>
      <c r="D11" s="473" t="s">
        <v>942</v>
      </c>
      <c r="E11" s="474"/>
      <c r="F11" s="346" t="s">
        <v>920</v>
      </c>
      <c r="G11" s="346" t="s">
        <v>920</v>
      </c>
      <c r="H11" s="347" t="s">
        <v>943</v>
      </c>
      <c r="I11" s="348" t="s">
        <v>920</v>
      </c>
      <c r="J11" s="349" t="s">
        <v>32</v>
      </c>
      <c r="K11" s="350" t="s">
        <v>33</v>
      </c>
      <c r="L11" s="351" t="s">
        <v>31</v>
      </c>
      <c r="M11" s="351" t="s">
        <v>944</v>
      </c>
      <c r="N11" s="350" t="s">
        <v>945</v>
      </c>
      <c r="O11" s="347" t="s">
        <v>31</v>
      </c>
      <c r="P11" s="349" t="s">
        <v>946</v>
      </c>
      <c r="Z11" s="343" t="s">
        <v>947</v>
      </c>
      <c r="AA11" s="343" t="s">
        <v>948</v>
      </c>
      <c r="AB11" s="343" t="s">
        <v>949</v>
      </c>
      <c r="AC11" s="343" t="s">
        <v>950</v>
      </c>
      <c r="AD11" s="343" t="s">
        <v>951</v>
      </c>
      <c r="AE11" s="343" t="s">
        <v>952</v>
      </c>
      <c r="AF11" s="343" t="s">
        <v>953</v>
      </c>
      <c r="AG11" s="343" t="s">
        <v>954</v>
      </c>
      <c r="AH11" s="343" t="s">
        <v>955</v>
      </c>
      <c r="BH11" s="343" t="s">
        <v>956</v>
      </c>
      <c r="BI11" s="343" t="s">
        <v>957</v>
      </c>
      <c r="BJ11" s="343" t="s">
        <v>958</v>
      </c>
    </row>
    <row r="12" spans="1:76" x14ac:dyDescent="0.2">
      <c r="A12" s="352" t="s">
        <v>129</v>
      </c>
      <c r="B12" s="353" t="s">
        <v>129</v>
      </c>
      <c r="C12" s="353" t="s">
        <v>249</v>
      </c>
      <c r="D12" s="475" t="s">
        <v>959</v>
      </c>
      <c r="E12" s="476"/>
      <c r="F12" s="354" t="s">
        <v>920</v>
      </c>
      <c r="G12" s="354" t="s">
        <v>920</v>
      </c>
      <c r="H12" s="354" t="s">
        <v>920</v>
      </c>
      <c r="I12" s="354" t="s">
        <v>920</v>
      </c>
      <c r="J12" s="332">
        <f>SUM(J13:J13)</f>
        <v>0</v>
      </c>
      <c r="K12" s="332">
        <f>SUM(K13:K13)</f>
        <v>0</v>
      </c>
      <c r="L12" s="332">
        <f>SUM(L13:L13)</f>
        <v>0</v>
      </c>
      <c r="M12" s="332">
        <f>SUM(M13:M13)</f>
        <v>0</v>
      </c>
      <c r="N12" s="343" t="s">
        <v>129</v>
      </c>
      <c r="O12" s="332">
        <f>SUM(O13:O13)</f>
        <v>0</v>
      </c>
      <c r="P12" s="355" t="s">
        <v>129</v>
      </c>
      <c r="AI12" s="343" t="s">
        <v>129</v>
      </c>
      <c r="AS12" s="332">
        <f>SUM(AJ13:AJ13)</f>
        <v>0</v>
      </c>
      <c r="AT12" s="332">
        <f>SUM(AK13:AK13)</f>
        <v>0</v>
      </c>
      <c r="AU12" s="332">
        <f>SUM(AL13:AL13)</f>
        <v>0</v>
      </c>
    </row>
    <row r="13" spans="1:76" x14ac:dyDescent="0.2">
      <c r="A13" s="333" t="s">
        <v>186</v>
      </c>
      <c r="B13" s="334" t="s">
        <v>129</v>
      </c>
      <c r="C13" s="334" t="s">
        <v>960</v>
      </c>
      <c r="D13" s="467" t="s">
        <v>961</v>
      </c>
      <c r="E13" s="455"/>
      <c r="F13" s="334" t="s">
        <v>962</v>
      </c>
      <c r="G13" s="356">
        <v>36</v>
      </c>
      <c r="H13" s="356"/>
      <c r="I13" s="357" t="s">
        <v>287</v>
      </c>
      <c r="J13" s="356">
        <f>G13*AO13</f>
        <v>0</v>
      </c>
      <c r="K13" s="356">
        <f>G13*AP13</f>
        <v>0</v>
      </c>
      <c r="L13" s="356">
        <f>G13*H13</f>
        <v>0</v>
      </c>
      <c r="M13" s="356">
        <f>L13*(1+BW13/100)</f>
        <v>0</v>
      </c>
      <c r="N13" s="356">
        <v>0</v>
      </c>
      <c r="O13" s="356">
        <f>G13*N13</f>
        <v>0</v>
      </c>
      <c r="P13" s="358" t="s">
        <v>963</v>
      </c>
      <c r="Z13" s="356">
        <f>IF(AQ13="5",BJ13,0)</f>
        <v>0</v>
      </c>
      <c r="AB13" s="356">
        <f>IF(AQ13="1",BH13,0)</f>
        <v>0</v>
      </c>
      <c r="AC13" s="356">
        <f>IF(AQ13="1",BI13,0)</f>
        <v>0</v>
      </c>
      <c r="AD13" s="356">
        <f>IF(AQ13="7",BH13,0)</f>
        <v>0</v>
      </c>
      <c r="AE13" s="356">
        <f>IF(AQ13="7",BI13,0)</f>
        <v>0</v>
      </c>
      <c r="AF13" s="356">
        <f>IF(AQ13="2",BH13,0)</f>
        <v>0</v>
      </c>
      <c r="AG13" s="356">
        <f>IF(AQ13="2",BI13,0)</f>
        <v>0</v>
      </c>
      <c r="AH13" s="356">
        <f>IF(AQ13="0",BJ13,0)</f>
        <v>0</v>
      </c>
      <c r="AI13" s="343" t="s">
        <v>129</v>
      </c>
      <c r="AJ13" s="356">
        <f>IF(AN13=0,L13,0)</f>
        <v>0</v>
      </c>
      <c r="AK13" s="356">
        <f>IF(AN13=12,L13,0)</f>
        <v>0</v>
      </c>
      <c r="AL13" s="356">
        <f>IF(AN13=21,L13,0)</f>
        <v>0</v>
      </c>
      <c r="AN13" s="356">
        <v>21</v>
      </c>
      <c r="AO13" s="356">
        <f>H13*0</f>
        <v>0</v>
      </c>
      <c r="AP13" s="356">
        <f>H13*(1-0)</f>
        <v>0</v>
      </c>
      <c r="AQ13" s="357" t="s">
        <v>186</v>
      </c>
      <c r="AV13" s="356">
        <f>AW13+AX13</f>
        <v>0</v>
      </c>
      <c r="AW13" s="356">
        <f>G13*AO13</f>
        <v>0</v>
      </c>
      <c r="AX13" s="356">
        <f>G13*AP13</f>
        <v>0</v>
      </c>
      <c r="AY13" s="357" t="s">
        <v>964</v>
      </c>
      <c r="AZ13" s="357" t="s">
        <v>965</v>
      </c>
      <c r="BA13" s="343" t="s">
        <v>966</v>
      </c>
      <c r="BC13" s="356">
        <f>AW13+AX13</f>
        <v>0</v>
      </c>
      <c r="BD13" s="356">
        <f>H13/(100-BE13)*100</f>
        <v>0</v>
      </c>
      <c r="BE13" s="356">
        <v>0</v>
      </c>
      <c r="BF13" s="356">
        <f>O13</f>
        <v>0</v>
      </c>
      <c r="BH13" s="356">
        <f>G13*AO13</f>
        <v>0</v>
      </c>
      <c r="BI13" s="356">
        <f>G13*AP13</f>
        <v>0</v>
      </c>
      <c r="BJ13" s="356">
        <f>G13*H13</f>
        <v>0</v>
      </c>
      <c r="BK13" s="356"/>
      <c r="BL13" s="356">
        <v>13</v>
      </c>
      <c r="BW13" s="356" t="str">
        <f>I13</f>
        <v>21</v>
      </c>
      <c r="BX13" s="335" t="s">
        <v>961</v>
      </c>
    </row>
    <row r="14" spans="1:76" x14ac:dyDescent="0.2">
      <c r="A14" s="352" t="s">
        <v>129</v>
      </c>
      <c r="B14" s="353" t="s">
        <v>129</v>
      </c>
      <c r="C14" s="353" t="s">
        <v>268</v>
      </c>
      <c r="D14" s="475" t="s">
        <v>967</v>
      </c>
      <c r="E14" s="476"/>
      <c r="F14" s="354" t="s">
        <v>920</v>
      </c>
      <c r="G14" s="354" t="s">
        <v>920</v>
      </c>
      <c r="H14" s="354"/>
      <c r="I14" s="354" t="s">
        <v>920</v>
      </c>
      <c r="J14" s="332">
        <f>SUM(J15:J15)</f>
        <v>0</v>
      </c>
      <c r="K14" s="332">
        <f>SUM(K15:K15)</f>
        <v>0</v>
      </c>
      <c r="L14" s="332">
        <f>SUM(L15:L15)</f>
        <v>0</v>
      </c>
      <c r="M14" s="332">
        <f>SUM(M15:M15)</f>
        <v>0</v>
      </c>
      <c r="N14" s="343" t="s">
        <v>129</v>
      </c>
      <c r="O14" s="332">
        <f>SUM(O15:O15)</f>
        <v>0</v>
      </c>
      <c r="P14" s="355" t="s">
        <v>129</v>
      </c>
      <c r="AI14" s="343" t="s">
        <v>129</v>
      </c>
      <c r="AS14" s="332">
        <f>SUM(AJ15:AJ15)</f>
        <v>0</v>
      </c>
      <c r="AT14" s="332">
        <f>SUM(AK15:AK15)</f>
        <v>0</v>
      </c>
      <c r="AU14" s="332">
        <f>SUM(AL15:AL15)</f>
        <v>0</v>
      </c>
    </row>
    <row r="15" spans="1:76" x14ac:dyDescent="0.2">
      <c r="A15" s="333" t="s">
        <v>123</v>
      </c>
      <c r="B15" s="334" t="s">
        <v>129</v>
      </c>
      <c r="C15" s="334" t="s">
        <v>968</v>
      </c>
      <c r="D15" s="467" t="s">
        <v>969</v>
      </c>
      <c r="E15" s="455"/>
      <c r="F15" s="334" t="s">
        <v>962</v>
      </c>
      <c r="G15" s="356">
        <v>0</v>
      </c>
      <c r="H15" s="356"/>
      <c r="I15" s="357" t="s">
        <v>287</v>
      </c>
      <c r="J15" s="356">
        <f>G15*AO15</f>
        <v>0</v>
      </c>
      <c r="K15" s="356">
        <f>G15*AP15</f>
        <v>0</v>
      </c>
      <c r="L15" s="356">
        <f>G15*H15</f>
        <v>0</v>
      </c>
      <c r="M15" s="356">
        <f>L15*(1+BW15/100)</f>
        <v>0</v>
      </c>
      <c r="N15" s="356">
        <v>0</v>
      </c>
      <c r="O15" s="356">
        <f>G15*N15</f>
        <v>0</v>
      </c>
      <c r="P15" s="358" t="s">
        <v>963</v>
      </c>
      <c r="Z15" s="356">
        <f>IF(AQ15="5",BJ15,0)</f>
        <v>0</v>
      </c>
      <c r="AB15" s="356">
        <f>IF(AQ15="1",BH15,0)</f>
        <v>0</v>
      </c>
      <c r="AC15" s="356">
        <f>IF(AQ15="1",BI15,0)</f>
        <v>0</v>
      </c>
      <c r="AD15" s="356">
        <f>IF(AQ15="7",BH15,0)</f>
        <v>0</v>
      </c>
      <c r="AE15" s="356">
        <f>IF(AQ15="7",BI15,0)</f>
        <v>0</v>
      </c>
      <c r="AF15" s="356">
        <f>IF(AQ15="2",BH15,0)</f>
        <v>0</v>
      </c>
      <c r="AG15" s="356">
        <f>IF(AQ15="2",BI15,0)</f>
        <v>0</v>
      </c>
      <c r="AH15" s="356">
        <f>IF(AQ15="0",BJ15,0)</f>
        <v>0</v>
      </c>
      <c r="AI15" s="343" t="s">
        <v>129</v>
      </c>
      <c r="AJ15" s="356">
        <f>IF(AN15=0,L15,0)</f>
        <v>0</v>
      </c>
      <c r="AK15" s="356">
        <f>IF(AN15=12,L15,0)</f>
        <v>0</v>
      </c>
      <c r="AL15" s="356">
        <f>IF(AN15=21,L15,0)</f>
        <v>0</v>
      </c>
      <c r="AN15" s="356">
        <v>21</v>
      </c>
      <c r="AO15" s="356">
        <f>H15*0</f>
        <v>0</v>
      </c>
      <c r="AP15" s="356">
        <f>H15*(1-0)</f>
        <v>0</v>
      </c>
      <c r="AQ15" s="357" t="s">
        <v>186</v>
      </c>
      <c r="AV15" s="356">
        <f>AW15+AX15</f>
        <v>0</v>
      </c>
      <c r="AW15" s="356">
        <f>G15*AO15</f>
        <v>0</v>
      </c>
      <c r="AX15" s="356">
        <f>G15*AP15</f>
        <v>0</v>
      </c>
      <c r="AY15" s="357" t="s">
        <v>970</v>
      </c>
      <c r="AZ15" s="357" t="s">
        <v>965</v>
      </c>
      <c r="BA15" s="343" t="s">
        <v>966</v>
      </c>
      <c r="BC15" s="356">
        <f>AW15+AX15</f>
        <v>0</v>
      </c>
      <c r="BD15" s="356">
        <f>H15/(100-BE15)*100</f>
        <v>0</v>
      </c>
      <c r="BE15" s="356">
        <v>0</v>
      </c>
      <c r="BF15" s="356">
        <f>O15</f>
        <v>0</v>
      </c>
      <c r="BH15" s="356">
        <f>G15*AO15</f>
        <v>0</v>
      </c>
      <c r="BI15" s="356">
        <f>G15*AP15</f>
        <v>0</v>
      </c>
      <c r="BJ15" s="356">
        <f>G15*H15</f>
        <v>0</v>
      </c>
      <c r="BK15" s="356"/>
      <c r="BL15" s="356">
        <v>17</v>
      </c>
      <c r="BW15" s="356" t="str">
        <f>I15</f>
        <v>21</v>
      </c>
      <c r="BX15" s="335" t="s">
        <v>969</v>
      </c>
    </row>
    <row r="16" spans="1:76" x14ac:dyDescent="0.2">
      <c r="A16" s="352" t="s">
        <v>129</v>
      </c>
      <c r="B16" s="353" t="s">
        <v>129</v>
      </c>
      <c r="C16" s="353" t="s">
        <v>971</v>
      </c>
      <c r="D16" s="475" t="s">
        <v>972</v>
      </c>
      <c r="E16" s="476"/>
      <c r="F16" s="354" t="s">
        <v>920</v>
      </c>
      <c r="G16" s="354" t="s">
        <v>920</v>
      </c>
      <c r="H16" s="354"/>
      <c r="I16" s="354" t="s">
        <v>920</v>
      </c>
      <c r="J16" s="332">
        <f>SUM(J17:J17)</f>
        <v>0</v>
      </c>
      <c r="K16" s="332">
        <f>SUM(K17:K17)</f>
        <v>0</v>
      </c>
      <c r="L16" s="332">
        <f>SUM(L17:L17)</f>
        <v>0</v>
      </c>
      <c r="M16" s="332">
        <f>SUM(M17:M17)</f>
        <v>0</v>
      </c>
      <c r="N16" s="343" t="s">
        <v>129</v>
      </c>
      <c r="O16" s="332">
        <f>SUM(O17:O17)</f>
        <v>1.34E-2</v>
      </c>
      <c r="P16" s="355" t="s">
        <v>129</v>
      </c>
      <c r="AI16" s="343" t="s">
        <v>129</v>
      </c>
      <c r="AS16" s="332">
        <f>SUM(AJ17:AJ17)</f>
        <v>0</v>
      </c>
      <c r="AT16" s="332">
        <f>SUM(AK17:AK17)</f>
        <v>0</v>
      </c>
      <c r="AU16" s="332">
        <f>SUM(AL17:AL17)</f>
        <v>0</v>
      </c>
    </row>
    <row r="17" spans="1:76" x14ac:dyDescent="0.2">
      <c r="A17" s="333" t="s">
        <v>201</v>
      </c>
      <c r="B17" s="334" t="s">
        <v>129</v>
      </c>
      <c r="C17" s="334" t="s">
        <v>973</v>
      </c>
      <c r="D17" s="467" t="s">
        <v>974</v>
      </c>
      <c r="E17" s="455"/>
      <c r="F17" s="334" t="s">
        <v>266</v>
      </c>
      <c r="G17" s="356">
        <v>1</v>
      </c>
      <c r="H17" s="356"/>
      <c r="I17" s="357" t="s">
        <v>287</v>
      </c>
      <c r="J17" s="356">
        <f>G17*AO17</f>
        <v>0</v>
      </c>
      <c r="K17" s="356">
        <f>G17*AP17</f>
        <v>0</v>
      </c>
      <c r="L17" s="356">
        <f>G17*H17</f>
        <v>0</v>
      </c>
      <c r="M17" s="356">
        <f>L17*(1+BW17/100)</f>
        <v>0</v>
      </c>
      <c r="N17" s="356">
        <v>1.34E-2</v>
      </c>
      <c r="O17" s="356">
        <f>G17*N17</f>
        <v>1.34E-2</v>
      </c>
      <c r="P17" s="358" t="s">
        <v>963</v>
      </c>
      <c r="Z17" s="356">
        <f>IF(AQ17="5",BJ17,0)</f>
        <v>0</v>
      </c>
      <c r="AB17" s="356">
        <f>IF(AQ17="1",BH17,0)</f>
        <v>0</v>
      </c>
      <c r="AC17" s="356">
        <f>IF(AQ17="1",BI17,0)</f>
        <v>0</v>
      </c>
      <c r="AD17" s="356">
        <f>IF(AQ17="7",BH17,0)</f>
        <v>0</v>
      </c>
      <c r="AE17" s="356">
        <f>IF(AQ17="7",BI17,0)</f>
        <v>0</v>
      </c>
      <c r="AF17" s="356">
        <f>IF(AQ17="2",BH17,0)</f>
        <v>0</v>
      </c>
      <c r="AG17" s="356">
        <f>IF(AQ17="2",BI17,0)</f>
        <v>0</v>
      </c>
      <c r="AH17" s="356">
        <f>IF(AQ17="0",BJ17,0)</f>
        <v>0</v>
      </c>
      <c r="AI17" s="343" t="s">
        <v>129</v>
      </c>
      <c r="AJ17" s="356">
        <f>IF(AN17=0,L17,0)</f>
        <v>0</v>
      </c>
      <c r="AK17" s="356">
        <f>IF(AN17=12,L17,0)</f>
        <v>0</v>
      </c>
      <c r="AL17" s="356">
        <f>IF(AN17=21,L17,0)</f>
        <v>0</v>
      </c>
      <c r="AN17" s="356">
        <v>21</v>
      </c>
      <c r="AO17" s="356">
        <f>H17*0.01030476</f>
        <v>0</v>
      </c>
      <c r="AP17" s="356">
        <f>H17*(1-0.01030476)</f>
        <v>0</v>
      </c>
      <c r="AQ17" s="357" t="s">
        <v>217</v>
      </c>
      <c r="AV17" s="356">
        <f>AW17+AX17</f>
        <v>0</v>
      </c>
      <c r="AW17" s="356">
        <f>G17*AO17</f>
        <v>0</v>
      </c>
      <c r="AX17" s="356">
        <f>G17*AP17</f>
        <v>0</v>
      </c>
      <c r="AY17" s="357" t="s">
        <v>975</v>
      </c>
      <c r="AZ17" s="357" t="s">
        <v>976</v>
      </c>
      <c r="BA17" s="343" t="s">
        <v>966</v>
      </c>
      <c r="BC17" s="356">
        <f>AW17+AX17</f>
        <v>0</v>
      </c>
      <c r="BD17" s="356">
        <f>H17/(100-BE17)*100</f>
        <v>0</v>
      </c>
      <c r="BE17" s="356">
        <v>0</v>
      </c>
      <c r="BF17" s="356">
        <f>O17</f>
        <v>1.34E-2</v>
      </c>
      <c r="BH17" s="356">
        <f>G17*AO17</f>
        <v>0</v>
      </c>
      <c r="BI17" s="356">
        <f>G17*AP17</f>
        <v>0</v>
      </c>
      <c r="BJ17" s="356">
        <f>G17*H17</f>
        <v>0</v>
      </c>
      <c r="BK17" s="356"/>
      <c r="BL17" s="356">
        <v>724</v>
      </c>
      <c r="BW17" s="356" t="str">
        <f>I17</f>
        <v>21</v>
      </c>
      <c r="BX17" s="335" t="s">
        <v>974</v>
      </c>
    </row>
    <row r="18" spans="1:76" x14ac:dyDescent="0.2">
      <c r="A18" s="352" t="s">
        <v>129</v>
      </c>
      <c r="B18" s="353" t="s">
        <v>129</v>
      </c>
      <c r="C18" s="353" t="s">
        <v>418</v>
      </c>
      <c r="D18" s="475" t="s">
        <v>977</v>
      </c>
      <c r="E18" s="476"/>
      <c r="F18" s="354" t="s">
        <v>920</v>
      </c>
      <c r="G18" s="354" t="s">
        <v>920</v>
      </c>
      <c r="H18" s="354"/>
      <c r="I18" s="354" t="s">
        <v>920</v>
      </c>
      <c r="J18" s="332">
        <f>SUM(J19:J20)</f>
        <v>0</v>
      </c>
      <c r="K18" s="332">
        <f>SUM(K19:K20)</f>
        <v>0</v>
      </c>
      <c r="L18" s="332">
        <f>SUM(L19:L20)</f>
        <v>0</v>
      </c>
      <c r="M18" s="332">
        <f>SUM(M19:M20)</f>
        <v>0</v>
      </c>
      <c r="N18" s="343" t="s">
        <v>129</v>
      </c>
      <c r="O18" s="332">
        <f>SUM(O19:O20)</f>
        <v>9.6000000000000013E-4</v>
      </c>
      <c r="P18" s="355" t="s">
        <v>129</v>
      </c>
      <c r="AI18" s="343" t="s">
        <v>129</v>
      </c>
      <c r="AS18" s="332">
        <f>SUM(AJ19:AJ20)</f>
        <v>0</v>
      </c>
      <c r="AT18" s="332">
        <f>SUM(AK19:AK20)</f>
        <v>0</v>
      </c>
      <c r="AU18" s="332">
        <f>SUM(AL19:AL20)</f>
        <v>0</v>
      </c>
    </row>
    <row r="19" spans="1:76" x14ac:dyDescent="0.2">
      <c r="A19" s="333" t="s">
        <v>205</v>
      </c>
      <c r="B19" s="334" t="s">
        <v>129</v>
      </c>
      <c r="C19" s="334" t="s">
        <v>978</v>
      </c>
      <c r="D19" s="467" t="s">
        <v>979</v>
      </c>
      <c r="E19" s="455"/>
      <c r="F19" s="334" t="s">
        <v>241</v>
      </c>
      <c r="G19" s="356">
        <v>7</v>
      </c>
      <c r="H19" s="356"/>
      <c r="I19" s="357" t="s">
        <v>287</v>
      </c>
      <c r="J19" s="356">
        <f>G19*AO19</f>
        <v>0</v>
      </c>
      <c r="K19" s="356">
        <f>G19*AP19</f>
        <v>0</v>
      </c>
      <c r="L19" s="356">
        <f>G19*H19</f>
        <v>0</v>
      </c>
      <c r="M19" s="356">
        <f>L19*(1+BW19/100)</f>
        <v>0</v>
      </c>
      <c r="N19" s="356">
        <v>8.0000000000000007E-5</v>
      </c>
      <c r="O19" s="356">
        <f>G19*N19</f>
        <v>5.6000000000000006E-4</v>
      </c>
      <c r="P19" s="358" t="s">
        <v>963</v>
      </c>
      <c r="Z19" s="356">
        <f>IF(AQ19="5",BJ19,0)</f>
        <v>0</v>
      </c>
      <c r="AB19" s="356">
        <f>IF(AQ19="1",BH19,0)</f>
        <v>0</v>
      </c>
      <c r="AC19" s="356">
        <f>IF(AQ19="1",BI19,0)</f>
        <v>0</v>
      </c>
      <c r="AD19" s="356">
        <f>IF(AQ19="7",BH19,0)</f>
        <v>0</v>
      </c>
      <c r="AE19" s="356">
        <f>IF(AQ19="7",BI19,0)</f>
        <v>0</v>
      </c>
      <c r="AF19" s="356">
        <f>IF(AQ19="2",BH19,0)</f>
        <v>0</v>
      </c>
      <c r="AG19" s="356">
        <f>IF(AQ19="2",BI19,0)</f>
        <v>0</v>
      </c>
      <c r="AH19" s="356">
        <f>IF(AQ19="0",BJ19,0)</f>
        <v>0</v>
      </c>
      <c r="AI19" s="343" t="s">
        <v>129</v>
      </c>
      <c r="AJ19" s="356">
        <f>IF(AN19=0,L19,0)</f>
        <v>0</v>
      </c>
      <c r="AK19" s="356">
        <f>IF(AN19=12,L19,0)</f>
        <v>0</v>
      </c>
      <c r="AL19" s="356">
        <f>IF(AN19=21,L19,0)</f>
        <v>0</v>
      </c>
      <c r="AN19" s="356">
        <v>21</v>
      </c>
      <c r="AO19" s="356">
        <f>H19*0.009143969</f>
        <v>0</v>
      </c>
      <c r="AP19" s="356">
        <f>H19*(1-0.009143969)</f>
        <v>0</v>
      </c>
      <c r="AQ19" s="357" t="s">
        <v>217</v>
      </c>
      <c r="AV19" s="356">
        <f>AW19+AX19</f>
        <v>0</v>
      </c>
      <c r="AW19" s="356">
        <f>G19*AO19</f>
        <v>0</v>
      </c>
      <c r="AX19" s="356">
        <f>G19*AP19</f>
        <v>0</v>
      </c>
      <c r="AY19" s="357" t="s">
        <v>980</v>
      </c>
      <c r="AZ19" s="357" t="s">
        <v>981</v>
      </c>
      <c r="BA19" s="343" t="s">
        <v>966</v>
      </c>
      <c r="BC19" s="356">
        <f>AW19+AX19</f>
        <v>0</v>
      </c>
      <c r="BD19" s="356">
        <f>H19/(100-BE19)*100</f>
        <v>0</v>
      </c>
      <c r="BE19" s="356">
        <v>0</v>
      </c>
      <c r="BF19" s="356">
        <f>O19</f>
        <v>5.6000000000000006E-4</v>
      </c>
      <c r="BH19" s="356">
        <f>G19*AO19</f>
        <v>0</v>
      </c>
      <c r="BI19" s="356">
        <f>G19*AP19</f>
        <v>0</v>
      </c>
      <c r="BJ19" s="356">
        <f>G19*H19</f>
        <v>0</v>
      </c>
      <c r="BK19" s="356"/>
      <c r="BL19" s="356">
        <v>733</v>
      </c>
      <c r="BW19" s="356" t="str">
        <f>I19</f>
        <v>21</v>
      </c>
      <c r="BX19" s="335" t="s">
        <v>979</v>
      </c>
    </row>
    <row r="20" spans="1:76" x14ac:dyDescent="0.2">
      <c r="A20" s="333" t="s">
        <v>209</v>
      </c>
      <c r="B20" s="334" t="s">
        <v>129</v>
      </c>
      <c r="C20" s="334" t="s">
        <v>982</v>
      </c>
      <c r="D20" s="467" t="s">
        <v>983</v>
      </c>
      <c r="E20" s="455"/>
      <c r="F20" s="334" t="s">
        <v>241</v>
      </c>
      <c r="G20" s="356">
        <v>5</v>
      </c>
      <c r="H20" s="356"/>
      <c r="I20" s="357" t="s">
        <v>287</v>
      </c>
      <c r="J20" s="356">
        <f>G20*AO20</f>
        <v>0</v>
      </c>
      <c r="K20" s="356">
        <f>G20*AP20</f>
        <v>0</v>
      </c>
      <c r="L20" s="356">
        <f>G20*H20</f>
        <v>0</v>
      </c>
      <c r="M20" s="356">
        <f>L20*(1+BW20/100)</f>
        <v>0</v>
      </c>
      <c r="N20" s="356">
        <v>8.0000000000000007E-5</v>
      </c>
      <c r="O20" s="356">
        <f>G20*N20</f>
        <v>4.0000000000000002E-4</v>
      </c>
      <c r="P20" s="358" t="s">
        <v>963</v>
      </c>
      <c r="Z20" s="356">
        <f>IF(AQ20="5",BJ20,0)</f>
        <v>0</v>
      </c>
      <c r="AB20" s="356">
        <f>IF(AQ20="1",BH20,0)</f>
        <v>0</v>
      </c>
      <c r="AC20" s="356">
        <f>IF(AQ20="1",BI20,0)</f>
        <v>0</v>
      </c>
      <c r="AD20" s="356">
        <f>IF(AQ20="7",BH20,0)</f>
        <v>0</v>
      </c>
      <c r="AE20" s="356">
        <f>IF(AQ20="7",BI20,0)</f>
        <v>0</v>
      </c>
      <c r="AF20" s="356">
        <f>IF(AQ20="2",BH20,0)</f>
        <v>0</v>
      </c>
      <c r="AG20" s="356">
        <f>IF(AQ20="2",BI20,0)</f>
        <v>0</v>
      </c>
      <c r="AH20" s="356">
        <f>IF(AQ20="0",BJ20,0)</f>
        <v>0</v>
      </c>
      <c r="AI20" s="343" t="s">
        <v>129</v>
      </c>
      <c r="AJ20" s="356">
        <f>IF(AN20=0,L20,0)</f>
        <v>0</v>
      </c>
      <c r="AK20" s="356">
        <f>IF(AN20=12,L20,0)</f>
        <v>0</v>
      </c>
      <c r="AL20" s="356">
        <f>IF(AN20=21,L20,0)</f>
        <v>0</v>
      </c>
      <c r="AN20" s="356">
        <v>21</v>
      </c>
      <c r="AO20" s="356">
        <f>H20*0.007507747</f>
        <v>0</v>
      </c>
      <c r="AP20" s="356">
        <f>H20*(1-0.007507747)</f>
        <v>0</v>
      </c>
      <c r="AQ20" s="357" t="s">
        <v>217</v>
      </c>
      <c r="AV20" s="356">
        <f>AW20+AX20</f>
        <v>0</v>
      </c>
      <c r="AW20" s="356">
        <f>G20*AO20</f>
        <v>0</v>
      </c>
      <c r="AX20" s="356">
        <f>G20*AP20</f>
        <v>0</v>
      </c>
      <c r="AY20" s="357" t="s">
        <v>980</v>
      </c>
      <c r="AZ20" s="357" t="s">
        <v>981</v>
      </c>
      <c r="BA20" s="343" t="s">
        <v>966</v>
      </c>
      <c r="BC20" s="356">
        <f>AW20+AX20</f>
        <v>0</v>
      </c>
      <c r="BD20" s="356">
        <f>H20/(100-BE20)*100</f>
        <v>0</v>
      </c>
      <c r="BE20" s="356">
        <v>0</v>
      </c>
      <c r="BF20" s="356">
        <f>O20</f>
        <v>4.0000000000000002E-4</v>
      </c>
      <c r="BH20" s="356">
        <f>G20*AO20</f>
        <v>0</v>
      </c>
      <c r="BI20" s="356">
        <f>G20*AP20</f>
        <v>0</v>
      </c>
      <c r="BJ20" s="356">
        <f>G20*H20</f>
        <v>0</v>
      </c>
      <c r="BK20" s="356"/>
      <c r="BL20" s="356">
        <v>733</v>
      </c>
      <c r="BW20" s="356" t="str">
        <f>I20</f>
        <v>21</v>
      </c>
      <c r="BX20" s="335" t="s">
        <v>983</v>
      </c>
    </row>
    <row r="21" spans="1:76" x14ac:dyDescent="0.2">
      <c r="A21" s="352" t="s">
        <v>129</v>
      </c>
      <c r="B21" s="353" t="s">
        <v>129</v>
      </c>
      <c r="C21" s="353" t="s">
        <v>597</v>
      </c>
      <c r="D21" s="475" t="s">
        <v>984</v>
      </c>
      <c r="E21" s="476"/>
      <c r="F21" s="354" t="s">
        <v>920</v>
      </c>
      <c r="G21" s="354" t="s">
        <v>920</v>
      </c>
      <c r="H21" s="354"/>
      <c r="I21" s="354" t="s">
        <v>920</v>
      </c>
      <c r="J21" s="332">
        <f>SUM(J22:J24)</f>
        <v>0</v>
      </c>
      <c r="K21" s="332">
        <f>SUM(K22:K24)</f>
        <v>0</v>
      </c>
      <c r="L21" s="332">
        <f>SUM(L22:L24)</f>
        <v>0</v>
      </c>
      <c r="M21" s="332">
        <f>SUM(M22:M24)</f>
        <v>0</v>
      </c>
      <c r="N21" s="343" t="s">
        <v>129</v>
      </c>
      <c r="O21" s="332">
        <f>SUM(O22:O24)</f>
        <v>0</v>
      </c>
      <c r="P21" s="355" t="s">
        <v>129</v>
      </c>
      <c r="AI21" s="343" t="s">
        <v>129</v>
      </c>
      <c r="AS21" s="332">
        <f>SUM(AJ22:AJ24)</f>
        <v>0</v>
      </c>
      <c r="AT21" s="332">
        <f>SUM(AK22:AK24)</f>
        <v>0</v>
      </c>
      <c r="AU21" s="332">
        <f>SUM(AL22:AL24)</f>
        <v>0</v>
      </c>
    </row>
    <row r="22" spans="1:76" x14ac:dyDescent="0.2">
      <c r="A22" s="333" t="s">
        <v>213</v>
      </c>
      <c r="B22" s="334" t="s">
        <v>129</v>
      </c>
      <c r="C22" s="334" t="s">
        <v>985</v>
      </c>
      <c r="D22" s="467" t="s">
        <v>986</v>
      </c>
      <c r="E22" s="455"/>
      <c r="F22" s="334" t="s">
        <v>190</v>
      </c>
      <c r="G22" s="356">
        <v>0</v>
      </c>
      <c r="H22" s="356"/>
      <c r="I22" s="357" t="s">
        <v>287</v>
      </c>
      <c r="J22" s="356">
        <f>G22*AO22</f>
        <v>0</v>
      </c>
      <c r="K22" s="356">
        <f>G22*AP22</f>
        <v>0</v>
      </c>
      <c r="L22" s="356">
        <f>G22*H22</f>
        <v>0</v>
      </c>
      <c r="M22" s="356">
        <f>L22*(1+BW22/100)</f>
        <v>0</v>
      </c>
      <c r="N22" s="356">
        <v>0</v>
      </c>
      <c r="O22" s="356">
        <f>G22*N22</f>
        <v>0</v>
      </c>
      <c r="P22" s="358" t="s">
        <v>963</v>
      </c>
      <c r="Z22" s="356">
        <f>IF(AQ22="5",BJ22,0)</f>
        <v>0</v>
      </c>
      <c r="AB22" s="356">
        <f>IF(AQ22="1",BH22,0)</f>
        <v>0</v>
      </c>
      <c r="AC22" s="356">
        <f>IF(AQ22="1",BI22,0)</f>
        <v>0</v>
      </c>
      <c r="AD22" s="356">
        <f>IF(AQ22="7",BH22,0)</f>
        <v>0</v>
      </c>
      <c r="AE22" s="356">
        <f>IF(AQ22="7",BI22,0)</f>
        <v>0</v>
      </c>
      <c r="AF22" s="356">
        <f>IF(AQ22="2",BH22,0)</f>
        <v>0</v>
      </c>
      <c r="AG22" s="356">
        <f>IF(AQ22="2",BI22,0)</f>
        <v>0</v>
      </c>
      <c r="AH22" s="356">
        <f>IF(AQ22="0",BJ22,0)</f>
        <v>0</v>
      </c>
      <c r="AI22" s="343" t="s">
        <v>129</v>
      </c>
      <c r="AJ22" s="356">
        <f>IF(AN22=0,L22,0)</f>
        <v>0</v>
      </c>
      <c r="AK22" s="356">
        <f>IF(AN22=12,L22,0)</f>
        <v>0</v>
      </c>
      <c r="AL22" s="356">
        <f>IF(AN22=21,L22,0)</f>
        <v>0</v>
      </c>
      <c r="AN22" s="356">
        <v>21</v>
      </c>
      <c r="AO22" s="356">
        <f>H22*0</f>
        <v>0</v>
      </c>
      <c r="AP22" s="356">
        <f>H22*(1-0)</f>
        <v>0</v>
      </c>
      <c r="AQ22" s="357" t="s">
        <v>186</v>
      </c>
      <c r="AV22" s="356">
        <f>AW22+AX22</f>
        <v>0</v>
      </c>
      <c r="AW22" s="356">
        <f>G22*AO22</f>
        <v>0</v>
      </c>
      <c r="AX22" s="356">
        <f>G22*AP22</f>
        <v>0</v>
      </c>
      <c r="AY22" s="357" t="s">
        <v>987</v>
      </c>
      <c r="AZ22" s="357" t="s">
        <v>988</v>
      </c>
      <c r="BA22" s="343" t="s">
        <v>966</v>
      </c>
      <c r="BC22" s="356">
        <f>AW22+AX22</f>
        <v>0</v>
      </c>
      <c r="BD22" s="356">
        <f>H22/(100-BE22)*100</f>
        <v>0</v>
      </c>
      <c r="BE22" s="356">
        <v>0</v>
      </c>
      <c r="BF22" s="356">
        <f>O22</f>
        <v>0</v>
      </c>
      <c r="BH22" s="356">
        <f>G22*AO22</f>
        <v>0</v>
      </c>
      <c r="BI22" s="356">
        <f>G22*AP22</f>
        <v>0</v>
      </c>
      <c r="BJ22" s="356">
        <f>G22*H22</f>
        <v>0</v>
      </c>
      <c r="BK22" s="356"/>
      <c r="BL22" s="356">
        <v>87</v>
      </c>
      <c r="BW22" s="356" t="str">
        <f>I22</f>
        <v>21</v>
      </c>
      <c r="BX22" s="335" t="s">
        <v>986</v>
      </c>
    </row>
    <row r="23" spans="1:76" x14ac:dyDescent="0.2">
      <c r="A23" s="186"/>
      <c r="C23" s="359" t="s">
        <v>139</v>
      </c>
      <c r="D23" s="477" t="s">
        <v>989</v>
      </c>
      <c r="E23" s="478"/>
      <c r="F23" s="478"/>
      <c r="G23" s="478"/>
      <c r="H23" s="478"/>
      <c r="I23" s="478"/>
      <c r="J23" s="478"/>
      <c r="K23" s="478"/>
      <c r="L23" s="478"/>
      <c r="M23" s="478"/>
      <c r="N23" s="478"/>
      <c r="O23" s="478"/>
      <c r="P23" s="479"/>
    </row>
    <row r="24" spans="1:76" x14ac:dyDescent="0.2">
      <c r="A24" s="333" t="s">
        <v>217</v>
      </c>
      <c r="B24" s="334" t="s">
        <v>129</v>
      </c>
      <c r="C24" s="334" t="s">
        <v>990</v>
      </c>
      <c r="D24" s="467" t="s">
        <v>991</v>
      </c>
      <c r="E24" s="455"/>
      <c r="F24" s="334" t="s">
        <v>190</v>
      </c>
      <c r="G24" s="356">
        <v>0</v>
      </c>
      <c r="H24" s="356"/>
      <c r="I24" s="357" t="s">
        <v>287</v>
      </c>
      <c r="J24" s="356">
        <f>G24*AO24</f>
        <v>0</v>
      </c>
      <c r="K24" s="356">
        <f>G24*AP24</f>
        <v>0</v>
      </c>
      <c r="L24" s="356">
        <f>G24*H24</f>
        <v>0</v>
      </c>
      <c r="M24" s="356">
        <f>L24*(1+BW24/100)</f>
        <v>0</v>
      </c>
      <c r="N24" s="356">
        <v>0</v>
      </c>
      <c r="O24" s="356">
        <f>G24*N24</f>
        <v>0</v>
      </c>
      <c r="P24" s="358" t="s">
        <v>963</v>
      </c>
      <c r="Z24" s="356">
        <f>IF(AQ24="5",BJ24,0)</f>
        <v>0</v>
      </c>
      <c r="AB24" s="356">
        <f>IF(AQ24="1",BH24,0)</f>
        <v>0</v>
      </c>
      <c r="AC24" s="356">
        <f>IF(AQ24="1",BI24,0)</f>
        <v>0</v>
      </c>
      <c r="AD24" s="356">
        <f>IF(AQ24="7",BH24,0)</f>
        <v>0</v>
      </c>
      <c r="AE24" s="356">
        <f>IF(AQ24="7",BI24,0)</f>
        <v>0</v>
      </c>
      <c r="AF24" s="356">
        <f>IF(AQ24="2",BH24,0)</f>
        <v>0</v>
      </c>
      <c r="AG24" s="356">
        <f>IF(AQ24="2",BI24,0)</f>
        <v>0</v>
      </c>
      <c r="AH24" s="356">
        <f>IF(AQ24="0",BJ24,0)</f>
        <v>0</v>
      </c>
      <c r="AI24" s="343" t="s">
        <v>129</v>
      </c>
      <c r="AJ24" s="356">
        <f>IF(AN24=0,L24,0)</f>
        <v>0</v>
      </c>
      <c r="AK24" s="356">
        <f>IF(AN24=12,L24,0)</f>
        <v>0</v>
      </c>
      <c r="AL24" s="356">
        <f>IF(AN24=21,L24,0)</f>
        <v>0</v>
      </c>
      <c r="AN24" s="356">
        <v>21</v>
      </c>
      <c r="AO24" s="356">
        <f>H24*0</f>
        <v>0</v>
      </c>
      <c r="AP24" s="356">
        <f>H24*(1-0)</f>
        <v>0</v>
      </c>
      <c r="AQ24" s="357" t="s">
        <v>186</v>
      </c>
      <c r="AV24" s="356">
        <f>AW24+AX24</f>
        <v>0</v>
      </c>
      <c r="AW24" s="356">
        <f>G24*AO24</f>
        <v>0</v>
      </c>
      <c r="AX24" s="356">
        <f>G24*AP24</f>
        <v>0</v>
      </c>
      <c r="AY24" s="357" t="s">
        <v>987</v>
      </c>
      <c r="AZ24" s="357" t="s">
        <v>988</v>
      </c>
      <c r="BA24" s="343" t="s">
        <v>966</v>
      </c>
      <c r="BC24" s="356">
        <f>AW24+AX24</f>
        <v>0</v>
      </c>
      <c r="BD24" s="356">
        <f>H24/(100-BE24)*100</f>
        <v>0</v>
      </c>
      <c r="BE24" s="356">
        <v>0</v>
      </c>
      <c r="BF24" s="356">
        <f>O24</f>
        <v>0</v>
      </c>
      <c r="BH24" s="356">
        <f>G24*AO24</f>
        <v>0</v>
      </c>
      <c r="BI24" s="356">
        <f>G24*AP24</f>
        <v>0</v>
      </c>
      <c r="BJ24" s="356">
        <f>G24*H24</f>
        <v>0</v>
      </c>
      <c r="BK24" s="356"/>
      <c r="BL24" s="356">
        <v>87</v>
      </c>
      <c r="BW24" s="356" t="str">
        <f>I24</f>
        <v>21</v>
      </c>
      <c r="BX24" s="335" t="s">
        <v>991</v>
      </c>
    </row>
    <row r="25" spans="1:76" x14ac:dyDescent="0.2">
      <c r="A25" s="352" t="s">
        <v>129</v>
      </c>
      <c r="B25" s="353" t="s">
        <v>129</v>
      </c>
      <c r="C25" s="353" t="s">
        <v>196</v>
      </c>
      <c r="D25" s="475" t="s">
        <v>992</v>
      </c>
      <c r="E25" s="476"/>
      <c r="F25" s="354" t="s">
        <v>920</v>
      </c>
      <c r="G25" s="354" t="s">
        <v>920</v>
      </c>
      <c r="H25" s="354" t="s">
        <v>920</v>
      </c>
      <c r="I25" s="354" t="s">
        <v>920</v>
      </c>
      <c r="J25" s="332">
        <f>SUM(J26:J38)</f>
        <v>0</v>
      </c>
      <c r="K25" s="332">
        <f>SUM(K26:K38)</f>
        <v>0</v>
      </c>
      <c r="L25" s="332">
        <f>SUM(L26:L38)</f>
        <v>0</v>
      </c>
      <c r="M25" s="332">
        <f>SUM(M26:M38)</f>
        <v>0</v>
      </c>
      <c r="N25" s="343" t="s">
        <v>129</v>
      </c>
      <c r="O25" s="332">
        <f>SUM(O26:O38)</f>
        <v>6.1950000000000005E-2</v>
      </c>
      <c r="P25" s="355" t="s">
        <v>129</v>
      </c>
      <c r="AI25" s="343" t="s">
        <v>129</v>
      </c>
      <c r="AS25" s="332">
        <f>SUM(AJ26:AJ38)</f>
        <v>0</v>
      </c>
      <c r="AT25" s="332">
        <f>SUM(AK26:AK38)</f>
        <v>0</v>
      </c>
      <c r="AU25" s="332">
        <f>SUM(AL26:AL38)</f>
        <v>0</v>
      </c>
    </row>
    <row r="26" spans="1:76" ht="135.75" customHeight="1" x14ac:dyDescent="0.2">
      <c r="A26" s="333" t="s">
        <v>221</v>
      </c>
      <c r="B26" s="334" t="s">
        <v>129</v>
      </c>
      <c r="C26" s="334" t="s">
        <v>993</v>
      </c>
      <c r="D26" s="467" t="s">
        <v>1019</v>
      </c>
      <c r="E26" s="455"/>
      <c r="F26" s="334" t="s">
        <v>241</v>
      </c>
      <c r="G26" s="356">
        <v>1</v>
      </c>
      <c r="H26" s="356"/>
      <c r="I26" s="357" t="s">
        <v>287</v>
      </c>
      <c r="J26" s="356">
        <f>G26*AO26</f>
        <v>0</v>
      </c>
      <c r="K26" s="356">
        <f>G26*AP26</f>
        <v>0</v>
      </c>
      <c r="L26" s="356">
        <f>G26*H26</f>
        <v>0</v>
      </c>
      <c r="M26" s="356">
        <f>L26*(1+BW26/100)</f>
        <v>0</v>
      </c>
      <c r="N26" s="356">
        <v>2.1000000000000001E-2</v>
      </c>
      <c r="O26" s="356">
        <f>G26*N26</f>
        <v>2.1000000000000001E-2</v>
      </c>
      <c r="P26" s="358" t="s">
        <v>963</v>
      </c>
      <c r="Z26" s="356">
        <f>IF(AQ26="5",BJ26,0)</f>
        <v>0</v>
      </c>
      <c r="AB26" s="356">
        <f>IF(AQ26="1",BH26,0)</f>
        <v>0</v>
      </c>
      <c r="AC26" s="356">
        <f>IF(AQ26="1",BI26,0)</f>
        <v>0</v>
      </c>
      <c r="AD26" s="356">
        <f>IF(AQ26="7",BH26,0)</f>
        <v>0</v>
      </c>
      <c r="AE26" s="356">
        <f>IF(AQ26="7",BI26,0)</f>
        <v>0</v>
      </c>
      <c r="AF26" s="356">
        <f>IF(AQ26="2",BH26,0)</f>
        <v>0</v>
      </c>
      <c r="AG26" s="356">
        <f>IF(AQ26="2",BI26,0)</f>
        <v>0</v>
      </c>
      <c r="AH26" s="356">
        <f>IF(AQ26="0",BJ26,0)</f>
        <v>0</v>
      </c>
      <c r="AI26" s="343" t="s">
        <v>129</v>
      </c>
      <c r="AJ26" s="356">
        <f>IF(AN26=0,L26,0)</f>
        <v>0</v>
      </c>
      <c r="AK26" s="356">
        <f>IF(AN26=12,L26,0)</f>
        <v>0</v>
      </c>
      <c r="AL26" s="356">
        <f>IF(AN26=21,L26,0)</f>
        <v>0</v>
      </c>
      <c r="AN26" s="356">
        <v>21</v>
      </c>
      <c r="AO26" s="356">
        <f>H26*1</f>
        <v>0</v>
      </c>
      <c r="AP26" s="356">
        <f>H26*(1-1)</f>
        <v>0</v>
      </c>
      <c r="AQ26" s="357" t="s">
        <v>182</v>
      </c>
      <c r="AV26" s="356">
        <f>AW26+AX26</f>
        <v>0</v>
      </c>
      <c r="AW26" s="356">
        <f>G26*AO26</f>
        <v>0</v>
      </c>
      <c r="AX26" s="356">
        <f>G26*AP26</f>
        <v>0</v>
      </c>
      <c r="AY26" s="357" t="s">
        <v>995</v>
      </c>
      <c r="AZ26" s="357" t="s">
        <v>996</v>
      </c>
      <c r="BA26" s="343" t="s">
        <v>966</v>
      </c>
      <c r="BC26" s="356">
        <f>AW26+AX26</f>
        <v>0</v>
      </c>
      <c r="BD26" s="356">
        <f>H26/(100-BE26)*100</f>
        <v>0</v>
      </c>
      <c r="BE26" s="356">
        <v>0</v>
      </c>
      <c r="BF26" s="356">
        <f>O26</f>
        <v>2.1000000000000001E-2</v>
      </c>
      <c r="BH26" s="356">
        <f>G26*AO26</f>
        <v>0</v>
      </c>
      <c r="BI26" s="356">
        <f>G26*AP26</f>
        <v>0</v>
      </c>
      <c r="BJ26" s="356">
        <f>G26*H26</f>
        <v>0</v>
      </c>
      <c r="BK26" s="356"/>
      <c r="BL26" s="356"/>
      <c r="BW26" s="356" t="str">
        <f>I26</f>
        <v>21</v>
      </c>
      <c r="BX26" s="335" t="s">
        <v>994</v>
      </c>
    </row>
    <row r="27" spans="1:76" x14ac:dyDescent="0.2">
      <c r="A27" s="333" t="s">
        <v>225</v>
      </c>
      <c r="B27" s="334" t="s">
        <v>129</v>
      </c>
      <c r="C27" s="334" t="s">
        <v>997</v>
      </c>
      <c r="D27" s="467" t="s">
        <v>998</v>
      </c>
      <c r="E27" s="455"/>
      <c r="F27" s="334" t="s">
        <v>241</v>
      </c>
      <c r="G27" s="356">
        <v>0</v>
      </c>
      <c r="H27" s="356"/>
      <c r="I27" s="357" t="s">
        <v>287</v>
      </c>
      <c r="J27" s="356">
        <f>G27*AO27</f>
        <v>0</v>
      </c>
      <c r="K27" s="356">
        <f>G27*AP27</f>
        <v>0</v>
      </c>
      <c r="L27" s="356">
        <f>G27*H27</f>
        <v>0</v>
      </c>
      <c r="M27" s="356">
        <f>L27*(1+BW27/100)</f>
        <v>0</v>
      </c>
      <c r="N27" s="356">
        <v>2.7999999999999998E-4</v>
      </c>
      <c r="O27" s="356">
        <f>G27*N27</f>
        <v>0</v>
      </c>
      <c r="P27" s="358" t="s">
        <v>963</v>
      </c>
      <c r="Z27" s="356">
        <f>IF(AQ27="5",BJ27,0)</f>
        <v>0</v>
      </c>
      <c r="AB27" s="356">
        <f>IF(AQ27="1",BH27,0)</f>
        <v>0</v>
      </c>
      <c r="AC27" s="356">
        <f>IF(AQ27="1",BI27,0)</f>
        <v>0</v>
      </c>
      <c r="AD27" s="356">
        <f>IF(AQ27="7",BH27,0)</f>
        <v>0</v>
      </c>
      <c r="AE27" s="356">
        <f>IF(AQ27="7",BI27,0)</f>
        <v>0</v>
      </c>
      <c r="AF27" s="356">
        <f>IF(AQ27="2",BH27,0)</f>
        <v>0</v>
      </c>
      <c r="AG27" s="356">
        <f>IF(AQ27="2",BI27,0)</f>
        <v>0</v>
      </c>
      <c r="AH27" s="356">
        <f>IF(AQ27="0",BJ27,0)</f>
        <v>0</v>
      </c>
      <c r="AI27" s="343" t="s">
        <v>129</v>
      </c>
      <c r="AJ27" s="356">
        <f>IF(AN27=0,L27,0)</f>
        <v>0</v>
      </c>
      <c r="AK27" s="356">
        <f>IF(AN27=12,L27,0)</f>
        <v>0</v>
      </c>
      <c r="AL27" s="356">
        <f>IF(AN27=21,L27,0)</f>
        <v>0</v>
      </c>
      <c r="AN27" s="356">
        <v>21</v>
      </c>
      <c r="AO27" s="356">
        <f>H27*1</f>
        <v>0</v>
      </c>
      <c r="AP27" s="356">
        <f>H27*(1-1)</f>
        <v>0</v>
      </c>
      <c r="AQ27" s="357" t="s">
        <v>182</v>
      </c>
      <c r="AV27" s="356">
        <f>AW27+AX27</f>
        <v>0</v>
      </c>
      <c r="AW27" s="356">
        <f>G27*AO27</f>
        <v>0</v>
      </c>
      <c r="AX27" s="356">
        <f>G27*AP27</f>
        <v>0</v>
      </c>
      <c r="AY27" s="357" t="s">
        <v>995</v>
      </c>
      <c r="AZ27" s="357" t="s">
        <v>996</v>
      </c>
      <c r="BA27" s="343" t="s">
        <v>966</v>
      </c>
      <c r="BC27" s="356">
        <f>AW27+AX27</f>
        <v>0</v>
      </c>
      <c r="BD27" s="356">
        <f>H27/(100-BE27)*100</f>
        <v>0</v>
      </c>
      <c r="BE27" s="356">
        <v>0</v>
      </c>
      <c r="BF27" s="356">
        <f>O27</f>
        <v>0</v>
      </c>
      <c r="BH27" s="356">
        <f>G27*AO27</f>
        <v>0</v>
      </c>
      <c r="BI27" s="356">
        <f>G27*AP27</f>
        <v>0</v>
      </c>
      <c r="BJ27" s="356">
        <f>G27*H27</f>
        <v>0</v>
      </c>
      <c r="BK27" s="356"/>
      <c r="BL27" s="356"/>
      <c r="BW27" s="356" t="str">
        <f>I27</f>
        <v>21</v>
      </c>
      <c r="BX27" s="335" t="s">
        <v>998</v>
      </c>
    </row>
    <row r="28" spans="1:76" x14ac:dyDescent="0.2">
      <c r="A28" s="333" t="s">
        <v>233</v>
      </c>
      <c r="B28" s="334" t="s">
        <v>129</v>
      </c>
      <c r="C28" s="334" t="s">
        <v>999</v>
      </c>
      <c r="D28" s="467" t="s">
        <v>1000</v>
      </c>
      <c r="E28" s="455"/>
      <c r="F28" s="334" t="s">
        <v>241</v>
      </c>
      <c r="G28" s="356">
        <v>0</v>
      </c>
      <c r="H28" s="356"/>
      <c r="I28" s="357" t="s">
        <v>287</v>
      </c>
      <c r="J28" s="356">
        <f>G28*AO28</f>
        <v>0</v>
      </c>
      <c r="K28" s="356">
        <f>G28*AP28</f>
        <v>0</v>
      </c>
      <c r="L28" s="356">
        <f>G28*H28</f>
        <v>0</v>
      </c>
      <c r="M28" s="356">
        <f>L28*(1+BW28/100)</f>
        <v>0</v>
      </c>
      <c r="N28" s="356">
        <v>1.91E-3</v>
      </c>
      <c r="O28" s="356">
        <f>G28*N28</f>
        <v>0</v>
      </c>
      <c r="P28" s="358" t="s">
        <v>963</v>
      </c>
      <c r="Z28" s="356">
        <f>IF(AQ28="5",BJ28,0)</f>
        <v>0</v>
      </c>
      <c r="AB28" s="356">
        <f>IF(AQ28="1",BH28,0)</f>
        <v>0</v>
      </c>
      <c r="AC28" s="356">
        <f>IF(AQ28="1",BI28,0)</f>
        <v>0</v>
      </c>
      <c r="AD28" s="356">
        <f>IF(AQ28="7",BH28,0)</f>
        <v>0</v>
      </c>
      <c r="AE28" s="356">
        <f>IF(AQ28="7",BI28,0)</f>
        <v>0</v>
      </c>
      <c r="AF28" s="356">
        <f>IF(AQ28="2",BH28,0)</f>
        <v>0</v>
      </c>
      <c r="AG28" s="356">
        <f>IF(AQ28="2",BI28,0)</f>
        <v>0</v>
      </c>
      <c r="AH28" s="356">
        <f>IF(AQ28="0",BJ28,0)</f>
        <v>0</v>
      </c>
      <c r="AI28" s="343" t="s">
        <v>129</v>
      </c>
      <c r="AJ28" s="356">
        <f>IF(AN28=0,L28,0)</f>
        <v>0</v>
      </c>
      <c r="AK28" s="356">
        <f>IF(AN28=12,L28,0)</f>
        <v>0</v>
      </c>
      <c r="AL28" s="356">
        <f>IF(AN28=21,L28,0)</f>
        <v>0</v>
      </c>
      <c r="AN28" s="356">
        <v>21</v>
      </c>
      <c r="AO28" s="356">
        <f>H28*1</f>
        <v>0</v>
      </c>
      <c r="AP28" s="356">
        <f>H28*(1-1)</f>
        <v>0</v>
      </c>
      <c r="AQ28" s="357" t="s">
        <v>182</v>
      </c>
      <c r="AV28" s="356">
        <f>AW28+AX28</f>
        <v>0</v>
      </c>
      <c r="AW28" s="356">
        <f>G28*AO28</f>
        <v>0</v>
      </c>
      <c r="AX28" s="356">
        <f>G28*AP28</f>
        <v>0</v>
      </c>
      <c r="AY28" s="357" t="s">
        <v>995</v>
      </c>
      <c r="AZ28" s="357" t="s">
        <v>996</v>
      </c>
      <c r="BA28" s="343" t="s">
        <v>966</v>
      </c>
      <c r="BC28" s="356">
        <f>AW28+AX28</f>
        <v>0</v>
      </c>
      <c r="BD28" s="356">
        <f>H28/(100-BE28)*100</f>
        <v>0</v>
      </c>
      <c r="BE28" s="356">
        <v>0</v>
      </c>
      <c r="BF28" s="356">
        <f>O28</f>
        <v>0</v>
      </c>
      <c r="BH28" s="356">
        <f>G28*AO28</f>
        <v>0</v>
      </c>
      <c r="BI28" s="356">
        <f>G28*AP28</f>
        <v>0</v>
      </c>
      <c r="BJ28" s="356">
        <f>G28*H28</f>
        <v>0</v>
      </c>
      <c r="BK28" s="356"/>
      <c r="BL28" s="356"/>
      <c r="BW28" s="356" t="str">
        <f>I28</f>
        <v>21</v>
      </c>
      <c r="BX28" s="335" t="s">
        <v>1000</v>
      </c>
    </row>
    <row r="29" spans="1:76" x14ac:dyDescent="0.2">
      <c r="A29" s="186"/>
      <c r="C29" s="359" t="s">
        <v>139</v>
      </c>
      <c r="D29" s="477" t="s">
        <v>1001</v>
      </c>
      <c r="E29" s="478"/>
      <c r="F29" s="478"/>
      <c r="G29" s="478"/>
      <c r="H29" s="478"/>
      <c r="I29" s="478"/>
      <c r="J29" s="478"/>
      <c r="K29" s="478"/>
      <c r="L29" s="478"/>
      <c r="M29" s="478"/>
      <c r="N29" s="478"/>
      <c r="O29" s="478"/>
      <c r="P29" s="479"/>
    </row>
    <row r="30" spans="1:76" x14ac:dyDescent="0.2">
      <c r="A30" s="333" t="s">
        <v>238</v>
      </c>
      <c r="B30" s="334" t="s">
        <v>129</v>
      </c>
      <c r="C30" s="334" t="s">
        <v>1002</v>
      </c>
      <c r="D30" s="467" t="s">
        <v>1003</v>
      </c>
      <c r="E30" s="455"/>
      <c r="F30" s="334" t="s">
        <v>241</v>
      </c>
      <c r="G30" s="356">
        <v>0</v>
      </c>
      <c r="H30" s="356"/>
      <c r="I30" s="357" t="s">
        <v>287</v>
      </c>
      <c r="J30" s="356">
        <f>G30*AO30</f>
        <v>0</v>
      </c>
      <c r="K30" s="356">
        <f>G30*AP30</f>
        <v>0</v>
      </c>
      <c r="L30" s="356">
        <f>G30*H30</f>
        <v>0</v>
      </c>
      <c r="M30" s="356">
        <f>L30*(1+BW30/100)</f>
        <v>0</v>
      </c>
      <c r="N30" s="356">
        <v>0.01</v>
      </c>
      <c r="O30" s="356">
        <f>G30*N30</f>
        <v>0</v>
      </c>
      <c r="P30" s="358" t="s">
        <v>963</v>
      </c>
      <c r="Z30" s="356">
        <f>IF(AQ30="5",BJ30,0)</f>
        <v>0</v>
      </c>
      <c r="AB30" s="356">
        <f>IF(AQ30="1",BH30,0)</f>
        <v>0</v>
      </c>
      <c r="AC30" s="356">
        <f>IF(AQ30="1",BI30,0)</f>
        <v>0</v>
      </c>
      <c r="AD30" s="356">
        <f>IF(AQ30="7",BH30,0)</f>
        <v>0</v>
      </c>
      <c r="AE30" s="356">
        <f>IF(AQ30="7",BI30,0)</f>
        <v>0</v>
      </c>
      <c r="AF30" s="356">
        <f>IF(AQ30="2",BH30,0)</f>
        <v>0</v>
      </c>
      <c r="AG30" s="356">
        <f>IF(AQ30="2",BI30,0)</f>
        <v>0</v>
      </c>
      <c r="AH30" s="356">
        <f>IF(AQ30="0",BJ30,0)</f>
        <v>0</v>
      </c>
      <c r="AI30" s="343" t="s">
        <v>129</v>
      </c>
      <c r="AJ30" s="356">
        <f>IF(AN30=0,L30,0)</f>
        <v>0</v>
      </c>
      <c r="AK30" s="356">
        <f>IF(AN30=12,L30,0)</f>
        <v>0</v>
      </c>
      <c r="AL30" s="356">
        <f>IF(AN30=21,L30,0)</f>
        <v>0</v>
      </c>
      <c r="AN30" s="356">
        <v>21</v>
      </c>
      <c r="AO30" s="356">
        <f>H30*1</f>
        <v>0</v>
      </c>
      <c r="AP30" s="356">
        <f>H30*(1-1)</f>
        <v>0</v>
      </c>
      <c r="AQ30" s="357" t="s">
        <v>182</v>
      </c>
      <c r="AV30" s="356">
        <f>AW30+AX30</f>
        <v>0</v>
      </c>
      <c r="AW30" s="356">
        <f>G30*AO30</f>
        <v>0</v>
      </c>
      <c r="AX30" s="356">
        <f>G30*AP30</f>
        <v>0</v>
      </c>
      <c r="AY30" s="357" t="s">
        <v>995</v>
      </c>
      <c r="AZ30" s="357" t="s">
        <v>996</v>
      </c>
      <c r="BA30" s="343" t="s">
        <v>966</v>
      </c>
      <c r="BC30" s="356">
        <f>AW30+AX30</f>
        <v>0</v>
      </c>
      <c r="BD30" s="356">
        <f>H30/(100-BE30)*100</f>
        <v>0</v>
      </c>
      <c r="BE30" s="356">
        <v>0</v>
      </c>
      <c r="BF30" s="356">
        <f>O30</f>
        <v>0</v>
      </c>
      <c r="BH30" s="356">
        <f>G30*AO30</f>
        <v>0</v>
      </c>
      <c r="BI30" s="356">
        <f>G30*AP30</f>
        <v>0</v>
      </c>
      <c r="BJ30" s="356">
        <f>G30*H30</f>
        <v>0</v>
      </c>
      <c r="BK30" s="356"/>
      <c r="BL30" s="356"/>
      <c r="BW30" s="356" t="str">
        <f>I30</f>
        <v>21</v>
      </c>
      <c r="BX30" s="335" t="s">
        <v>1003</v>
      </c>
    </row>
    <row r="31" spans="1:76" ht="25.5" x14ac:dyDescent="0.2">
      <c r="A31" s="333" t="s">
        <v>244</v>
      </c>
      <c r="B31" s="334" t="s">
        <v>129</v>
      </c>
      <c r="C31" s="334" t="s">
        <v>1004</v>
      </c>
      <c r="D31" s="467" t="s">
        <v>1005</v>
      </c>
      <c r="E31" s="455"/>
      <c r="F31" s="334" t="s">
        <v>241</v>
      </c>
      <c r="G31" s="356">
        <v>4</v>
      </c>
      <c r="H31" s="356"/>
      <c r="I31" s="357" t="s">
        <v>287</v>
      </c>
      <c r="J31" s="356">
        <f>G31*AO31</f>
        <v>0</v>
      </c>
      <c r="K31" s="356">
        <f>G31*AP31</f>
        <v>0</v>
      </c>
      <c r="L31" s="356">
        <f>G31*H31</f>
        <v>0</v>
      </c>
      <c r="M31" s="356">
        <f>L31*(1+BW31/100)</f>
        <v>0</v>
      </c>
      <c r="N31" s="356">
        <v>0</v>
      </c>
      <c r="O31" s="356">
        <f>G31*N31</f>
        <v>0</v>
      </c>
      <c r="P31" s="358" t="s">
        <v>963</v>
      </c>
      <c r="Z31" s="356">
        <f>IF(AQ31="5",BJ31,0)</f>
        <v>0</v>
      </c>
      <c r="AB31" s="356">
        <f>IF(AQ31="1",BH31,0)</f>
        <v>0</v>
      </c>
      <c r="AC31" s="356">
        <f>IF(AQ31="1",BI31,0)</f>
        <v>0</v>
      </c>
      <c r="AD31" s="356">
        <f>IF(AQ31="7",BH31,0)</f>
        <v>0</v>
      </c>
      <c r="AE31" s="356">
        <f>IF(AQ31="7",BI31,0)</f>
        <v>0</v>
      </c>
      <c r="AF31" s="356">
        <f>IF(AQ31="2",BH31,0)</f>
        <v>0</v>
      </c>
      <c r="AG31" s="356">
        <f>IF(AQ31="2",BI31,0)</f>
        <v>0</v>
      </c>
      <c r="AH31" s="356">
        <f>IF(AQ31="0",BJ31,0)</f>
        <v>0</v>
      </c>
      <c r="AI31" s="343" t="s">
        <v>129</v>
      </c>
      <c r="AJ31" s="356">
        <f>IF(AN31=0,L31,0)</f>
        <v>0</v>
      </c>
      <c r="AK31" s="356">
        <f>IF(AN31=12,L31,0)</f>
        <v>0</v>
      </c>
      <c r="AL31" s="356">
        <f>IF(AN31=21,L31,0)</f>
        <v>0</v>
      </c>
      <c r="AN31" s="356">
        <v>21</v>
      </c>
      <c r="AO31" s="356">
        <f>H31*1</f>
        <v>0</v>
      </c>
      <c r="AP31" s="356">
        <f>H31*(1-1)</f>
        <v>0</v>
      </c>
      <c r="AQ31" s="357" t="s">
        <v>182</v>
      </c>
      <c r="AV31" s="356">
        <f>AW31+AX31</f>
        <v>0</v>
      </c>
      <c r="AW31" s="356">
        <f>G31*AO31</f>
        <v>0</v>
      </c>
      <c r="AX31" s="356">
        <f>G31*AP31</f>
        <v>0</v>
      </c>
      <c r="AY31" s="357" t="s">
        <v>995</v>
      </c>
      <c r="AZ31" s="357" t="s">
        <v>996</v>
      </c>
      <c r="BA31" s="343" t="s">
        <v>966</v>
      </c>
      <c r="BC31" s="356">
        <f>AW31+AX31</f>
        <v>0</v>
      </c>
      <c r="BD31" s="356">
        <f>H31/(100-BE31)*100</f>
        <v>0</v>
      </c>
      <c r="BE31" s="356">
        <v>0</v>
      </c>
      <c r="BF31" s="356">
        <f>O31</f>
        <v>0</v>
      </c>
      <c r="BH31" s="356">
        <f>G31*AO31</f>
        <v>0</v>
      </c>
      <c r="BI31" s="356">
        <f>G31*AP31</f>
        <v>0</v>
      </c>
      <c r="BJ31" s="356">
        <f>G31*H31</f>
        <v>0</v>
      </c>
      <c r="BK31" s="356"/>
      <c r="BL31" s="356"/>
      <c r="BW31" s="356" t="str">
        <f>I31</f>
        <v>21</v>
      </c>
      <c r="BX31" s="335" t="s">
        <v>1005</v>
      </c>
    </row>
    <row r="32" spans="1:76" x14ac:dyDescent="0.2">
      <c r="A32" s="186"/>
      <c r="C32" s="359" t="s">
        <v>139</v>
      </c>
      <c r="D32" s="477" t="s">
        <v>1006</v>
      </c>
      <c r="E32" s="478"/>
      <c r="F32" s="478"/>
      <c r="G32" s="478"/>
      <c r="H32" s="478"/>
      <c r="I32" s="478"/>
      <c r="J32" s="478"/>
      <c r="K32" s="478"/>
      <c r="L32" s="478"/>
      <c r="M32" s="478"/>
      <c r="N32" s="478"/>
      <c r="O32" s="478"/>
      <c r="P32" s="479"/>
    </row>
    <row r="33" spans="1:76" x14ac:dyDescent="0.2">
      <c r="A33" s="333" t="s">
        <v>249</v>
      </c>
      <c r="B33" s="334" t="s">
        <v>129</v>
      </c>
      <c r="C33" s="334" t="s">
        <v>1007</v>
      </c>
      <c r="D33" s="467" t="s">
        <v>1008</v>
      </c>
      <c r="E33" s="455"/>
      <c r="F33" s="334" t="s">
        <v>241</v>
      </c>
      <c r="G33" s="356">
        <v>0</v>
      </c>
      <c r="H33" s="356"/>
      <c r="I33" s="357" t="s">
        <v>287</v>
      </c>
      <c r="J33" s="356">
        <f>G33*AO33</f>
        <v>0</v>
      </c>
      <c r="K33" s="356">
        <f>G33*AP33</f>
        <v>0</v>
      </c>
      <c r="L33" s="356">
        <f>G33*H33</f>
        <v>0</v>
      </c>
      <c r="M33" s="356">
        <f>L33*(1+BW33/100)</f>
        <v>0</v>
      </c>
      <c r="N33" s="356">
        <v>4.8000000000000001E-4</v>
      </c>
      <c r="O33" s="356">
        <f>G33*N33</f>
        <v>0</v>
      </c>
      <c r="P33" s="358" t="s">
        <v>963</v>
      </c>
      <c r="Z33" s="356">
        <f>IF(AQ33="5",BJ33,0)</f>
        <v>0</v>
      </c>
      <c r="AB33" s="356">
        <f>IF(AQ33="1",BH33,0)</f>
        <v>0</v>
      </c>
      <c r="AC33" s="356">
        <f>IF(AQ33="1",BI33,0)</f>
        <v>0</v>
      </c>
      <c r="AD33" s="356">
        <f>IF(AQ33="7",BH33,0)</f>
        <v>0</v>
      </c>
      <c r="AE33" s="356">
        <f>IF(AQ33="7",BI33,0)</f>
        <v>0</v>
      </c>
      <c r="AF33" s="356">
        <f>IF(AQ33="2",BH33,0)</f>
        <v>0</v>
      </c>
      <c r="AG33" s="356">
        <f>IF(AQ33="2",BI33,0)</f>
        <v>0</v>
      </c>
      <c r="AH33" s="356">
        <f>IF(AQ33="0",BJ33,0)</f>
        <v>0</v>
      </c>
      <c r="AI33" s="343" t="s">
        <v>129</v>
      </c>
      <c r="AJ33" s="356">
        <f>IF(AN33=0,L33,0)</f>
        <v>0</v>
      </c>
      <c r="AK33" s="356">
        <f>IF(AN33=12,L33,0)</f>
        <v>0</v>
      </c>
      <c r="AL33" s="356">
        <f>IF(AN33=21,L33,0)</f>
        <v>0</v>
      </c>
      <c r="AN33" s="356">
        <v>21</v>
      </c>
      <c r="AO33" s="356">
        <f>H33*1</f>
        <v>0</v>
      </c>
      <c r="AP33" s="356">
        <f>H33*(1-1)</f>
        <v>0</v>
      </c>
      <c r="AQ33" s="357" t="s">
        <v>182</v>
      </c>
      <c r="AV33" s="356">
        <f>AW33+AX33</f>
        <v>0</v>
      </c>
      <c r="AW33" s="356">
        <f>G33*AO33</f>
        <v>0</v>
      </c>
      <c r="AX33" s="356">
        <f>G33*AP33</f>
        <v>0</v>
      </c>
      <c r="AY33" s="357" t="s">
        <v>995</v>
      </c>
      <c r="AZ33" s="357" t="s">
        <v>996</v>
      </c>
      <c r="BA33" s="343" t="s">
        <v>966</v>
      </c>
      <c r="BC33" s="356">
        <f>AW33+AX33</f>
        <v>0</v>
      </c>
      <c r="BD33" s="356">
        <f>H33/(100-BE33)*100</f>
        <v>0</v>
      </c>
      <c r="BE33" s="356">
        <v>0</v>
      </c>
      <c r="BF33" s="356">
        <f>O33</f>
        <v>0</v>
      </c>
      <c r="BH33" s="356">
        <f>G33*AO33</f>
        <v>0</v>
      </c>
      <c r="BI33" s="356">
        <f>G33*AP33</f>
        <v>0</v>
      </c>
      <c r="BJ33" s="356">
        <f>G33*H33</f>
        <v>0</v>
      </c>
      <c r="BK33" s="356"/>
      <c r="BL33" s="356"/>
      <c r="BW33" s="356" t="str">
        <f>I33</f>
        <v>21</v>
      </c>
      <c r="BX33" s="335" t="s">
        <v>1008</v>
      </c>
    </row>
    <row r="34" spans="1:76" x14ac:dyDescent="0.2">
      <c r="A34" s="333" t="s">
        <v>254</v>
      </c>
      <c r="B34" s="334" t="s">
        <v>129</v>
      </c>
      <c r="C34" s="334" t="s">
        <v>1009</v>
      </c>
      <c r="D34" s="467" t="s">
        <v>1010</v>
      </c>
      <c r="E34" s="455"/>
      <c r="F34" s="334" t="s">
        <v>190</v>
      </c>
      <c r="G34" s="356">
        <v>0</v>
      </c>
      <c r="H34" s="356"/>
      <c r="I34" s="357" t="s">
        <v>287</v>
      </c>
      <c r="J34" s="356">
        <f>G34*AO34</f>
        <v>0</v>
      </c>
      <c r="K34" s="356">
        <f>G34*AP34</f>
        <v>0</v>
      </c>
      <c r="L34" s="356">
        <f>G34*H34</f>
        <v>0</v>
      </c>
      <c r="M34" s="356">
        <f>L34*(1+BW34/100)</f>
        <v>0</v>
      </c>
      <c r="N34" s="356">
        <v>6.7000000000000002E-4</v>
      </c>
      <c r="O34" s="356">
        <f>G34*N34</f>
        <v>0</v>
      </c>
      <c r="P34" s="358" t="s">
        <v>963</v>
      </c>
      <c r="Z34" s="356">
        <f>IF(AQ34="5",BJ34,0)</f>
        <v>0</v>
      </c>
      <c r="AB34" s="356">
        <f>IF(AQ34="1",BH34,0)</f>
        <v>0</v>
      </c>
      <c r="AC34" s="356">
        <f>IF(AQ34="1",BI34,0)</f>
        <v>0</v>
      </c>
      <c r="AD34" s="356">
        <f>IF(AQ34="7",BH34,0)</f>
        <v>0</v>
      </c>
      <c r="AE34" s="356">
        <f>IF(AQ34="7",BI34,0)</f>
        <v>0</v>
      </c>
      <c r="AF34" s="356">
        <f>IF(AQ34="2",BH34,0)</f>
        <v>0</v>
      </c>
      <c r="AG34" s="356">
        <f>IF(AQ34="2",BI34,0)</f>
        <v>0</v>
      </c>
      <c r="AH34" s="356">
        <f>IF(AQ34="0",BJ34,0)</f>
        <v>0</v>
      </c>
      <c r="AI34" s="343" t="s">
        <v>129</v>
      </c>
      <c r="AJ34" s="356">
        <f>IF(AN34=0,L34,0)</f>
        <v>0</v>
      </c>
      <c r="AK34" s="356">
        <f>IF(AN34=12,L34,0)</f>
        <v>0</v>
      </c>
      <c r="AL34" s="356">
        <f>IF(AN34=21,L34,0)</f>
        <v>0</v>
      </c>
      <c r="AN34" s="356">
        <v>21</v>
      </c>
      <c r="AO34" s="356">
        <f>H34*1</f>
        <v>0</v>
      </c>
      <c r="AP34" s="356">
        <f>H34*(1-1)</f>
        <v>0</v>
      </c>
      <c r="AQ34" s="357" t="s">
        <v>182</v>
      </c>
      <c r="AV34" s="356">
        <f>AW34+AX34</f>
        <v>0</v>
      </c>
      <c r="AW34" s="356">
        <f>G34*AO34</f>
        <v>0</v>
      </c>
      <c r="AX34" s="356">
        <f>G34*AP34</f>
        <v>0</v>
      </c>
      <c r="AY34" s="357" t="s">
        <v>995</v>
      </c>
      <c r="AZ34" s="357" t="s">
        <v>996</v>
      </c>
      <c r="BA34" s="343" t="s">
        <v>966</v>
      </c>
      <c r="BC34" s="356">
        <f>AW34+AX34</f>
        <v>0</v>
      </c>
      <c r="BD34" s="356">
        <f>H34/(100-BE34)*100</f>
        <v>0</v>
      </c>
      <c r="BE34" s="356">
        <v>0</v>
      </c>
      <c r="BF34" s="356">
        <f>O34</f>
        <v>0</v>
      </c>
      <c r="BH34" s="356">
        <f>G34*AO34</f>
        <v>0</v>
      </c>
      <c r="BI34" s="356">
        <f>G34*AP34</f>
        <v>0</v>
      </c>
      <c r="BJ34" s="356">
        <f>G34*H34</f>
        <v>0</v>
      </c>
      <c r="BK34" s="356"/>
      <c r="BL34" s="356"/>
      <c r="BW34" s="356" t="str">
        <f>I34</f>
        <v>21</v>
      </c>
      <c r="BX34" s="335" t="s">
        <v>1010</v>
      </c>
    </row>
    <row r="35" spans="1:76" x14ac:dyDescent="0.2">
      <c r="A35" s="333" t="s">
        <v>259</v>
      </c>
      <c r="B35" s="334" t="s">
        <v>129</v>
      </c>
      <c r="C35" s="334" t="s">
        <v>1011</v>
      </c>
      <c r="D35" s="467" t="s">
        <v>1012</v>
      </c>
      <c r="E35" s="455"/>
      <c r="F35" s="334" t="s">
        <v>190</v>
      </c>
      <c r="G35" s="356">
        <v>39</v>
      </c>
      <c r="H35" s="356"/>
      <c r="I35" s="357" t="s">
        <v>287</v>
      </c>
      <c r="J35" s="356">
        <f>G35*AO35</f>
        <v>0</v>
      </c>
      <c r="K35" s="356">
        <f>G35*AP35</f>
        <v>0</v>
      </c>
      <c r="L35" s="356">
        <f>G35*H35</f>
        <v>0</v>
      </c>
      <c r="M35" s="356">
        <f>L35*(1+BW35/100)</f>
        <v>0</v>
      </c>
      <c r="N35" s="356">
        <v>1.0499999999999999E-3</v>
      </c>
      <c r="O35" s="356">
        <f>G35*N35</f>
        <v>4.095E-2</v>
      </c>
      <c r="P35" s="358" t="s">
        <v>963</v>
      </c>
      <c r="Z35" s="356">
        <f>IF(AQ35="5",BJ35,0)</f>
        <v>0</v>
      </c>
      <c r="AB35" s="356">
        <f>IF(AQ35="1",BH35,0)</f>
        <v>0</v>
      </c>
      <c r="AC35" s="356">
        <f>IF(AQ35="1",BI35,0)</f>
        <v>0</v>
      </c>
      <c r="AD35" s="356">
        <f>IF(AQ35="7",BH35,0)</f>
        <v>0</v>
      </c>
      <c r="AE35" s="356">
        <f>IF(AQ35="7",BI35,0)</f>
        <v>0</v>
      </c>
      <c r="AF35" s="356">
        <f>IF(AQ35="2",BH35,0)</f>
        <v>0</v>
      </c>
      <c r="AG35" s="356">
        <f>IF(AQ35="2",BI35,0)</f>
        <v>0</v>
      </c>
      <c r="AH35" s="356">
        <f>IF(AQ35="0",BJ35,0)</f>
        <v>0</v>
      </c>
      <c r="AI35" s="343" t="s">
        <v>129</v>
      </c>
      <c r="AJ35" s="356">
        <f>IF(AN35=0,L35,0)</f>
        <v>0</v>
      </c>
      <c r="AK35" s="356">
        <f>IF(AN35=12,L35,0)</f>
        <v>0</v>
      </c>
      <c r="AL35" s="356">
        <f>IF(AN35=21,L35,0)</f>
        <v>0</v>
      </c>
      <c r="AN35" s="356">
        <v>21</v>
      </c>
      <c r="AO35" s="356">
        <f>H35*1</f>
        <v>0</v>
      </c>
      <c r="AP35" s="356">
        <f>H35*(1-1)</f>
        <v>0</v>
      </c>
      <c r="AQ35" s="357" t="s">
        <v>182</v>
      </c>
      <c r="AV35" s="356">
        <f>AW35+AX35</f>
        <v>0</v>
      </c>
      <c r="AW35" s="356">
        <f>G35*AO35</f>
        <v>0</v>
      </c>
      <c r="AX35" s="356">
        <f>G35*AP35</f>
        <v>0</v>
      </c>
      <c r="AY35" s="357" t="s">
        <v>995</v>
      </c>
      <c r="AZ35" s="357" t="s">
        <v>996</v>
      </c>
      <c r="BA35" s="343" t="s">
        <v>966</v>
      </c>
      <c r="BC35" s="356">
        <f>AW35+AX35</f>
        <v>0</v>
      </c>
      <c r="BD35" s="356">
        <f>H35/(100-BE35)*100</f>
        <v>0</v>
      </c>
      <c r="BE35" s="356">
        <v>0</v>
      </c>
      <c r="BF35" s="356">
        <f>O35</f>
        <v>4.095E-2</v>
      </c>
      <c r="BH35" s="356">
        <f>G35*AO35</f>
        <v>0</v>
      </c>
      <c r="BI35" s="356">
        <f>G35*AP35</f>
        <v>0</v>
      </c>
      <c r="BJ35" s="356">
        <f>G35*H35</f>
        <v>0</v>
      </c>
      <c r="BK35" s="356"/>
      <c r="BL35" s="356"/>
      <c r="BW35" s="356" t="str">
        <f>I35</f>
        <v>21</v>
      </c>
      <c r="BX35" s="335" t="s">
        <v>1012</v>
      </c>
    </row>
    <row r="36" spans="1:76" x14ac:dyDescent="0.2">
      <c r="A36" s="186"/>
      <c r="C36" s="359" t="s">
        <v>139</v>
      </c>
      <c r="D36" s="477" t="s">
        <v>1013</v>
      </c>
      <c r="E36" s="478"/>
      <c r="F36" s="478"/>
      <c r="G36" s="478"/>
      <c r="H36" s="478"/>
      <c r="I36" s="478"/>
      <c r="J36" s="478"/>
      <c r="K36" s="478"/>
      <c r="L36" s="478"/>
      <c r="M36" s="478"/>
      <c r="N36" s="478"/>
      <c r="O36" s="478"/>
      <c r="P36" s="479"/>
    </row>
    <row r="37" spans="1:76" x14ac:dyDescent="0.2">
      <c r="A37" s="333" t="s">
        <v>192</v>
      </c>
      <c r="B37" s="334" t="s">
        <v>129</v>
      </c>
      <c r="C37" s="334" t="s">
        <v>1014</v>
      </c>
      <c r="D37" s="467" t="s">
        <v>1015</v>
      </c>
      <c r="E37" s="455"/>
      <c r="F37" s="334" t="s">
        <v>241</v>
      </c>
      <c r="G37" s="356">
        <v>0</v>
      </c>
      <c r="H37" s="356"/>
      <c r="I37" s="357" t="s">
        <v>287</v>
      </c>
      <c r="J37" s="356">
        <f>G37*AO37</f>
        <v>0</v>
      </c>
      <c r="K37" s="356">
        <f>G37*AP37</f>
        <v>0</v>
      </c>
      <c r="L37" s="356">
        <f>G37*H37</f>
        <v>0</v>
      </c>
      <c r="M37" s="356">
        <f>L37*(1+BW37/100)</f>
        <v>0</v>
      </c>
      <c r="N37" s="356">
        <v>2.4000000000000001E-4</v>
      </c>
      <c r="O37" s="356">
        <f>G37*N37</f>
        <v>0</v>
      </c>
      <c r="P37" s="358" t="s">
        <v>963</v>
      </c>
      <c r="Z37" s="356">
        <f>IF(AQ37="5",BJ37,0)</f>
        <v>0</v>
      </c>
      <c r="AB37" s="356">
        <f>IF(AQ37="1",BH37,0)</f>
        <v>0</v>
      </c>
      <c r="AC37" s="356">
        <f>IF(AQ37="1",BI37,0)</f>
        <v>0</v>
      </c>
      <c r="AD37" s="356">
        <f>IF(AQ37="7",BH37,0)</f>
        <v>0</v>
      </c>
      <c r="AE37" s="356">
        <f>IF(AQ37="7",BI37,0)</f>
        <v>0</v>
      </c>
      <c r="AF37" s="356">
        <f>IF(AQ37="2",BH37,0)</f>
        <v>0</v>
      </c>
      <c r="AG37" s="356">
        <f>IF(AQ37="2",BI37,0)</f>
        <v>0</v>
      </c>
      <c r="AH37" s="356">
        <f>IF(AQ37="0",BJ37,0)</f>
        <v>0</v>
      </c>
      <c r="AI37" s="343" t="s">
        <v>129</v>
      </c>
      <c r="AJ37" s="356">
        <f>IF(AN37=0,L37,0)</f>
        <v>0</v>
      </c>
      <c r="AK37" s="356">
        <f>IF(AN37=12,L37,0)</f>
        <v>0</v>
      </c>
      <c r="AL37" s="356">
        <f>IF(AN37=21,L37,0)</f>
        <v>0</v>
      </c>
      <c r="AN37" s="356">
        <v>21</v>
      </c>
      <c r="AO37" s="356">
        <f>H37*1</f>
        <v>0</v>
      </c>
      <c r="AP37" s="356">
        <f>H37*(1-1)</f>
        <v>0</v>
      </c>
      <c r="AQ37" s="357" t="s">
        <v>182</v>
      </c>
      <c r="AV37" s="356">
        <f>AW37+AX37</f>
        <v>0</v>
      </c>
      <c r="AW37" s="356">
        <f>G37*AO37</f>
        <v>0</v>
      </c>
      <c r="AX37" s="356">
        <f>G37*AP37</f>
        <v>0</v>
      </c>
      <c r="AY37" s="357" t="s">
        <v>995</v>
      </c>
      <c r="AZ37" s="357" t="s">
        <v>996</v>
      </c>
      <c r="BA37" s="343" t="s">
        <v>966</v>
      </c>
      <c r="BC37" s="356">
        <f>AW37+AX37</f>
        <v>0</v>
      </c>
      <c r="BD37" s="356">
        <f>H37/(100-BE37)*100</f>
        <v>0</v>
      </c>
      <c r="BE37" s="356">
        <v>0</v>
      </c>
      <c r="BF37" s="356">
        <f>O37</f>
        <v>0</v>
      </c>
      <c r="BH37" s="356">
        <f>G37*AO37</f>
        <v>0</v>
      </c>
      <c r="BI37" s="356">
        <f>G37*AP37</f>
        <v>0</v>
      </c>
      <c r="BJ37" s="356">
        <f>G37*H37</f>
        <v>0</v>
      </c>
      <c r="BK37" s="356"/>
      <c r="BL37" s="356"/>
      <c r="BW37" s="356" t="str">
        <f>I37</f>
        <v>21</v>
      </c>
      <c r="BX37" s="335" t="s">
        <v>1015</v>
      </c>
    </row>
    <row r="38" spans="1:76" x14ac:dyDescent="0.2">
      <c r="A38" s="360" t="s">
        <v>268</v>
      </c>
      <c r="B38" s="361" t="s">
        <v>129</v>
      </c>
      <c r="C38" s="361" t="s">
        <v>1016</v>
      </c>
      <c r="D38" s="480" t="s">
        <v>1017</v>
      </c>
      <c r="E38" s="481"/>
      <c r="F38" s="361" t="s">
        <v>241</v>
      </c>
      <c r="G38" s="362">
        <v>0</v>
      </c>
      <c r="H38" s="362"/>
      <c r="I38" s="363" t="s">
        <v>287</v>
      </c>
      <c r="J38" s="362">
        <f>G38*AO38</f>
        <v>0</v>
      </c>
      <c r="K38" s="362">
        <f>G38*AP38</f>
        <v>0</v>
      </c>
      <c r="L38" s="362">
        <f>G38*H38</f>
        <v>0</v>
      </c>
      <c r="M38" s="362">
        <f>L38*(1+BW38/100)</f>
        <v>0</v>
      </c>
      <c r="N38" s="362">
        <v>1.6000000000000001E-4</v>
      </c>
      <c r="O38" s="362">
        <f>G38*N38</f>
        <v>0</v>
      </c>
      <c r="P38" s="364" t="s">
        <v>963</v>
      </c>
      <c r="Z38" s="356">
        <f>IF(AQ38="5",BJ38,0)</f>
        <v>0</v>
      </c>
      <c r="AB38" s="356">
        <f>IF(AQ38="1",BH38,0)</f>
        <v>0</v>
      </c>
      <c r="AC38" s="356">
        <f>IF(AQ38="1",BI38,0)</f>
        <v>0</v>
      </c>
      <c r="AD38" s="356">
        <f>IF(AQ38="7",BH38,0)</f>
        <v>0</v>
      </c>
      <c r="AE38" s="356">
        <f>IF(AQ38="7",BI38,0)</f>
        <v>0</v>
      </c>
      <c r="AF38" s="356">
        <f>IF(AQ38="2",BH38,0)</f>
        <v>0</v>
      </c>
      <c r="AG38" s="356">
        <f>IF(AQ38="2",BI38,0)</f>
        <v>0</v>
      </c>
      <c r="AH38" s="356">
        <f>IF(AQ38="0",BJ38,0)</f>
        <v>0</v>
      </c>
      <c r="AI38" s="343" t="s">
        <v>129</v>
      </c>
      <c r="AJ38" s="356">
        <f>IF(AN38=0,L38,0)</f>
        <v>0</v>
      </c>
      <c r="AK38" s="356">
        <f>IF(AN38=12,L38,0)</f>
        <v>0</v>
      </c>
      <c r="AL38" s="356">
        <f>IF(AN38=21,L38,0)</f>
        <v>0</v>
      </c>
      <c r="AN38" s="356">
        <v>21</v>
      </c>
      <c r="AO38" s="356">
        <f>H38*1</f>
        <v>0</v>
      </c>
      <c r="AP38" s="356">
        <f>H38*(1-1)</f>
        <v>0</v>
      </c>
      <c r="AQ38" s="357" t="s">
        <v>182</v>
      </c>
      <c r="AV38" s="356">
        <f>AW38+AX38</f>
        <v>0</v>
      </c>
      <c r="AW38" s="356">
        <f>G38*AO38</f>
        <v>0</v>
      </c>
      <c r="AX38" s="356">
        <f>G38*AP38</f>
        <v>0</v>
      </c>
      <c r="AY38" s="357" t="s">
        <v>995</v>
      </c>
      <c r="AZ38" s="357" t="s">
        <v>996</v>
      </c>
      <c r="BA38" s="343" t="s">
        <v>966</v>
      </c>
      <c r="BC38" s="356">
        <f>AW38+AX38</f>
        <v>0</v>
      </c>
      <c r="BD38" s="356">
        <f>H38/(100-BE38)*100</f>
        <v>0</v>
      </c>
      <c r="BE38" s="356">
        <v>0</v>
      </c>
      <c r="BF38" s="356">
        <f>O38</f>
        <v>0</v>
      </c>
      <c r="BH38" s="356">
        <f>G38*AO38</f>
        <v>0</v>
      </c>
      <c r="BI38" s="356">
        <f>G38*AP38</f>
        <v>0</v>
      </c>
      <c r="BJ38" s="356">
        <f>G38*H38</f>
        <v>0</v>
      </c>
      <c r="BK38" s="356"/>
      <c r="BL38" s="356"/>
      <c r="BW38" s="356" t="str">
        <f>I38</f>
        <v>21</v>
      </c>
      <c r="BX38" s="335" t="s">
        <v>1017</v>
      </c>
    </row>
    <row r="39" spans="1:76" x14ac:dyDescent="0.2">
      <c r="J39" s="463" t="s">
        <v>1018</v>
      </c>
      <c r="K39" s="463"/>
      <c r="L39" s="365">
        <f>L12+L14+L16+L18+L21+L25</f>
        <v>0</v>
      </c>
      <c r="M39" s="365">
        <f>M12+M14+M16+M18+M21+M25</f>
        <v>0</v>
      </c>
    </row>
    <row r="40" spans="1:76" x14ac:dyDescent="0.2">
      <c r="A40" s="366" t="s">
        <v>139</v>
      </c>
    </row>
    <row r="41" spans="1:76" x14ac:dyDescent="0.2">
      <c r="A41" s="467" t="s">
        <v>129</v>
      </c>
      <c r="B41" s="455"/>
      <c r="C41" s="455"/>
      <c r="D41" s="455"/>
      <c r="E41" s="455"/>
      <c r="F41" s="455"/>
      <c r="G41" s="455"/>
      <c r="H41" s="455"/>
      <c r="I41" s="455"/>
      <c r="J41" s="455"/>
      <c r="K41" s="455"/>
      <c r="L41" s="455"/>
      <c r="M41" s="455"/>
      <c r="N41" s="455"/>
      <c r="O41" s="455"/>
      <c r="P41" s="455"/>
    </row>
  </sheetData>
  <mergeCells count="58">
    <mergeCell ref="D38:E38"/>
    <mergeCell ref="J39:K39"/>
    <mergeCell ref="A41:P41"/>
    <mergeCell ref="D32:P32"/>
    <mergeCell ref="D33:E33"/>
    <mergeCell ref="D34:E34"/>
    <mergeCell ref="D35:E35"/>
    <mergeCell ref="D36:P36"/>
    <mergeCell ref="D37:E37"/>
    <mergeCell ref="D31:E31"/>
    <mergeCell ref="D20:E20"/>
    <mergeCell ref="D21:E21"/>
    <mergeCell ref="D22:E22"/>
    <mergeCell ref="D23:P23"/>
    <mergeCell ref="D24:E24"/>
    <mergeCell ref="D25:E25"/>
    <mergeCell ref="D26:E26"/>
    <mergeCell ref="D27:E27"/>
    <mergeCell ref="D28:E28"/>
    <mergeCell ref="D29:P29"/>
    <mergeCell ref="D30:E30"/>
    <mergeCell ref="D19:E19"/>
    <mergeCell ref="D10:E10"/>
    <mergeCell ref="J10:L10"/>
    <mergeCell ref="N10:O10"/>
    <mergeCell ref="D11:E11"/>
    <mergeCell ref="D12:E12"/>
    <mergeCell ref="D13:E13"/>
    <mergeCell ref="D14:E14"/>
    <mergeCell ref="D15:E15"/>
    <mergeCell ref="D16:E16"/>
    <mergeCell ref="D17:E17"/>
    <mergeCell ref="D18:E18"/>
    <mergeCell ref="J8:P9"/>
    <mergeCell ref="A6:C7"/>
    <mergeCell ref="D6:E7"/>
    <mergeCell ref="F6:G7"/>
    <mergeCell ref="H6:H7"/>
    <mergeCell ref="I6:I7"/>
    <mergeCell ref="J6:P7"/>
    <mergeCell ref="A8:C9"/>
    <mergeCell ref="D8:E9"/>
    <mergeCell ref="F8:G9"/>
    <mergeCell ref="H8:H9"/>
    <mergeCell ref="I8:I9"/>
    <mergeCell ref="J4:P5"/>
    <mergeCell ref="A1:P1"/>
    <mergeCell ref="A2:C3"/>
    <mergeCell ref="D2:E3"/>
    <mergeCell ref="F2:G3"/>
    <mergeCell ref="H2:H3"/>
    <mergeCell ref="I2:I3"/>
    <mergeCell ref="J2:P3"/>
    <mergeCell ref="A4:C5"/>
    <mergeCell ref="D4:E5"/>
    <mergeCell ref="F4:G5"/>
    <mergeCell ref="H4:H5"/>
    <mergeCell ref="I4:I5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7</vt:i4>
      </vt:variant>
      <vt:variant>
        <vt:lpstr>Pojmenované oblasti</vt:lpstr>
      </vt:variant>
      <vt:variant>
        <vt:i4>48</vt:i4>
      </vt:variant>
    </vt:vector>
  </HeadingPairs>
  <TitlesOfParts>
    <vt:vector size="55" baseType="lpstr">
      <vt:lpstr>Pokyny pro vyplnění</vt:lpstr>
      <vt:lpstr>Stavba</vt:lpstr>
      <vt:lpstr>VzorPolozky</vt:lpstr>
      <vt:lpstr>01 04 Pol</vt:lpstr>
      <vt:lpstr>příloha č.1 - zdroj a systém</vt:lpstr>
      <vt:lpstr>příloha č.2 - MAR</vt:lpstr>
      <vt:lpstr>příloha č.3 - primár TČ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'01 04 Pol'!Názvy_tisku</vt:lpstr>
      <vt:lpstr>oadresa</vt:lpstr>
      <vt:lpstr>Stavba!Objednatel</vt:lpstr>
      <vt:lpstr>Stavba!Objekt</vt:lpstr>
      <vt:lpstr>'01 04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Radim</dc:creator>
  <cp:lastModifiedBy>Jiří Svoboda</cp:lastModifiedBy>
  <cp:lastPrinted>2019-03-19T12:27:02Z</cp:lastPrinted>
  <dcterms:created xsi:type="dcterms:W3CDTF">2009-04-08T07:15:50Z</dcterms:created>
  <dcterms:modified xsi:type="dcterms:W3CDTF">2024-06-10T20:12:41Z</dcterms:modified>
</cp:coreProperties>
</file>