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Krycí list rozpočtu" sheetId="1" r:id="rId1"/>
    <sheet name="Stavební rozpočet - součet" sheetId="2" r:id="rId2"/>
    <sheet name="Stavební rozpočet" sheetId="3" r:id="rId3"/>
    <sheet name="Hromosvod rozpočet" sheetId="4" r:id="rId4"/>
  </sheets>
  <definedNames>
    <definedName name="_xlnm.Print_Area" localSheetId="2">'Stavební rozpočet'!$A$1:$M$356</definedName>
  </definedNames>
  <calcPr fullCalcOnLoad="1"/>
</workbook>
</file>

<file path=xl/sharedStrings.xml><?xml version="1.0" encoding="utf-8"?>
<sst xmlns="http://schemas.openxmlformats.org/spreadsheetml/2006/main" count="2476" uniqueCount="825">
  <si>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</si>
  <si>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</si>
  <si>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</si>
  <si>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</si>
  <si>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</si>
  <si>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</si>
  <si>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</si>
  <si>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</si>
  <si>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</si>
  <si>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</si>
  <si>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</si>
  <si>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</si>
  <si>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</si>
  <si>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</si>
  <si>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</si>
  <si>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</si>
  <si>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</si>
  <si>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</si>
  <si>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</si>
  <si>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</si>
  <si>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</si>
  <si>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</si>
  <si>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</si>
  <si>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</si>
  <si>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</si>
  <si>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</si>
  <si>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</si>
  <si>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</si>
  <si>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</si>
  <si>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</si>
  <si>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</si>
  <si>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</si>
  <si>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</si>
  <si>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</si>
  <si>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</si>
  <si>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</si>
  <si>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</si>
  <si>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</si>
  <si>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</si>
  <si>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</si>
  <si>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</si>
  <si>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</si>
  <si>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</si>
  <si>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</si>
  <si>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</si>
  <si>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</si>
  <si>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</si>
  <si>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</si>
  <si>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</si>
  <si>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</si>
  <si>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</si>
  <si>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</si>
  <si>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</si>
  <si>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</si>
  <si>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</si>
  <si>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</si>
  <si>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</si>
  <si>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</si>
  <si>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</si>
  <si>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</si>
  <si>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</si>
  <si>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</si>
  <si>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</si>
  <si>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</si>
  <si>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</si>
  <si>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</si>
  <si>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</si>
  <si>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</si>
  <si>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</si>
  <si>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</si>
  <si>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</si>
  <si>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</si>
  <si>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</si>
  <si>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</si>
  <si>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</si>
  <si>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</si>
  <si>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</si>
  <si>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</si>
  <si>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</si>
  <si>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</si>
  <si>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</si>
  <si>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</si>
  <si>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</si>
  <si>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</si>
  <si>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</si>
  <si>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</si>
  <si>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</si>
  <si>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</si>
  <si>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</si>
  <si>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</si>
  <si>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</si>
  <si>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</si>
  <si>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</si>
  <si>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</si>
  <si>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</si>
  <si>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</si>
  <si>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</si>
  <si>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</si>
  <si>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</si>
  <si>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</si>
  <si>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</si>
  <si>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</si>
  <si>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</si>
  <si>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</si>
  <si>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</si>
  <si>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</si>
  <si>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</si>
  <si>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</si>
  <si>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</si>
  <si>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</si>
  <si>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</si>
  <si>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</si>
  <si>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</si>
  <si>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</si>
  <si>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</si>
  <si>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</si>
  <si>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</si>
  <si>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</si>
  <si>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</si>
  <si>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</si>
  <si>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</si>
  <si>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</si>
  <si>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</si>
  <si>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</si>
  <si>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</si>
  <si>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</si>
  <si>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</si>
  <si>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</si>
  <si>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</si>
  <si>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</si>
  <si>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</si>
  <si>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</si>
  <si>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</si>
  <si>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</si>
  <si>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</si>
  <si>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</si>
  <si>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</si>
  <si>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</si>
  <si>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</si>
  <si>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</si>
  <si>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</si>
  <si>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</si>
  <si>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</si>
  <si>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</si>
  <si>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</si>
  <si>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</si>
  <si>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</si>
  <si>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</si>
  <si>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</si>
  <si>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</si>
  <si>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</si>
  <si>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</si>
  <si>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</si>
  <si>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</si>
  <si>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</si>
  <si>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</si>
  <si>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</si>
  <si>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154</t>
  </si>
  <si>
    <t>Poznámka:</t>
  </si>
  <si>
    <t>Objekt</t>
  </si>
  <si>
    <t>01</t>
  </si>
  <si>
    <t>02</t>
  </si>
  <si>
    <t>03</t>
  </si>
  <si>
    <t>04</t>
  </si>
  <si>
    <t>05</t>
  </si>
  <si>
    <t>Kód</t>
  </si>
  <si>
    <t>713</t>
  </si>
  <si>
    <t>713300821R00</t>
  </si>
  <si>
    <t>764</t>
  </si>
  <si>
    <t>764410850R00</t>
  </si>
  <si>
    <t>764422810R00</t>
  </si>
  <si>
    <t>764430840R00</t>
  </si>
  <si>
    <t>764311201R00</t>
  </si>
  <si>
    <t>764352810R00</t>
  </si>
  <si>
    <t>764454804R00</t>
  </si>
  <si>
    <t>767</t>
  </si>
  <si>
    <t>767999801R00</t>
  </si>
  <si>
    <t>767999802R00</t>
  </si>
  <si>
    <t>767996801R00</t>
  </si>
  <si>
    <t>767311810R00</t>
  </si>
  <si>
    <t>767900090RAA</t>
  </si>
  <si>
    <t>767392802R00</t>
  </si>
  <si>
    <t>767134802R00</t>
  </si>
  <si>
    <t>767VD</t>
  </si>
  <si>
    <t>7673928101R01VD</t>
  </si>
  <si>
    <t>7673927101R01VD</t>
  </si>
  <si>
    <t>767134851R01VD</t>
  </si>
  <si>
    <t>781</t>
  </si>
  <si>
    <t>781900010RA0</t>
  </si>
  <si>
    <t>968071112R00</t>
  </si>
  <si>
    <t>968071113R00</t>
  </si>
  <si>
    <t>968072244R00</t>
  </si>
  <si>
    <t>968072245R00</t>
  </si>
  <si>
    <t>968072246R00</t>
  </si>
  <si>
    <t>968071125R00</t>
  </si>
  <si>
    <t>968071126R00</t>
  </si>
  <si>
    <t>968071137R00</t>
  </si>
  <si>
    <t>968072455R00</t>
  </si>
  <si>
    <t>968072456R00</t>
  </si>
  <si>
    <t>962081131R00</t>
  </si>
  <si>
    <t>966068001R00</t>
  </si>
  <si>
    <t>981VD</t>
  </si>
  <si>
    <t>9810110050R01VD</t>
  </si>
  <si>
    <t>M65</t>
  </si>
  <si>
    <t>650811117R00</t>
  </si>
  <si>
    <t>650811126R00</t>
  </si>
  <si>
    <t>650811171R00</t>
  </si>
  <si>
    <t>650811151R00</t>
  </si>
  <si>
    <t>650811155R00</t>
  </si>
  <si>
    <t>650801115R00</t>
  </si>
  <si>
    <t>650801153R00</t>
  </si>
  <si>
    <t>650801113R00</t>
  </si>
  <si>
    <t>S00</t>
  </si>
  <si>
    <t>979013112R00</t>
  </si>
  <si>
    <t>979011111R00</t>
  </si>
  <si>
    <t>979082212R00</t>
  </si>
  <si>
    <t>979013119R00</t>
  </si>
  <si>
    <t>979082213R00</t>
  </si>
  <si>
    <t>979082219R00</t>
  </si>
  <si>
    <t>979951111R00</t>
  </si>
  <si>
    <t>979990144R00</t>
  </si>
  <si>
    <t>979990163R00</t>
  </si>
  <si>
    <t>979990162R00</t>
  </si>
  <si>
    <t>979990001R00</t>
  </si>
  <si>
    <t>311112125RT5</t>
  </si>
  <si>
    <t>311361721R00</t>
  </si>
  <si>
    <t>220261614R00</t>
  </si>
  <si>
    <t>310271430R00</t>
  </si>
  <si>
    <t>310271530R00</t>
  </si>
  <si>
    <t>310271630R00</t>
  </si>
  <si>
    <t>612425931RT2</t>
  </si>
  <si>
    <t>612425931.1RT2</t>
  </si>
  <si>
    <t>612401391RT2</t>
  </si>
  <si>
    <t>612421637R00</t>
  </si>
  <si>
    <t>622474412RT1</t>
  </si>
  <si>
    <t>622321354RT5</t>
  </si>
  <si>
    <t>622300031RAF</t>
  </si>
  <si>
    <t>622300046RAF</t>
  </si>
  <si>
    <t>622300036.1RAF</t>
  </si>
  <si>
    <t>998021021R00</t>
  </si>
  <si>
    <t>711</t>
  </si>
  <si>
    <t>711142559RZ3</t>
  </si>
  <si>
    <t>711199097R00</t>
  </si>
  <si>
    <t>711141559RZ3</t>
  </si>
  <si>
    <t>998711101R00</t>
  </si>
  <si>
    <t>766</t>
  </si>
  <si>
    <t>766670010RAI</t>
  </si>
  <si>
    <t>61143031</t>
  </si>
  <si>
    <t>61143006</t>
  </si>
  <si>
    <t>61143020</t>
  </si>
  <si>
    <t>61143021</t>
  </si>
  <si>
    <t>766670012RAI</t>
  </si>
  <si>
    <t>6114354VD</t>
  </si>
  <si>
    <t>6114353VD</t>
  </si>
  <si>
    <t>61143152</t>
  </si>
  <si>
    <t>61143072</t>
  </si>
  <si>
    <t>61143041</t>
  </si>
  <si>
    <t>61143151</t>
  </si>
  <si>
    <t>61143150</t>
  </si>
  <si>
    <t>766670015RIVD</t>
  </si>
  <si>
    <t>6114358VD</t>
  </si>
  <si>
    <t>6114357VD</t>
  </si>
  <si>
    <t>6114356VD</t>
  </si>
  <si>
    <t>6114355VD</t>
  </si>
  <si>
    <t>766660016RA0</t>
  </si>
  <si>
    <t>611441715VD</t>
  </si>
  <si>
    <t>611441716VD</t>
  </si>
  <si>
    <t>611441717VD</t>
  </si>
  <si>
    <t>611441718VD</t>
  </si>
  <si>
    <t>611441721VD</t>
  </si>
  <si>
    <t>611441722VD</t>
  </si>
  <si>
    <t>766690010RAB</t>
  </si>
  <si>
    <t>998766101R00</t>
  </si>
  <si>
    <t>767657330R00</t>
  </si>
  <si>
    <t>5534451300</t>
  </si>
  <si>
    <t>767657340R00</t>
  </si>
  <si>
    <t>5534451311</t>
  </si>
  <si>
    <t>5534451321</t>
  </si>
  <si>
    <t>5534451320</t>
  </si>
  <si>
    <t>767811100R01</t>
  </si>
  <si>
    <t>767995105R00</t>
  </si>
  <si>
    <t>13388140</t>
  </si>
  <si>
    <t>767110119RAA</t>
  </si>
  <si>
    <t>61210426.1</t>
  </si>
  <si>
    <t>998767101R00</t>
  </si>
  <si>
    <t>781101210R00</t>
  </si>
  <si>
    <t>781320121R00</t>
  </si>
  <si>
    <t>597623142</t>
  </si>
  <si>
    <t>585820116</t>
  </si>
  <si>
    <t>998781101R00</t>
  </si>
  <si>
    <t>764410340R00</t>
  </si>
  <si>
    <t>764421370R00</t>
  </si>
  <si>
    <t>764421290RT2</t>
  </si>
  <si>
    <t>764430360RT2</t>
  </si>
  <si>
    <t>764339391R00</t>
  </si>
  <si>
    <t>764357391R00</t>
  </si>
  <si>
    <t>55344801</t>
  </si>
  <si>
    <t>764359391R00</t>
  </si>
  <si>
    <t>553448229.3VD</t>
  </si>
  <si>
    <t>764352394R00</t>
  </si>
  <si>
    <t>553448272</t>
  </si>
  <si>
    <t>764352391R00</t>
  </si>
  <si>
    <t>553448025</t>
  </si>
  <si>
    <t>764352392R00</t>
  </si>
  <si>
    <t>553442338</t>
  </si>
  <si>
    <t>764454391R00</t>
  </si>
  <si>
    <t>553448123</t>
  </si>
  <si>
    <t>764454392.1R00</t>
  </si>
  <si>
    <t>764454393.1R00</t>
  </si>
  <si>
    <t>764454394.1R01</t>
  </si>
  <si>
    <t>764359394R00</t>
  </si>
  <si>
    <t>5535304143</t>
  </si>
  <si>
    <t>998764102R00</t>
  </si>
  <si>
    <t>767393101VD</t>
  </si>
  <si>
    <t>767320021VD</t>
  </si>
  <si>
    <t>767320022VD</t>
  </si>
  <si>
    <t>767320031VD</t>
  </si>
  <si>
    <t>767881225.1RT3</t>
  </si>
  <si>
    <t>34571203000.1</t>
  </si>
  <si>
    <t>998767102R00</t>
  </si>
  <si>
    <t>941941031R00</t>
  </si>
  <si>
    <t>941941191R00</t>
  </si>
  <si>
    <t>941941831R00</t>
  </si>
  <si>
    <t>H01</t>
  </si>
  <si>
    <t>998011001R00</t>
  </si>
  <si>
    <t>M21</t>
  </si>
  <si>
    <t>210200020RAB</t>
  </si>
  <si>
    <t>Snížení energetické náročnosti areálu Jesenice č.p. 1</t>
  </si>
  <si>
    <t>rekonstrukce průmyslového objektu</t>
  </si>
  <si>
    <t>Jesenice u Chebu</t>
  </si>
  <si>
    <t>Zkrácený popis</t>
  </si>
  <si>
    <t>Rozměry</t>
  </si>
  <si>
    <t>bourání</t>
  </si>
  <si>
    <t>Izolace tepelné</t>
  </si>
  <si>
    <t>Odstranění tepelné izolace z pásů ploch rovných</t>
  </si>
  <si>
    <t>(14,25*7,65*2-5,1*12,05+19,06*8,14)   strěcha</t>
  </si>
  <si>
    <t>Konstrukce klempířské</t>
  </si>
  <si>
    <t>Demontáž oplechování parapetů,rš od 100 do 330 mm</t>
  </si>
  <si>
    <t>1,15*5+0,9*2*2+1,5*(12+56+5)+1,2*(4+1)+3*24+0,55+0,6+1,5   </t>
  </si>
  <si>
    <t>Demontáž oplechování říms,rš od 600 do 800 mm</t>
  </si>
  <si>
    <t>2,2+4,35   </t>
  </si>
  <si>
    <t>Demontáž oplechování zdí,rš od 330 do 500 mm</t>
  </si>
  <si>
    <t>7,67*4+0,25*2   </t>
  </si>
  <si>
    <t>Krytina hladká z Pz, tabule 2 x 1 m, do 30°</t>
  </si>
  <si>
    <t>0,35*(7,67*2+0,3*2)   </t>
  </si>
  <si>
    <t>Demontáž žlabů půlkruh. rovných, rš 330 mm, do 30°</t>
  </si>
  <si>
    <t>163,7-27,335+163,70-4,2   </t>
  </si>
  <si>
    <t>Demontáž odpadních trub kruhových,D 200 mm</t>
  </si>
  <si>
    <t>6,1*2+5,3*2+6,1*2+4,15+5,2*2+6,3*8   </t>
  </si>
  <si>
    <t>Konstrukce doplňkové stavební (zámečnické)</t>
  </si>
  <si>
    <t>Demontáž doplňků staveb o hmotnosti do 50 kg</t>
  </si>
  <si>
    <t>2*40   mříže okenní 0,9*1,2</t>
  </si>
  <si>
    <t>Demontáž doplňků staveb o hmotnosti do 100 kg</t>
  </si>
  <si>
    <t>90   mříže okenní 1,5*1,5 - 1 ks</t>
  </si>
  <si>
    <t>Demontáž atypických ocelových konstr. do 50 kg</t>
  </si>
  <si>
    <t>(2+2+4)*18+2*14   </t>
  </si>
  <si>
    <t>Demontáž světlíků všech typů včetně zasklení</t>
  </si>
  <si>
    <t>5*(10,05+12,05+12,05)   </t>
  </si>
  <si>
    <t>Demontáž atypických ocelových konstrukcí</t>
  </si>
  <si>
    <t>2*12+15+13+20+2*8+10*4+8   kouřovody - oplechování, ventilace, okénka  SV</t>
  </si>
  <si>
    <t>Demontáž krytin střech z plechů, šroubovaných</t>
  </si>
  <si>
    <t>32,95*7,62*2   jedna vrstva , TRAPÉZ</t>
  </si>
  <si>
    <t>8,75*7,65*2+8,14*4,2+17,95*7,65*2+40,54*7,65*2+27,335*10,78   </t>
  </si>
  <si>
    <t>(14,25*7,65*2-5,1*12,05+19,06*8,14)*2   TRAPÉZ DVOUVRSTVÉ</t>
  </si>
  <si>
    <t>Demontáž oplechování stěn plechy šroubovanými</t>
  </si>
  <si>
    <t>2*10,585*(6+7,05)/2-5,35*4,35+27,35*6,1-5,2*1,02*3   </t>
  </si>
  <si>
    <t>Zámečnické práce</t>
  </si>
  <si>
    <t>Demontáž krytin střech z kompletizovaných PUR panelů v do 12 m</t>
  </si>
  <si>
    <t>(48,41+0,625)*7,65*2-5,1*(10,05+12,05)   </t>
  </si>
  <si>
    <t>Demontáž stěn štítů střech z kompletizovaných PUR panelů v do 12 m</t>
  </si>
  <si>
    <t>(0,8+1,1)*7,65*2   </t>
  </si>
  <si>
    <t>Demontáž oplechování stěn kompletizovanými panely 100 mm vata</t>
  </si>
  <si>
    <t>2*8,275*(4,5+5,4)/2+18,65*4,5-2*3,35*1,1-8,85*3,85   </t>
  </si>
  <si>
    <t>Obklady (keramické)</t>
  </si>
  <si>
    <t>Odsekání obkladů vnitřních</t>
  </si>
  <si>
    <t>0,55*0,3+1*0,3   </t>
  </si>
  <si>
    <t>Bourání konstrukcí</t>
  </si>
  <si>
    <t>Vyvěšení, zavěšení kovových křídel oken pl. 1,5 m2</t>
  </si>
  <si>
    <t>5+2+24+1+1+10+96+1+2   </t>
  </si>
  <si>
    <t>Vyvěšení,zavěšení  kovových křídel oken nad 1,5 m2</t>
  </si>
  <si>
    <t>2+56+4   </t>
  </si>
  <si>
    <t>Vybourání kovových rámů oken jednod. pl. 1 m2</t>
  </si>
  <si>
    <t>5+1+1+1   </t>
  </si>
  <si>
    <t>Vybourání kovových rámů oken jednod. pl. 2 m2</t>
  </si>
  <si>
    <t>2+2+15+2   </t>
  </si>
  <si>
    <t>Vybourání kovových rámů oken jednod. pl. 4 m2</t>
  </si>
  <si>
    <t>56+4+5+48   </t>
  </si>
  <si>
    <t>Vyvěšení, zavěšení kovových křídel dveří pl. 2 m2</t>
  </si>
  <si>
    <t>1+5+1+1+1+1+1+6+(2+1)*2   </t>
  </si>
  <si>
    <t>Vyvěšení, zavěšení kovových křídel dveří nad 2 m2</t>
  </si>
  <si>
    <t>1   </t>
  </si>
  <si>
    <t>Vyvěšení, zavěšení kovových křídel vrat nad 4 m2</t>
  </si>
  <si>
    <t>4+2+6+2+2   </t>
  </si>
  <si>
    <t>Vybourání kovových dveřních zárubní pl. do 2 m2</t>
  </si>
  <si>
    <t>1+5+1+1+1+1+1   </t>
  </si>
  <si>
    <t>Vybourání kovových dveřních zárubní pl. nad 2 m2</t>
  </si>
  <si>
    <t>3+2+1   </t>
  </si>
  <si>
    <t>Bourání příček ze skleněných tvárnic tl. 10 cm</t>
  </si>
  <si>
    <t>2*1,4*1,8+2,4*1,8+2*2,4*2,4+2*2,4*2,2+2*1*0,6+0,6*1,6   otvory ve fasádě</t>
  </si>
  <si>
    <t>Demontáž dřevěných stěn svislého pláště úplná</t>
  </si>
  <si>
    <t>2*(7,5*1,5+15*0,5)   ŠTÍTY</t>
  </si>
  <si>
    <t>Demolice</t>
  </si>
  <si>
    <t>Demolice kovových objektů postupným rozebíráním</t>
  </si>
  <si>
    <t>1,6*2,1*2,775   ocelový přístavek</t>
  </si>
  <si>
    <t>Elektroinstalce</t>
  </si>
  <si>
    <t>Demontáž vodiče svodového nad D 10 mm vč. podpěr</t>
  </si>
  <si>
    <t>6,1*2*12   stěny svislá</t>
  </si>
  <si>
    <t>12*7,67*2   příčná střecha</t>
  </si>
  <si>
    <t>163,7*2   podélné hřeben + okapy</t>
  </si>
  <si>
    <t>Demontáž hromosvodové svorky nad 2 šrouby</t>
  </si>
  <si>
    <t>12*2   </t>
  </si>
  <si>
    <t>Demontáž ochranného úhelníku</t>
  </si>
  <si>
    <t>Demontáž jímací tyče na hřebenu střechy</t>
  </si>
  <si>
    <t>12   </t>
  </si>
  <si>
    <t>Demontáž jímací tyče z konstrukce</t>
  </si>
  <si>
    <t>2*3   světlíky</t>
  </si>
  <si>
    <t>Demontáž svítidla stropního zavěšeného</t>
  </si>
  <si>
    <t>70+15   zářivky 2 trubice</t>
  </si>
  <si>
    <t>Demontáž svítidla nástěnného přisazeného</t>
  </si>
  <si>
    <t>30+25   nástěná kulatá</t>
  </si>
  <si>
    <t>Demontáž svítidla stropního přisazeného</t>
  </si>
  <si>
    <t>30   výroba - průmyslové 100 W</t>
  </si>
  <si>
    <t>Běžné stavební práce</t>
  </si>
  <si>
    <t>Svislá doprava vybouraných hmot na H do 3,5 m</t>
  </si>
  <si>
    <t>Svislá doprava suti a vybour. hmot za 2.NP a 1.PP</t>
  </si>
  <si>
    <t>0,0316   </t>
  </si>
  <si>
    <t>Vodorovná doprava suti po suchu do 50 m</t>
  </si>
  <si>
    <t>63,5677   </t>
  </si>
  <si>
    <t>Příplatek k hmotám za každých dalších 3,5 m výšky</t>
  </si>
  <si>
    <t>Vodorovná doprava suti po suchu do 1 km</t>
  </si>
  <si>
    <t>Příplatek za dopravu suti po suchu za další 1 km</t>
  </si>
  <si>
    <t>63,5677*15   </t>
  </si>
  <si>
    <t>Výkup kovů - železný šrot tl. do 4 mm</t>
  </si>
  <si>
    <t>Poplatek za skládku suti - minerální vata</t>
  </si>
  <si>
    <t>Poplatek za skládku suti - plast+sklo</t>
  </si>
  <si>
    <t>Poplatek za skládku suti - dřevo+sklo</t>
  </si>
  <si>
    <t>3,61373   </t>
  </si>
  <si>
    <t>Poplatek za skládku stavební suti</t>
  </si>
  <si>
    <t>0,0316   keramický obklad</t>
  </si>
  <si>
    <t>fasáda+ související</t>
  </si>
  <si>
    <t>Zdi podpěrné a volné</t>
  </si>
  <si>
    <t>Stěna z tvárnic ztraceného bednění, tl. 25 cm</t>
  </si>
  <si>
    <t>4,5*0,3   obj D</t>
  </si>
  <si>
    <t>Výztuž nadzákladových zdí z ocel BSt 500 S</t>
  </si>
  <si>
    <t>2*3*4,9*0,001   </t>
  </si>
  <si>
    <t>Vrtání otvoru v konstrukci D 10 mm</t>
  </si>
  <si>
    <t>15   </t>
  </si>
  <si>
    <t>Zazdívka otvorů do 0,25 m2, pórobet.tvár., tl.30cm</t>
  </si>
  <si>
    <t>2+1+2+2+2+2+1   </t>
  </si>
  <si>
    <t>Zazdívka otvorů do 1 m2, pórobet.tvárnice, tl.30cm</t>
  </si>
  <si>
    <t>0,3*(0,15*2,1+0,5*0,5*2+0,5*0,7+0,9*0,95)   </t>
  </si>
  <si>
    <t>Zazdívka otvorů do 4 m2, pórobet.tvárnice, tl.30cm</t>
  </si>
  <si>
    <t>0,3*(2,4*0,8+2,4*1,42)   </t>
  </si>
  <si>
    <t>Úprava povrchů vnitřní</t>
  </si>
  <si>
    <t>Omítka vápenná vnitřního ostění - štuková</t>
  </si>
  <si>
    <t>0,3*2*(0,55*7+0,6+0,9+1,2*2+1,2*12+1,5*57)   1/PL,2/PL,3/PL,4/PL,5/PL,6/PL,7/PL</t>
  </si>
  <si>
    <t>0,3*2*(1,8*2+1,8*3+1,8*53+2,2*2+2,4+1*2+1,8+1,8)   8/PL,9/PL,10/PL,11/PL,12/PL,13/PL, 15/PL+15a/PL</t>
  </si>
  <si>
    <t>0,3*2*(2,05*2+2,05*7+2,05+2,05+2,75*2+2,45*3)   16/PL,17/PL,18/PL,19/PL,20/PL,21/PL</t>
  </si>
  <si>
    <t>0,3*2*(3,4*3+3,4*1+4,4)   1/ZA+2/ZA+3/ZA</t>
  </si>
  <si>
    <t>Omítka vápenná vnitřního nadpraží - štuková</t>
  </si>
  <si>
    <t>0,3*(1+1,05*6+1+0,55+0,9*2+1,5*12+1,5*57)   1/PL,2/PL,3/PL,4/PL,5/PL,6/PL,7/PL</t>
  </si>
  <si>
    <t>0,3*(0,9*2+1,2*3+1,5*53+2,4*2+2,4+2,4*2+1,4+1,4)   8/PL,9/PL,10/PL,11/PL,12/PL,13/PL, 15/PL+15a/PL</t>
  </si>
  <si>
    <t>0,3*(1*2+1,05*7+0,9+1+1,35*2+1,55*3)   16/PL,17/PL,18/PL,19/PL,20/PL,21/PL</t>
  </si>
  <si>
    <t>0,3*(3,4*3+3,5*1+4,13)   1/ZA+2/ZA+3/ZA</t>
  </si>
  <si>
    <t>Omítka malých ploch vnitřních stěn do 1 m2</t>
  </si>
  <si>
    <t>2+6+2+2+1+1   </t>
  </si>
  <si>
    <t>Omítka vnitřní zdiva, MVC, štuková</t>
  </si>
  <si>
    <t>2,4*0,8+2,4*1,42   </t>
  </si>
  <si>
    <t>Úprava povrchů vnější</t>
  </si>
  <si>
    <t>0,15*(2,05+0,55)+3*0,1*(2,05+0,55)+2*0,1*0,55   </t>
  </si>
  <si>
    <t>0,5*0,5*2+0,5*0,7+0,9*0,95   </t>
  </si>
  <si>
    <t>0,3*(2*3,4+3,4+2*3,4+3,5+2*4,4+4,13)   vrata i nadpraží</t>
  </si>
  <si>
    <t>KZS s polystyrenem, plocha s otvory, budovy do 6 m</t>
  </si>
  <si>
    <t>5,9*(15,6*2+39,9+18,565+4,1+4,5*12+82,625*2)   </t>
  </si>
  <si>
    <t>(14,6+15,6)*1,02*1,5*0,5   </t>
  </si>
  <si>
    <t>KZS s miner.vatou,plocha bez otvorů, budovy do 6 m</t>
  </si>
  <si>
    <t>6,2*0,4*6   </t>
  </si>
  <si>
    <t>KZS s polystyrenem,plocha bez otvorů,budovy do 6 m</t>
  </si>
  <si>
    <t>0,45*(15,6*2+39,9+18,565+4,1+4,5*12+82,625*2)   </t>
  </si>
  <si>
    <t>Přesun hmot pro haly zděné výšky do 20 m</t>
  </si>
  <si>
    <t>58,1595   </t>
  </si>
  <si>
    <t>Izolace proti vodě</t>
  </si>
  <si>
    <t>Izolace proti vlhkosti svislá pásy přitavením</t>
  </si>
  <si>
    <t>4,5*0,3   </t>
  </si>
  <si>
    <t>Příplatek za pl.do 10 m2, pásy,zemní vlhkost</t>
  </si>
  <si>
    <t>4,5*0,3*2   </t>
  </si>
  <si>
    <t>Izolace proti vlhk. vodorovná pásy přitavením</t>
  </si>
  <si>
    <t>Přesun hmot pro izolace proti vodě, výšky do 6 m</t>
  </si>
  <si>
    <t>0,0156   </t>
  </si>
  <si>
    <t>Konstrukce truhlářské</t>
  </si>
  <si>
    <t>Okno plastové jednokřídlové typové plochy 1,5 m2</t>
  </si>
  <si>
    <t>1+6+1+1+2   </t>
  </si>
  <si>
    <t>Okno plastové jednodílné 90 x 120 cm O, S</t>
  </si>
  <si>
    <t>2   5/PL</t>
  </si>
  <si>
    <t>Okno plastové jednodílné 55 x 90 cm  S</t>
  </si>
  <si>
    <t>1   4/PL</t>
  </si>
  <si>
    <t>Okno plastové jednodílné do105 x 55 cm P</t>
  </si>
  <si>
    <t>1+6   1/PL+2/PL</t>
  </si>
  <si>
    <t>Okno plastové jednodílné 90 x 60 cm O, S</t>
  </si>
  <si>
    <t>1   3/PL</t>
  </si>
  <si>
    <t>Okno plastové jednokřídlové typové plochy 2,7 m2</t>
  </si>
  <si>
    <t>12+57+2+3+53+2+1+2+2+1+1   6/PL -15a/PL</t>
  </si>
  <si>
    <t>Okno plastové 4 dílné se sloupkem  2x P, 2x OS, 240 x 240</t>
  </si>
  <si>
    <t>1   12/PL</t>
  </si>
  <si>
    <t>Okno plastové 4 dílné se sloupkem  2x P, 2x OS, 240 x 220</t>
  </si>
  <si>
    <t>2   11/PL</t>
  </si>
  <si>
    <t>Okno plastové 2dílné bez sloupku 150 x 180 cm OS/O</t>
  </si>
  <si>
    <t>53   10/PL</t>
  </si>
  <si>
    <t>Okno plastové jednodílné 120 x 180 cm OS</t>
  </si>
  <si>
    <t>3   9/PL</t>
  </si>
  <si>
    <t>Okno plastové jednodílné 90 x 180 cm O, S</t>
  </si>
  <si>
    <t>2   8/PL</t>
  </si>
  <si>
    <t>Okno plastové 2dílné bez sloupku 150 x 150 cm OS/O</t>
  </si>
  <si>
    <t>57   7/PL</t>
  </si>
  <si>
    <t>Okno plastové 2dílné bez sloupku 150 x 120 cm OS/O</t>
  </si>
  <si>
    <t>12   6/PL</t>
  </si>
  <si>
    <t>Okno plastové atyp plochy do 3,8 m2</t>
  </si>
  <si>
    <t>4   13/PL, 14/PL,15/PL, 15a/PL</t>
  </si>
  <si>
    <t>Okno plastové 2 dílné P, 140 x 180, bezpečnostní</t>
  </si>
  <si>
    <t>1   15a/PL</t>
  </si>
  <si>
    <t>Okno plastové 2 dílné P, 140 x 180</t>
  </si>
  <si>
    <t>1   15/PL</t>
  </si>
  <si>
    <t>Okno plastové 3 dílné S,335X110</t>
  </si>
  <si>
    <t>2+2+1+1   </t>
  </si>
  <si>
    <t>Okno plastové pevné 240x100</t>
  </si>
  <si>
    <t>2   13/PL</t>
  </si>
  <si>
    <t>Montáž dveří jednokřídlových šířky 90 cm</t>
  </si>
  <si>
    <t>2+7+1+1   16/PL, 17/PL, 18/PL, 19/PL</t>
  </si>
  <si>
    <t>dveře plastové vstupní 100x205</t>
  </si>
  <si>
    <t>2   16/PL</t>
  </si>
  <si>
    <t>dveře plastové vstupní 105x205</t>
  </si>
  <si>
    <t>7   17/PL</t>
  </si>
  <si>
    <t>dveře plastové vstupní 90x205</t>
  </si>
  <si>
    <t>1   18/PL</t>
  </si>
  <si>
    <t>dveře plastové vstupní 100x205, 1/3 sklo</t>
  </si>
  <si>
    <t>1   19/PL</t>
  </si>
  <si>
    <t>dveře plastové vstupní 135x270</t>
  </si>
  <si>
    <t>2   20/PL</t>
  </si>
  <si>
    <t>dveře plastové vstupní 110x205, prosklené</t>
  </si>
  <si>
    <t>3   21/PL</t>
  </si>
  <si>
    <t>Desky parapetní aglomer. dodávka a montáž</t>
  </si>
  <si>
    <t>(1+1,05*6+0,9*2+1,5*12+1,5*57+0,9*2+1,2*3+1,5*53+2,4*2+2,4+2,4*2+1,4*2)*1,05   </t>
  </si>
  <si>
    <t>Přesun hmot pro truhlářské konstr., výšky do 6 m</t>
  </si>
  <si>
    <t>7,8438   </t>
  </si>
  <si>
    <t>Montáž vrat zvedacích, do ocel. konstr., do 13 m2</t>
  </si>
  <si>
    <t>3+1   1/ZA, 2/ZA</t>
  </si>
  <si>
    <t>Vrata  průmyslová, š 3400, h 3400 mm</t>
  </si>
  <si>
    <t>3   1/ZA</t>
  </si>
  <si>
    <t>Vrata  průmyslová, š 3500, h 3400 mm</t>
  </si>
  <si>
    <t>1   2/ZA</t>
  </si>
  <si>
    <t>Montáž vrat zvedacích, do ocel.konstr., nad 13 m2</t>
  </si>
  <si>
    <t>2+1+1   3/ZA, 4/ZA,5/ZA</t>
  </si>
  <si>
    <t>Vrata  průmyslová, š 5350, h 4350 mm</t>
  </si>
  <si>
    <t>1   5/ZA</t>
  </si>
  <si>
    <t>Vrata  průmyslová, š 4100, h 3850 mm</t>
  </si>
  <si>
    <t>1   4/ZA</t>
  </si>
  <si>
    <t>Vrata průmyslová, š 4130, h 4400 mm</t>
  </si>
  <si>
    <t>2   3/ZA</t>
  </si>
  <si>
    <t>Montáž větracích mřížek, typ VM, včet. dodávky</t>
  </si>
  <si>
    <t>10   10/ZA</t>
  </si>
  <si>
    <t>Výroba a montáž kov. atypických konstr. do 100 kg</t>
  </si>
  <si>
    <t>(3*4,5+4,3)*25,3   OK z prvku HE-A 140</t>
  </si>
  <si>
    <t>Tyč průřezu HEA160, střední, jakost oceli S235</t>
  </si>
  <si>
    <t>(3*4,5+4,3)*25,3*0,001   pomocná OK</t>
  </si>
  <si>
    <t>;ztratné 3%; 0,0135102   </t>
  </si>
  <si>
    <t>Montáž stěn z ocelových profilů</t>
  </si>
  <si>
    <t>2*10,475*(6,20+6,8)+27,485*6,2-5,35*4,35-1*2,05   obj C</t>
  </si>
  <si>
    <t>2*8,275*(4,6+6)*0,5+18,865*4,6-4,5*0,3-4,1*3,85-2*3,35*1,1   obj D</t>
  </si>
  <si>
    <t>0,8*7,65*2+1,1*7,65*2   štíty ve střeše</t>
  </si>
  <si>
    <t>Panel sendvičový stěnový PDD tl. jádra 120 mm</t>
  </si>
  <si>
    <t>596,4935   </t>
  </si>
  <si>
    <t>;ztratné 3%; 17,894805   </t>
  </si>
  <si>
    <t>Přesun hmot pro zámečnické konstr., výšky do 6 m</t>
  </si>
  <si>
    <t>10,0231   </t>
  </si>
  <si>
    <t>Penetrace podkladu pod obklady</t>
  </si>
  <si>
    <t>1,0*0,3+0,55*0,3   </t>
  </si>
  <si>
    <t>Obkládání parapetů do tmele šířky do 300 mm</t>
  </si>
  <si>
    <t>;ztratné 10%; 0,0465   </t>
  </si>
  <si>
    <t>13,5   </t>
  </si>
  <si>
    <t>Přesun hmot pro obklady keramické, výšky do 6 m</t>
  </si>
  <si>
    <t>0,0228   </t>
  </si>
  <si>
    <t>střecha+</t>
  </si>
  <si>
    <t>Oplechování parapetů včetně rohů Al, rš 250 mm</t>
  </si>
  <si>
    <t>0,55+0,9*4+1*2+1,05*6+1,2*4+1,4*2+1,5*74+2,4*5+3*24   </t>
  </si>
  <si>
    <t>Oplechování říms z Al plechu, rš 500 mm</t>
  </si>
  <si>
    <t>2,2   </t>
  </si>
  <si>
    <t>Oplechování říms z Pz plechu, rš 700 mm</t>
  </si>
  <si>
    <t>4,4   </t>
  </si>
  <si>
    <t>Oplechování zdí včetně rohů z Al, rš 750 mm</t>
  </si>
  <si>
    <t>15*1,03+0,3*2   </t>
  </si>
  <si>
    <t>Montáž lemování komínů z Al</t>
  </si>
  <si>
    <t>Montáž žlabů Al mezistřešních</t>
  </si>
  <si>
    <t>28   </t>
  </si>
  <si>
    <t>Žlab Al tl. 0,8 mm rš 330 mm, průměr žlabu 100 mm</t>
  </si>
  <si>
    <t>Montáž kotlíku Al kulatého</t>
  </si>
  <si>
    <t>26   </t>
  </si>
  <si>
    <t>Kotlík lisovaný 400/150 AL tl. 0,6 mm</t>
  </si>
  <si>
    <t>26   11/KL + 12/KL</t>
  </si>
  <si>
    <t>Montáž čel žlabů Al půlkruhových</t>
  </si>
  <si>
    <t>Čelo žlabu lisované rš 330 mm Al tl. 0,6 mm</t>
  </si>
  <si>
    <t>Montáž žlabů Al podokapních půlkruhových</t>
  </si>
  <si>
    <t>2*(40,765+17,925+14,25+8,75+0,25+0,625+81,585)   </t>
  </si>
  <si>
    <t>Žlab Al tl. 0,8 mm rš 500 mm, průměr žlabu 200 mm</t>
  </si>
  <si>
    <t>330   </t>
  </si>
  <si>
    <t>Montáž háků pro Al žlaby půlkruhové</t>
  </si>
  <si>
    <t>Montáž trub Al odpadních kruhových</t>
  </si>
  <si>
    <t>6*10+6,5*16   </t>
  </si>
  <si>
    <t>Svodová roura d 150 mm Al tl. 0,8 mm</t>
  </si>
  <si>
    <t>6*10+6,5*16   11/KL + 12/KL</t>
  </si>
  <si>
    <t>D + Montáž zděře Al kruhové průměr 150</t>
  </si>
  <si>
    <t>26*3   </t>
  </si>
  <si>
    <t>D+Montáž kolena Al kruhového průměr 150</t>
  </si>
  <si>
    <t>D+Montáž odskoku Al kruhového průměr 150</t>
  </si>
  <si>
    <t>16   </t>
  </si>
  <si>
    <t>Montáž kotlíku sběrného Al na ploché střeše</t>
  </si>
  <si>
    <t>2   </t>
  </si>
  <si>
    <t>Přesun hmot pro klempířské konstr., výšky do 12 m</t>
  </si>
  <si>
    <t>1,1367   </t>
  </si>
  <si>
    <t>Montáž krytiny střech sendvič.panely</t>
  </si>
  <si>
    <t>15*1,03*(81,585+0,625+8,75+14,25+17,925+40,765)   </t>
  </si>
  <si>
    <t>7,7*1,03*23,26   </t>
  </si>
  <si>
    <t>10,31*1,03*27,485   </t>
  </si>
  <si>
    <t>-10,05*5*1,03*2-12,05*5*1,03*2-1*2,9*1,03*5   </t>
  </si>
  <si>
    <t>Světlík střešní pásový polykarbonátovy segmenty po 2m, D+M</t>
  </si>
  <si>
    <t>Světlík střešní pásový polykarbonátový délka 12,05 m, D+M</t>
  </si>
  <si>
    <t>prosvětlovací pás polykarbonátový</t>
  </si>
  <si>
    <t>5   </t>
  </si>
  <si>
    <t>Příchytka, 2 upevňovací body, POD HŘEBEN, 330 KS pro záchytný systém</t>
  </si>
  <si>
    <t>1   11/ZA</t>
  </si>
  <si>
    <t>Příchytka manipulační zinkovaná</t>
  </si>
  <si>
    <t>Přesun hmot pro zámečnické konstr., výšky do 12 m</t>
  </si>
  <si>
    <t>21,1441   </t>
  </si>
  <si>
    <t>Lešení a stavební výtahy</t>
  </si>
  <si>
    <t>Montáž lešení leh.řad.s podlahami,š.do 1 m, H 10 m</t>
  </si>
  <si>
    <t>6*(15+2)*2+6*2*(40,765+17,925+14,25+8,75+0,25+0,625+81,585)+2*7*6+2*6*10,3   </t>
  </si>
  <si>
    <t>Příplatek za každý měsíc použití lešení k pol.1031</t>
  </si>
  <si>
    <t>Demontáž lešení leh.řad.s podlahami,š.1 m, H 10 m</t>
  </si>
  <si>
    <t>2381,4   </t>
  </si>
  <si>
    <t>Budovy občanské výstavby</t>
  </si>
  <si>
    <t>Přesun hmot pro budovy zděné výšky do 6 m</t>
  </si>
  <si>
    <t>45,7943   </t>
  </si>
  <si>
    <t>Elektromontáže</t>
  </si>
  <si>
    <t>Hromosvod</t>
  </si>
  <si>
    <t>1   KOMPLET podle výkazu výměr projektu</t>
  </si>
  <si>
    <t>Doba výstavby:</t>
  </si>
  <si>
    <t>Začátek výstavby:</t>
  </si>
  <si>
    <t>Konec výstavby:</t>
  </si>
  <si>
    <t>Zpracováno dne:</t>
  </si>
  <si>
    <t>MJ</t>
  </si>
  <si>
    <t>m2</t>
  </si>
  <si>
    <t>m</t>
  </si>
  <si>
    <t>kg</t>
  </si>
  <si>
    <t>kus</t>
  </si>
  <si>
    <t>m3</t>
  </si>
  <si>
    <t>t</t>
  </si>
  <si>
    <t>KUS</t>
  </si>
  <si>
    <t>ks</t>
  </si>
  <si>
    <t>soub</t>
  </si>
  <si>
    <t>kompl</t>
  </si>
  <si>
    <t>Množství</t>
  </si>
  <si>
    <t>15.04.2021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</si>
  <si>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</si>
  <si>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</si>
  <si>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</si>
  <si>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</si>
  <si>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</si>
  <si>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</si>
  <si>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</si>
  <si>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</si>
  <si>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</si>
  <si>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IVP CZ a.s., Plzeńská 1574, 25263 Rozttoky</t>
  </si>
  <si>
    <t>Studio Planarch s.r.o.</t>
  </si>
  <si>
    <t> </t>
  </si>
  <si>
    <t>NEMOVIS s.r.o.</t>
  </si>
  <si>
    <t>Montáž</t>
  </si>
  <si>
    <t>Celkem</t>
  </si>
  <si>
    <t>Hmotnost (t)</t>
  </si>
  <si>
    <t>Jednot.</t>
  </si>
  <si>
    <t>Cenová</t>
  </si>
  <si>
    <t>soustava</t>
  </si>
  <si>
    <t>RTS II / 2020</t>
  </si>
  <si>
    <t>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</si>
  <si>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</si>
  <si>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</si>
  <si>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</si>
  <si>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</si>
  <si>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</si>
  <si>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</si>
  <si>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</si>
  <si>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</si>
  <si>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</si>
  <si>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713_</t>
  </si>
  <si>
    <t>764_</t>
  </si>
  <si>
    <t>767_</t>
  </si>
  <si>
    <t>767VD_</t>
  </si>
  <si>
    <t>781_</t>
  </si>
  <si>
    <t>96_</t>
  </si>
  <si>
    <t>981VD_</t>
  </si>
  <si>
    <t>M65_</t>
  </si>
  <si>
    <t>S00_</t>
  </si>
  <si>
    <t>31_</t>
  </si>
  <si>
    <t>61_</t>
  </si>
  <si>
    <t>62_</t>
  </si>
  <si>
    <t>711_</t>
  </si>
  <si>
    <t>766_</t>
  </si>
  <si>
    <t>94_</t>
  </si>
  <si>
    <t>H01_</t>
  </si>
  <si>
    <t>M21_</t>
  </si>
  <si>
    <t>01_71_</t>
  </si>
  <si>
    <t>01_76_</t>
  </si>
  <si>
    <t>01_78_</t>
  </si>
  <si>
    <t>01_9_</t>
  </si>
  <si>
    <t>02_3_</t>
  </si>
  <si>
    <t>02_6_</t>
  </si>
  <si>
    <t>02_71_</t>
  </si>
  <si>
    <t>02_76_</t>
  </si>
  <si>
    <t>02_78_</t>
  </si>
  <si>
    <t>03_76_</t>
  </si>
  <si>
    <t>03_9_</t>
  </si>
  <si>
    <t>05_9_</t>
  </si>
  <si>
    <t>01_</t>
  </si>
  <si>
    <t>02_</t>
  </si>
  <si>
    <t>03_</t>
  </si>
  <si>
    <t>05_</t>
  </si>
  <si>
    <t>MAT</t>
  </si>
  <si>
    <t>WORK</t>
  </si>
  <si>
    <t>CELK</t>
  </si>
  <si>
    <t>ISWORK</t>
  </si>
  <si>
    <t>P</t>
  </si>
  <si>
    <t>M</t>
  </si>
  <si>
    <t>GROUPCODE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</si>
  <si>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</si>
  <si>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</si>
  <si>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</si>
  <si>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</si>
  <si>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</si>
  <si>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</si>
  <si>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</si>
  <si>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</si>
  <si>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</si>
  <si>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</si>
  <si>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</si>
  <si>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</si>
  <si>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</si>
  <si>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</si>
  <si>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</si>
  <si>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</si>
  <si>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</si>
  <si>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</si>
  <si>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</si>
  <si>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</si>
  <si>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</si>
  <si>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</si>
  <si>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</si>
  <si>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</si>
  <si>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</si>
  <si>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</si>
  <si>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</si>
  <si>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</si>
  <si>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</si>
  <si>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</si>
  <si>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</si>
  <si>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</si>
  <si>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</si>
  <si>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</si>
  <si>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</si>
  <si>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</si>
  <si>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</si>
  <si>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</si>
  <si>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</si>
  <si>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</si>
  <si>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</si>
  <si>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</si>
  <si>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</si>
  <si>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</si>
  <si>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</si>
  <si>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</si>
  <si>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</si>
  <si>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</si>
  <si>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</si>
  <si>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SNÍŽENÍ ENERGETICKÉ NÁROČNOSTI AREÁLU JESENICE Č.P. 1  - Bleskosvod</t>
  </si>
  <si>
    <t>D.1.4 TECHNIKA PROSTŘEDÍ STAVEB – Elektroinstalace</t>
  </si>
  <si>
    <t>Dokumentace pro provedení stavby</t>
  </si>
  <si>
    <t>NÁZEV</t>
  </si>
  <si>
    <t>POČET</t>
  </si>
  <si>
    <t>JC</t>
  </si>
  <si>
    <t>CELKEM</t>
  </si>
  <si>
    <t>BLESKOSVOD A UZEMNĚNÍ VČETNĚ MONTÁŽE A ZAPOJENÍ</t>
  </si>
  <si>
    <t>"SK" SVORKA KŘÍŽOVÁ Fe/Zn</t>
  </si>
  <si>
    <t>"SS" SVORKA SPOJOVACÍ Fe/Zn</t>
  </si>
  <si>
    <t>"SZ" SVORKA ZKUŠEBNÍ Fe/Zn</t>
  </si>
  <si>
    <t>"OŠ" OZNAČOVACÍ ŠTÍTEK Fe/Zn</t>
  </si>
  <si>
    <t>"OU" OCHRANNÝ ÚHELNÍK Fe/Zn</t>
  </si>
  <si>
    <t>DRŽÁK OCHRANNÉHO ÚHELNÍKU Fe/Zn</t>
  </si>
  <si>
    <t>"PV 1" PODPĚRA VEDENÍ NA STĚNU, Fe/Zn VČ. KOTVENÍ</t>
  </si>
  <si>
    <t>"PV 2" PODPĚRA VEDENÍ NA PLOCHÉ POPLASTOVANÉ STŘECHY VČ. KOTVENÍ</t>
  </si>
  <si>
    <t>"PV 0" PODPĚRA VEDENÍ NA OKAPOVÉ SVODY VČ. KOTVENÍ</t>
  </si>
  <si>
    <t>"SU" PODPĚRA VEDENÍ</t>
  </si>
  <si>
    <t>"SP1" SVORKA NA KOVOVÉ ČÁSTI Fe/Zn</t>
  </si>
  <si>
    <t>"SO" SVORKA OKAPOVÁ Fe/Zn</t>
  </si>
  <si>
    <t>"JR" JÍMACÍ TYČ Fe/Zn, l = 2000mm vč. DRŽÁKU A SVORKY JÍMAČOVÉ</t>
  </si>
  <si>
    <r>
      <t xml:space="preserve">Drát Fe/Zn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8mm</t>
    </r>
  </si>
  <si>
    <t>Drát Fe/Zn ø 10mm</t>
  </si>
  <si>
    <t>ZEMNÍCÍ PÁSEK Fe/Zn 30/4 mm</t>
  </si>
  <si>
    <t>OBOUSTRANNÝ SVÁR DÉLKY 10cm NA ZEMNÍCÍM PÁSKU VČ. NÁTĚRU</t>
  </si>
  <si>
    <t>MEZISOUČET</t>
  </si>
  <si>
    <t>OSTATNÍ</t>
  </si>
  <si>
    <t>POMOCNÝ INSTALAČNÍ MATERIÁL</t>
  </si>
  <si>
    <t>kpl</t>
  </si>
  <si>
    <t>ZEMNÍ PRÁCE KOMPLETNÍ (VYTYČENÍ, VÝKOP, ZÁVOZ)</t>
  </si>
  <si>
    <t>KOORDINACE PROFESÍ BĚHEM STAVBY</t>
  </si>
  <si>
    <t>hod</t>
  </si>
  <si>
    <t>REVIZE</t>
  </si>
  <si>
    <t xml:space="preserve">CELKEM SILNOPROUDÉ ZAŘÍZENÍ </t>
  </si>
  <si>
    <t>Krycí list slepého rozpočtu</t>
  </si>
  <si>
    <t>Slepý rozpočet - rekapitulace</t>
  </si>
  <si>
    <t>Slepý rozpočet</t>
  </si>
  <si>
    <t>Slepý rozpočet (včetně montáže a zapojení)</t>
  </si>
  <si>
    <t>04/2021</t>
  </si>
  <si>
    <t>Omítka vnější vápenná štuková ze SMS, slož1-2</t>
  </si>
  <si>
    <t>Zatepl. systém, ostění, EPS F šedý tl. 40 mm</t>
  </si>
  <si>
    <t xml:space="preserve">Dlaždice 30x30 </t>
  </si>
  <si>
    <t>Vyrovnávací rychlomalta pod obklady</t>
  </si>
  <si>
    <t>Hák Al opláštění půlkul. žlabu rš 500 mm</t>
  </si>
  <si>
    <t>Vyústění nástřešního žlabu d 100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</si>
</sst>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.00\ &quot;Kč&quot;"/>
  </numFmts>
  <fonts count="5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0" fillId="20" borderId="2" applyNumberFormat="0" applyAlignment="0" applyProtection="0"/>
    <xf numFmtId="43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7" fillId="0" borderId="0">
      <alignment/>
      <protection/>
    </xf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92"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10" xfId="0" applyNumberFormat="1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49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0" borderId="12" xfId="0" applyNumberFormat="1" applyFont="1" applyFill="1" applyBorder="1" applyAlignment="1" applyProtection="1">
      <alignment horizontal="left" vertical="center"/>
      <protection hidden="1"/>
    </xf>
    <xf numFmtId="49" fontId="3" fillId="0" borderId="12" xfId="0" applyNumberFormat="1" applyFont="1" applyFill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49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NumberFormat="1" applyFont="1" applyFill="1" applyBorder="1" applyAlignment="1" applyProtection="1">
      <alignment vertical="center"/>
      <protection hidden="1"/>
    </xf>
    <xf numFmtId="49" fontId="10" fillId="33" borderId="0" xfId="0" applyNumberFormat="1" applyFont="1" applyFill="1" applyBorder="1" applyAlignment="1" applyProtection="1">
      <alignment horizontal="right" vertical="center"/>
      <protection hidden="1"/>
    </xf>
    <xf numFmtId="49" fontId="3" fillId="0" borderId="0" xfId="0" applyNumberFormat="1" applyFont="1" applyFill="1" applyBorder="1" applyAlignment="1" applyProtection="1">
      <alignment horizontal="right" vertical="center"/>
      <protection hidden="1"/>
    </xf>
    <xf numFmtId="49" fontId="1" fillId="0" borderId="16" xfId="0" applyNumberFormat="1" applyFont="1" applyFill="1" applyBorder="1" applyAlignment="1" applyProtection="1">
      <alignment horizontal="left" vertical="center"/>
      <protection hidden="1"/>
    </xf>
    <xf numFmtId="49" fontId="1" fillId="0" borderId="17" xfId="0" applyNumberFormat="1" applyFont="1" applyFill="1" applyBorder="1" applyAlignment="1" applyProtection="1">
      <alignment horizontal="left" vertical="center"/>
      <protection hidden="1"/>
    </xf>
    <xf numFmtId="49" fontId="3" fillId="0" borderId="17" xfId="0" applyNumberFormat="1" applyFont="1" applyFill="1" applyBorder="1" applyAlignment="1" applyProtection="1">
      <alignment horizontal="left" vertical="center"/>
      <protection hidden="1"/>
    </xf>
    <xf numFmtId="49" fontId="3" fillId="0" borderId="18" xfId="0" applyNumberFormat="1" applyFont="1" applyFill="1" applyBorder="1" applyAlignment="1" applyProtection="1">
      <alignment horizontal="center" vertical="center"/>
      <protection hidden="1"/>
    </xf>
    <xf numFmtId="49" fontId="3" fillId="0" borderId="19" xfId="0" applyNumberFormat="1" applyFont="1" applyFill="1" applyBorder="1" applyAlignment="1" applyProtection="1">
      <alignment horizontal="center" vertical="center"/>
      <protection hidden="1"/>
    </xf>
    <xf numFmtId="49" fontId="3" fillId="0" borderId="20" xfId="0" applyNumberFormat="1" applyFont="1" applyFill="1" applyBorder="1" applyAlignment="1" applyProtection="1">
      <alignment horizontal="center" vertical="center"/>
      <protection hidden="1"/>
    </xf>
    <xf numFmtId="49" fontId="3" fillId="0" borderId="21" xfId="0" applyNumberFormat="1" applyFont="1" applyFill="1" applyBorder="1" applyAlignment="1" applyProtection="1">
      <alignment horizontal="center" vertical="center"/>
      <protection hidden="1"/>
    </xf>
    <xf numFmtId="49" fontId="3" fillId="0" borderId="22" xfId="0" applyNumberFormat="1" applyFont="1" applyFill="1" applyBorder="1" applyAlignment="1" applyProtection="1">
      <alignment horizontal="center" vertical="center"/>
      <protection hidden="1"/>
    </xf>
    <xf numFmtId="49" fontId="4" fillId="34" borderId="23" xfId="0" applyNumberFormat="1" applyFont="1" applyFill="1" applyBorder="1" applyAlignment="1" applyProtection="1">
      <alignment horizontal="left" vertical="center"/>
      <protection hidden="1"/>
    </xf>
    <xf numFmtId="49" fontId="9" fillId="34" borderId="24" xfId="0" applyNumberFormat="1" applyFont="1" applyFill="1" applyBorder="1" applyAlignment="1" applyProtection="1">
      <alignment horizontal="left" vertical="center"/>
      <protection hidden="1"/>
    </xf>
    <xf numFmtId="49" fontId="4" fillId="34" borderId="24" xfId="0" applyNumberFormat="1" applyFont="1" applyFill="1" applyBorder="1" applyAlignment="1" applyProtection="1">
      <alignment horizontal="left" vertical="center"/>
      <protection hidden="1"/>
    </xf>
    <xf numFmtId="4" fontId="9" fillId="34" borderId="24" xfId="0" applyNumberFormat="1" applyFont="1" applyFill="1" applyBorder="1" applyAlignment="1" applyProtection="1">
      <alignment horizontal="right" vertical="center"/>
      <protection hidden="1"/>
    </xf>
    <xf numFmtId="49" fontId="9" fillId="34" borderId="24" xfId="0" applyNumberFormat="1" applyFont="1" applyFill="1" applyBorder="1" applyAlignment="1" applyProtection="1">
      <alignment horizontal="right" vertical="center"/>
      <protection hidden="1"/>
    </xf>
    <xf numFmtId="49" fontId="9" fillId="34" borderId="25" xfId="0" applyNumberFormat="1" applyFont="1" applyFill="1" applyBorder="1" applyAlignment="1" applyProtection="1">
      <alignment horizontal="right" vertical="center"/>
      <protection hidden="1"/>
    </xf>
    <xf numFmtId="49" fontId="5" fillId="33" borderId="10" xfId="0" applyNumberFormat="1" applyFont="1" applyFill="1" applyBorder="1" applyAlignment="1" applyProtection="1">
      <alignment horizontal="left" vertical="center"/>
      <protection hidden="1"/>
    </xf>
    <xf numFmtId="49" fontId="10" fillId="33" borderId="0" xfId="0" applyNumberFormat="1" applyFont="1" applyFill="1" applyBorder="1" applyAlignment="1" applyProtection="1">
      <alignment horizontal="left" vertical="center"/>
      <protection hidden="1"/>
    </xf>
    <xf numFmtId="49" fontId="5" fillId="33" borderId="0" xfId="0" applyNumberFormat="1" applyFont="1" applyFill="1" applyBorder="1" applyAlignment="1" applyProtection="1">
      <alignment horizontal="left" vertical="center"/>
      <protection hidden="1"/>
    </xf>
    <xf numFmtId="4" fontId="10" fillId="33" borderId="0" xfId="0" applyNumberFormat="1" applyFont="1" applyFill="1" applyBorder="1" applyAlignment="1" applyProtection="1">
      <alignment horizontal="right" vertical="center"/>
      <protection hidden="1"/>
    </xf>
    <xf numFmtId="49" fontId="10" fillId="33" borderId="26" xfId="0" applyNumberFormat="1" applyFont="1" applyFill="1" applyBorder="1" applyAlignment="1" applyProtection="1">
      <alignment horizontal="right" vertical="center"/>
      <protection hidden="1"/>
    </xf>
    <xf numFmtId="49" fontId="6" fillId="0" borderId="10" xfId="0" applyNumberFormat="1" applyFont="1" applyFill="1" applyBorder="1" applyAlignment="1" applyProtection="1">
      <alignment horizontal="left" vertical="center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26" xfId="0" applyNumberFormat="1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Fill="1" applyBorder="1" applyAlignment="1" applyProtection="1">
      <alignment horizontal="right" vertical="center"/>
      <protection hidden="1"/>
    </xf>
    <xf numFmtId="49" fontId="11" fillId="0" borderId="0" xfId="0" applyNumberFormat="1" applyFont="1" applyFill="1" applyBorder="1" applyAlignment="1" applyProtection="1">
      <alignment horizontal="left" vertical="center"/>
      <protection hidden="1"/>
    </xf>
    <xf numFmtId="4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26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49" fontId="4" fillId="34" borderId="10" xfId="0" applyNumberFormat="1" applyFont="1" applyFill="1" applyBorder="1" applyAlignment="1" applyProtection="1">
      <alignment horizontal="left" vertical="center"/>
      <protection hidden="1"/>
    </xf>
    <xf numFmtId="49" fontId="9" fillId="34" borderId="0" xfId="0" applyNumberFormat="1" applyFont="1" applyFill="1" applyBorder="1" applyAlignment="1" applyProtection="1">
      <alignment horizontal="left" vertical="center"/>
      <protection hidden="1"/>
    </xf>
    <xf numFmtId="49" fontId="4" fillId="34" borderId="0" xfId="0" applyNumberFormat="1" applyFont="1" applyFill="1" applyBorder="1" applyAlignment="1" applyProtection="1">
      <alignment horizontal="left" vertical="center"/>
      <protection hidden="1"/>
    </xf>
    <xf numFmtId="4" fontId="9" fillId="34" borderId="0" xfId="0" applyNumberFormat="1" applyFont="1" applyFill="1" applyBorder="1" applyAlignment="1" applyProtection="1">
      <alignment horizontal="right" vertical="center"/>
      <protection hidden="1"/>
    </xf>
    <xf numFmtId="49" fontId="9" fillId="34" borderId="0" xfId="0" applyNumberFormat="1" applyFont="1" applyFill="1" applyBorder="1" applyAlignment="1" applyProtection="1">
      <alignment horizontal="right" vertical="center"/>
      <protection hidden="1"/>
    </xf>
    <xf numFmtId="49" fontId="9" fillId="34" borderId="26" xfId="0" applyNumberFormat="1" applyFont="1" applyFill="1" applyBorder="1" applyAlignment="1" applyProtection="1">
      <alignment horizontal="right" vertical="center"/>
      <protection hidden="1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 hidden="1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9" fontId="7" fillId="0" borderId="26" xfId="0" applyNumberFormat="1" applyFont="1" applyFill="1" applyBorder="1" applyAlignment="1" applyProtection="1">
      <alignment horizontal="right" vertical="center"/>
      <protection hidden="1"/>
    </xf>
    <xf numFmtId="49" fontId="7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27" xfId="0" applyNumberFormat="1" applyFont="1" applyFill="1" applyBorder="1" applyAlignment="1" applyProtection="1">
      <alignment vertical="center"/>
      <protection hidden="1"/>
    </xf>
    <xf numFmtId="0" fontId="1" fillId="0" borderId="28" xfId="0" applyNumberFormat="1" applyFont="1" applyFill="1" applyBorder="1" applyAlignment="1" applyProtection="1">
      <alignment vertical="center"/>
      <protection hidden="1"/>
    </xf>
    <xf numFmtId="49" fontId="11" fillId="0" borderId="28" xfId="0" applyNumberFormat="1" applyFont="1" applyFill="1" applyBorder="1" applyAlignment="1" applyProtection="1">
      <alignment horizontal="left" vertical="center"/>
      <protection hidden="1"/>
    </xf>
    <xf numFmtId="4" fontId="11" fillId="0" borderId="28" xfId="0" applyNumberFormat="1" applyFont="1" applyFill="1" applyBorder="1" applyAlignment="1" applyProtection="1">
      <alignment horizontal="right" vertical="center"/>
      <protection hidden="1"/>
    </xf>
    <xf numFmtId="0" fontId="1" fillId="0" borderId="29" xfId="0" applyNumberFormat="1" applyFont="1" applyFill="1" applyBorder="1" applyAlignment="1" applyProtection="1">
      <alignment vertical="center"/>
      <protection hidden="1"/>
    </xf>
    <xf numFmtId="0" fontId="1" fillId="0" borderId="30" xfId="0" applyNumberFormat="1" applyFont="1" applyFill="1" applyBorder="1" applyAlignment="1" applyProtection="1">
      <alignment vertical="center"/>
      <protection hidden="1"/>
    </xf>
    <xf numFmtId="4" fontId="3" fillId="0" borderId="30" xfId="0" applyNumberFormat="1" applyFont="1" applyFill="1" applyBorder="1" applyAlignment="1" applyProtection="1">
      <alignment horizontal="right" vertical="center"/>
      <protection hidden="1"/>
    </xf>
    <xf numFmtId="49" fontId="8" fillId="0" borderId="0" xfId="0" applyNumberFormat="1" applyFont="1" applyFill="1" applyBorder="1" applyAlignment="1" applyProtection="1">
      <alignment horizontal="left" vertical="center"/>
      <protection hidden="1"/>
    </xf>
    <xf numFmtId="4" fontId="7" fillId="35" borderId="0" xfId="0" applyNumberFormat="1" applyFont="1" applyFill="1" applyBorder="1" applyAlignment="1" applyProtection="1">
      <alignment horizontal="right" vertical="center"/>
      <protection hidden="1" locked="0"/>
    </xf>
    <xf numFmtId="0" fontId="18" fillId="0" borderId="31" xfId="46" applyNumberFormat="1" applyFont="1" applyFill="1" applyBorder="1" applyAlignment="1" applyProtection="1">
      <alignment horizontal="left"/>
      <protection hidden="1"/>
    </xf>
    <xf numFmtId="0" fontId="18" fillId="0" borderId="32" xfId="46" applyNumberFormat="1" applyFont="1" applyFill="1" applyBorder="1" applyAlignment="1" applyProtection="1">
      <alignment horizontal="left"/>
      <protection hidden="1"/>
    </xf>
    <xf numFmtId="49" fontId="18" fillId="0" borderId="33" xfId="46" applyNumberFormat="1" applyFont="1" applyFill="1" applyBorder="1" applyAlignment="1" applyProtection="1">
      <alignment horizontal="center"/>
      <protection hidden="1"/>
    </xf>
    <xf numFmtId="0" fontId="18" fillId="0" borderId="34" xfId="46" applyNumberFormat="1" applyFont="1" applyFill="1" applyBorder="1" applyAlignment="1" applyProtection="1">
      <alignment horizontal="left"/>
      <protection hidden="1"/>
    </xf>
    <xf numFmtId="0" fontId="19" fillId="0" borderId="33" xfId="46" applyFont="1" applyBorder="1" applyAlignment="1" applyProtection="1">
      <alignment horizontal="center" vertical="center" wrapText="1"/>
      <protection hidden="1"/>
    </xf>
    <xf numFmtId="0" fontId="20" fillId="0" borderId="33" xfId="46" applyFont="1" applyBorder="1" applyAlignment="1" applyProtection="1">
      <alignment horizontal="center" vertical="center"/>
      <protection hidden="1"/>
    </xf>
    <xf numFmtId="0" fontId="19" fillId="0" borderId="31" xfId="46" applyFont="1" applyBorder="1" applyAlignment="1" applyProtection="1">
      <alignment horizontal="center" vertical="center"/>
      <protection hidden="1"/>
    </xf>
    <xf numFmtId="0" fontId="19" fillId="0" borderId="33" xfId="46" applyFont="1" applyBorder="1" applyAlignment="1" applyProtection="1">
      <alignment horizontal="center" vertical="center"/>
      <protection hidden="1"/>
    </xf>
    <xf numFmtId="0" fontId="0" fillId="0" borderId="31" xfId="46" applyFont="1" applyBorder="1" applyAlignment="1" applyProtection="1">
      <alignment horizontal="center" vertical="center"/>
      <protection hidden="1"/>
    </xf>
    <xf numFmtId="0" fontId="0" fillId="0" borderId="32" xfId="46" applyFont="1" applyBorder="1" applyAlignment="1" applyProtection="1">
      <alignment horizontal="center" vertical="center"/>
      <protection hidden="1"/>
    </xf>
    <xf numFmtId="0" fontId="0" fillId="0" borderId="34" xfId="46" applyFont="1" applyBorder="1" applyAlignment="1" applyProtection="1">
      <alignment horizontal="center" vertical="center"/>
      <protection hidden="1"/>
    </xf>
    <xf numFmtId="0" fontId="21" fillId="0" borderId="31" xfId="46" applyFont="1" applyBorder="1" applyAlignment="1" applyProtection="1">
      <alignment horizontal="left" vertical="center"/>
      <protection hidden="1"/>
    </xf>
    <xf numFmtId="0" fontId="21" fillId="0" borderId="32" xfId="46" applyFont="1" applyBorder="1" applyAlignment="1" applyProtection="1">
      <alignment horizontal="left" vertical="center"/>
      <protection hidden="1"/>
    </xf>
    <xf numFmtId="0" fontId="21" fillId="0" borderId="34" xfId="46" applyFont="1" applyBorder="1" applyAlignment="1" applyProtection="1">
      <alignment horizontal="left" vertical="center"/>
      <protection hidden="1"/>
    </xf>
    <xf numFmtId="0" fontId="0" fillId="0" borderId="35" xfId="46" applyFont="1" applyBorder="1" applyAlignment="1" applyProtection="1">
      <alignment vertical="center" wrapText="1"/>
      <protection hidden="1"/>
    </xf>
    <xf numFmtId="0" fontId="0" fillId="0" borderId="36" xfId="46" applyFont="1" applyBorder="1" applyAlignment="1" applyProtection="1">
      <alignment horizontal="centerContinuous" vertical="center"/>
      <protection hidden="1"/>
    </xf>
    <xf numFmtId="0" fontId="0" fillId="0" borderId="37" xfId="46" applyFont="1" applyBorder="1" applyAlignment="1" applyProtection="1">
      <alignment horizontal="centerContinuous" vertical="center"/>
      <protection hidden="1"/>
    </xf>
    <xf numFmtId="44" fontId="0" fillId="0" borderId="38" xfId="38" applyFont="1" applyFill="1" applyBorder="1" applyAlignment="1" applyProtection="1">
      <alignment horizontal="centerContinuous" vertical="center"/>
      <protection hidden="1"/>
    </xf>
    <xf numFmtId="0" fontId="0" fillId="0" borderId="39" xfId="46" applyFont="1" applyBorder="1" applyAlignment="1" applyProtection="1">
      <alignment vertical="center" wrapText="1"/>
      <protection hidden="1"/>
    </xf>
    <xf numFmtId="0" fontId="0" fillId="0" borderId="36" xfId="46" applyFont="1" applyBorder="1" applyAlignment="1" applyProtection="1">
      <alignment horizontal="center" vertical="center"/>
      <protection hidden="1"/>
    </xf>
    <xf numFmtId="0" fontId="0" fillId="0" borderId="37" xfId="46" applyFont="1" applyBorder="1" applyAlignment="1" applyProtection="1">
      <alignment horizontal="center" vertical="center"/>
      <protection hidden="1"/>
    </xf>
    <xf numFmtId="0" fontId="0" fillId="0" borderId="36" xfId="46" applyFont="1" applyFill="1" applyBorder="1" applyAlignment="1" applyProtection="1">
      <alignment horizontal="centerContinuous" vertical="center"/>
      <protection hidden="1"/>
    </xf>
    <xf numFmtId="0" fontId="0" fillId="0" borderId="37" xfId="46" applyFont="1" applyFill="1" applyBorder="1" applyAlignment="1" applyProtection="1">
      <alignment horizontal="centerContinuous" vertical="center"/>
      <protection hidden="1"/>
    </xf>
    <xf numFmtId="0" fontId="0" fillId="0" borderId="40" xfId="46" applyFont="1" applyFill="1" applyBorder="1" applyAlignment="1" applyProtection="1">
      <alignment vertical="center" wrapText="1"/>
      <protection hidden="1"/>
    </xf>
    <xf numFmtId="0" fontId="0" fillId="0" borderId="41" xfId="46" applyFont="1" applyFill="1" applyBorder="1" applyAlignment="1" applyProtection="1">
      <alignment horizontal="centerContinuous" vertical="center"/>
      <protection hidden="1"/>
    </xf>
    <xf numFmtId="0" fontId="0" fillId="0" borderId="42" xfId="46" applyFont="1" applyFill="1" applyBorder="1" applyAlignment="1" applyProtection="1">
      <alignment horizontal="centerContinuous" vertical="center"/>
      <protection hidden="1"/>
    </xf>
    <xf numFmtId="0" fontId="22" fillId="0" borderId="43" xfId="46" applyFont="1" applyFill="1" applyBorder="1" applyAlignment="1" applyProtection="1">
      <alignment horizontal="left" vertical="center"/>
      <protection hidden="1"/>
    </xf>
    <xf numFmtId="0" fontId="22" fillId="0" borderId="44" xfId="46" applyFont="1" applyFill="1" applyBorder="1" applyAlignment="1" applyProtection="1">
      <alignment horizontal="left" vertical="center"/>
      <protection hidden="1"/>
    </xf>
    <xf numFmtId="0" fontId="22" fillId="0" borderId="45" xfId="46" applyFont="1" applyFill="1" applyBorder="1" applyAlignment="1" applyProtection="1">
      <alignment horizontal="left" vertical="center"/>
      <protection hidden="1"/>
    </xf>
    <xf numFmtId="44" fontId="22" fillId="0" borderId="21" xfId="38" applyFont="1" applyFill="1" applyBorder="1" applyAlignment="1" applyProtection="1">
      <alignment horizontal="right" vertical="center"/>
      <protection hidden="1"/>
    </xf>
    <xf numFmtId="0" fontId="21" fillId="0" borderId="31" xfId="46" applyFont="1" applyFill="1" applyBorder="1" applyAlignment="1" applyProtection="1">
      <alignment horizontal="left" vertical="center"/>
      <protection hidden="1"/>
    </xf>
    <xf numFmtId="0" fontId="21" fillId="0" borderId="32" xfId="46" applyFont="1" applyFill="1" applyBorder="1" applyAlignment="1" applyProtection="1">
      <alignment horizontal="left" vertical="center"/>
      <protection hidden="1"/>
    </xf>
    <xf numFmtId="0" fontId="21" fillId="0" borderId="34" xfId="46" applyFont="1" applyFill="1" applyBorder="1" applyAlignment="1" applyProtection="1">
      <alignment horizontal="left" vertical="center"/>
      <protection hidden="1"/>
    </xf>
    <xf numFmtId="0" fontId="0" fillId="0" borderId="40" xfId="46" applyFont="1" applyBorder="1" applyAlignment="1" applyProtection="1">
      <alignment vertical="center" wrapText="1"/>
      <protection hidden="1"/>
    </xf>
    <xf numFmtId="44" fontId="0" fillId="0" borderId="38" xfId="38" applyFont="1" applyFill="1" applyBorder="1" applyAlignment="1" applyProtection="1">
      <alignment horizontal="center" vertical="center"/>
      <protection hidden="1"/>
    </xf>
    <xf numFmtId="0" fontId="0" fillId="0" borderId="39" xfId="46" applyFont="1" applyFill="1" applyBorder="1" applyAlignment="1" applyProtection="1">
      <alignment vertical="center" wrapText="1"/>
      <protection hidden="1"/>
    </xf>
    <xf numFmtId="0" fontId="0" fillId="0" borderId="36" xfId="46" applyFont="1" applyFill="1" applyBorder="1" applyAlignment="1" applyProtection="1">
      <alignment horizontal="center" vertical="center"/>
      <protection hidden="1"/>
    </xf>
    <xf numFmtId="0" fontId="0" fillId="0" borderId="35" xfId="46" applyFont="1" applyFill="1" applyBorder="1" applyAlignment="1" applyProtection="1">
      <alignment vertical="center" wrapText="1"/>
      <protection hidden="1"/>
    </xf>
    <xf numFmtId="44" fontId="21" fillId="0" borderId="33" xfId="46" applyNumberFormat="1" applyFont="1" applyBorder="1" applyAlignment="1" applyProtection="1">
      <alignment vertical="center" wrapText="1"/>
      <protection hidden="1"/>
    </xf>
    <xf numFmtId="168" fontId="0" fillId="35" borderId="36" xfId="38" applyNumberFormat="1" applyFont="1" applyFill="1" applyBorder="1" applyAlignment="1" applyProtection="1">
      <alignment vertical="center"/>
      <protection hidden="1" locked="0"/>
    </xf>
    <xf numFmtId="168" fontId="0" fillId="35" borderId="36" xfId="46" applyNumberFormat="1" applyFont="1" applyFill="1" applyBorder="1" applyAlignment="1" applyProtection="1">
      <alignment vertical="center"/>
      <protection hidden="1" locked="0"/>
    </xf>
    <xf numFmtId="168" fontId="0" fillId="35" borderId="41" xfId="46" applyNumberFormat="1" applyFont="1" applyFill="1" applyBorder="1" applyAlignment="1" applyProtection="1">
      <alignment vertical="center"/>
      <protection hidden="1" locked="0"/>
    </xf>
    <xf numFmtId="7" fontId="0" fillId="35" borderId="36" xfId="38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Font="1" applyAlignment="1" applyProtection="1">
      <alignment vertical="center"/>
      <protection hidden="1"/>
    </xf>
    <xf numFmtId="49" fontId="3" fillId="0" borderId="33" xfId="0" applyNumberFormat="1" applyFont="1" applyFill="1" applyBorder="1" applyAlignment="1" applyProtection="1">
      <alignment horizontal="left" vertical="center"/>
      <protection hidden="1"/>
    </xf>
    <xf numFmtId="49" fontId="3" fillId="0" borderId="46" xfId="0" applyNumberFormat="1" applyFont="1" applyFill="1" applyBorder="1" applyAlignment="1" applyProtection="1">
      <alignment horizontal="left" vertical="center"/>
      <protection hidden="1"/>
    </xf>
    <xf numFmtId="49" fontId="3" fillId="0" borderId="47" xfId="0" applyNumberFormat="1" applyFont="1" applyFill="1" applyBorder="1" applyAlignment="1" applyProtection="1">
      <alignment horizontal="left" vertical="center"/>
      <protection hidden="1"/>
    </xf>
    <xf numFmtId="49" fontId="3" fillId="0" borderId="47" xfId="0" applyNumberFormat="1" applyFont="1" applyFill="1" applyBorder="1" applyAlignment="1" applyProtection="1">
      <alignment horizontal="center" vertical="center"/>
      <protection hidden="1"/>
    </xf>
    <xf numFmtId="49" fontId="3" fillId="0" borderId="48" xfId="0" applyNumberFormat="1" applyFont="1" applyFill="1" applyBorder="1" applyAlignment="1" applyProtection="1">
      <alignment horizontal="center" vertical="center"/>
      <protection hidden="1"/>
    </xf>
    <xf numFmtId="49" fontId="3" fillId="36" borderId="49" xfId="0" applyNumberFormat="1" applyFont="1" applyFill="1" applyBorder="1" applyAlignment="1" applyProtection="1">
      <alignment horizontal="left" vertical="center"/>
      <protection hidden="1"/>
    </xf>
    <xf numFmtId="49" fontId="3" fillId="36" borderId="50" xfId="0" applyNumberFormat="1" applyFont="1" applyFill="1" applyBorder="1" applyAlignment="1" applyProtection="1">
      <alignment horizontal="left" vertical="center"/>
      <protection hidden="1"/>
    </xf>
    <xf numFmtId="4" fontId="3" fillId="36" borderId="50" xfId="0" applyNumberFormat="1" applyFont="1" applyFill="1" applyBorder="1" applyAlignment="1" applyProtection="1">
      <alignment horizontal="right" vertical="center"/>
      <protection hidden="1"/>
    </xf>
    <xf numFmtId="4" fontId="3" fillId="36" borderId="51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9" fontId="1" fillId="0" borderId="10" xfId="0" applyNumberFormat="1" applyFont="1" applyFill="1" applyBorder="1" applyAlignment="1" applyProtection="1">
      <alignment horizontal="left" vertical="center"/>
      <protection hidden="1"/>
    </xf>
    <xf numFmtId="4" fontId="1" fillId="0" borderId="26" xfId="0" applyNumberFormat="1" applyFont="1" applyFill="1" applyBorder="1" applyAlignment="1" applyProtection="1">
      <alignment horizontal="right" vertical="center"/>
      <protection hidden="1"/>
    </xf>
    <xf numFmtId="49" fontId="3" fillId="36" borderId="37" xfId="0" applyNumberFormat="1" applyFont="1" applyFill="1" applyBorder="1" applyAlignment="1" applyProtection="1">
      <alignment horizontal="left" vertical="center"/>
      <protection hidden="1"/>
    </xf>
    <xf numFmtId="49" fontId="3" fillId="36" borderId="52" xfId="0" applyNumberFormat="1" applyFont="1" applyFill="1" applyBorder="1" applyAlignment="1" applyProtection="1">
      <alignment horizontal="left" vertical="center"/>
      <protection hidden="1"/>
    </xf>
    <xf numFmtId="4" fontId="3" fillId="36" borderId="52" xfId="0" applyNumberFormat="1" applyFont="1" applyFill="1" applyBorder="1" applyAlignment="1" applyProtection="1">
      <alignment horizontal="right" vertical="center"/>
      <protection hidden="1"/>
    </xf>
    <xf numFmtId="4" fontId="3" fillId="36" borderId="53" xfId="0" applyNumberFormat="1" applyFont="1" applyFill="1" applyBorder="1" applyAlignment="1" applyProtection="1">
      <alignment horizontal="right" vertical="center"/>
      <protection hidden="1"/>
    </xf>
    <xf numFmtId="49" fontId="1" fillId="0" borderId="27" xfId="0" applyNumberFormat="1" applyFont="1" applyFill="1" applyBorder="1" applyAlignment="1" applyProtection="1">
      <alignment horizontal="left" vertical="center"/>
      <protection hidden="1"/>
    </xf>
    <xf numFmtId="49" fontId="1" fillId="0" borderId="28" xfId="0" applyNumberFormat="1" applyFont="1" applyFill="1" applyBorder="1" applyAlignment="1" applyProtection="1">
      <alignment horizontal="left" vertical="center"/>
      <protection hidden="1"/>
    </xf>
    <xf numFmtId="4" fontId="1" fillId="0" borderId="28" xfId="0" applyNumberFormat="1" applyFont="1" applyFill="1" applyBorder="1" applyAlignment="1" applyProtection="1">
      <alignment horizontal="right" vertical="center"/>
      <protection hidden="1"/>
    </xf>
    <xf numFmtId="4" fontId="1" fillId="0" borderId="29" xfId="0" applyNumberFormat="1" applyFont="1" applyFill="1" applyBorder="1" applyAlignment="1" applyProtection="1">
      <alignment horizontal="right" vertical="center"/>
      <protection hidden="1"/>
    </xf>
    <xf numFmtId="49" fontId="3" fillId="37" borderId="37" xfId="0" applyNumberFormat="1" applyFont="1" applyFill="1" applyBorder="1" applyAlignment="1" applyProtection="1">
      <alignment horizontal="left" vertical="center"/>
      <protection hidden="1"/>
    </xf>
    <xf numFmtId="4" fontId="3" fillId="37" borderId="53" xfId="0" applyNumberFormat="1" applyFont="1" applyFill="1" applyBorder="1" applyAlignment="1" applyProtection="1">
      <alignment horizontal="right" vertical="center"/>
      <protection hidden="1"/>
    </xf>
    <xf numFmtId="0" fontId="1" fillId="0" borderId="28" xfId="0" applyNumberFormat="1" applyFont="1" applyFill="1" applyBorder="1" applyAlignment="1" applyProtection="1">
      <alignment/>
      <protection hidden="1"/>
    </xf>
    <xf numFmtId="49" fontId="13" fillId="38" borderId="36" xfId="0" applyNumberFormat="1" applyFont="1" applyFill="1" applyBorder="1" applyAlignment="1" applyProtection="1">
      <alignment horizontal="center" vertical="center"/>
      <protection hidden="1"/>
    </xf>
    <xf numFmtId="49" fontId="14" fillId="0" borderId="41" xfId="0" applyNumberFormat="1" applyFont="1" applyFill="1" applyBorder="1" applyAlignment="1" applyProtection="1">
      <alignment horizontal="left" vertical="center"/>
      <protection hidden="1"/>
    </xf>
    <xf numFmtId="49" fontId="15" fillId="0" borderId="36" xfId="0" applyNumberFormat="1" applyFont="1" applyFill="1" applyBorder="1" applyAlignment="1" applyProtection="1">
      <alignment horizontal="left" vertical="center"/>
      <protection hidden="1"/>
    </xf>
    <xf numFmtId="4" fontId="15" fillId="0" borderId="36" xfId="0" applyNumberFormat="1" applyFont="1" applyFill="1" applyBorder="1" applyAlignment="1" applyProtection="1">
      <alignment horizontal="right" vertical="center"/>
      <protection hidden="1"/>
    </xf>
    <xf numFmtId="49" fontId="14" fillId="0" borderId="54" xfId="0" applyNumberFormat="1" applyFont="1" applyFill="1" applyBorder="1" applyAlignment="1" applyProtection="1">
      <alignment horizontal="left" vertical="center"/>
      <protection hidden="1"/>
    </xf>
    <xf numFmtId="49" fontId="15" fillId="0" borderId="36" xfId="0" applyNumberFormat="1" applyFont="1" applyFill="1" applyBorder="1" applyAlignment="1" applyProtection="1">
      <alignment horizontal="right" vertical="center"/>
      <protection hidden="1"/>
    </xf>
    <xf numFmtId="0" fontId="1" fillId="0" borderId="55" xfId="0" applyNumberFormat="1" applyFont="1" applyFill="1" applyBorder="1" applyAlignment="1" applyProtection="1">
      <alignment vertical="center"/>
      <protection hidden="1"/>
    </xf>
    <xf numFmtId="0" fontId="1" fillId="0" borderId="25" xfId="0" applyNumberFormat="1" applyFont="1" applyFill="1" applyBorder="1" applyAlignment="1" applyProtection="1">
      <alignment vertical="center"/>
      <protection hidden="1"/>
    </xf>
    <xf numFmtId="4" fontId="14" fillId="38" borderId="53" xfId="0" applyNumberFormat="1" applyFont="1" applyFill="1" applyBorder="1" applyAlignment="1" applyProtection="1">
      <alignment horizontal="right" vertical="center"/>
      <protection hidden="1"/>
    </xf>
    <xf numFmtId="0" fontId="1" fillId="0" borderId="44" xfId="0" applyNumberFormat="1" applyFont="1" applyFill="1" applyBorder="1" applyAlignment="1" applyProtection="1">
      <alignment vertical="center"/>
      <protection hidden="1"/>
    </xf>
    <xf numFmtId="49" fontId="8" fillId="0" borderId="24" xfId="0" applyNumberFormat="1" applyFont="1" applyFill="1" applyBorder="1" applyAlignment="1" applyProtection="1">
      <alignment horizontal="left" vertical="center"/>
      <protection hidden="1"/>
    </xf>
    <xf numFmtId="0" fontId="1" fillId="0" borderId="24" xfId="0" applyNumberFormat="1" applyFont="1" applyFill="1" applyBorder="1" applyAlignment="1" applyProtection="1">
      <alignment vertical="center"/>
      <protection hidden="1"/>
    </xf>
    <xf numFmtId="4" fontId="15" fillId="35" borderId="36" xfId="0" applyNumberFormat="1" applyFont="1" applyFill="1" applyBorder="1" applyAlignment="1" applyProtection="1">
      <alignment horizontal="right" vertical="center"/>
      <protection hidden="1" locked="0"/>
    </xf>
    <xf numFmtId="4" fontId="15" fillId="35" borderId="20" xfId="0" applyNumberFormat="1" applyFont="1" applyFill="1" applyBorder="1" applyAlignment="1" applyProtection="1">
      <alignment horizontal="right" vertical="center"/>
      <protection hidden="1"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1" fillId="0" borderId="30" xfId="0" applyNumberFormat="1" applyFont="1" applyFill="1" applyBorder="1" applyAlignment="1" applyProtection="1">
      <alignment horizontal="left" vertical="center"/>
      <protection hidden="1"/>
    </xf>
    <xf numFmtId="0" fontId="1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3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3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55" xfId="0" applyNumberFormat="1" applyFont="1" applyFill="1" applyBorder="1" applyAlignment="1" applyProtection="1">
      <alignment horizontal="left" vertical="center"/>
      <protection hidden="1"/>
    </xf>
    <xf numFmtId="0" fontId="1" fillId="0" borderId="26" xfId="0" applyNumberFormat="1" applyFont="1" applyFill="1" applyBorder="1" applyAlignment="1" applyProtection="1">
      <alignment horizontal="left" vertical="center"/>
      <protection hidden="1"/>
    </xf>
    <xf numFmtId="0" fontId="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26" xfId="0" applyNumberFormat="1" applyFont="1" applyFill="1" applyBorder="1" applyAlignment="1" applyProtection="1">
      <alignment horizontal="left" vertical="center"/>
      <protection hidden="1"/>
    </xf>
    <xf numFmtId="49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27" xfId="0" applyNumberFormat="1" applyFont="1" applyFill="1" applyBorder="1" applyAlignment="1" applyProtection="1">
      <alignment horizontal="left" vertical="center"/>
      <protection hidden="1"/>
    </xf>
    <xf numFmtId="0" fontId="1" fillId="0" borderId="28" xfId="0" applyNumberFormat="1" applyFont="1" applyFill="1" applyBorder="1" applyAlignment="1" applyProtection="1">
      <alignment horizontal="left" vertical="center"/>
      <protection hidden="1"/>
    </xf>
    <xf numFmtId="0" fontId="1" fillId="0" borderId="26" xfId="0" applyNumberFormat="1" applyFont="1" applyFill="1" applyBorder="1" applyAlignment="1" applyProtection="1">
      <alignment horizontal="left" vertical="center" wrapText="1"/>
      <protection hidden="1"/>
    </xf>
    <xf numFmtId="0" fontId="1" fillId="0" borderId="29" xfId="0" applyNumberFormat="1" applyFont="1" applyFill="1" applyBorder="1" applyAlignment="1" applyProtection="1">
      <alignment horizontal="left" vertical="center"/>
      <protection hidden="1"/>
    </xf>
    <xf numFmtId="49" fontId="12" fillId="0" borderId="52" xfId="0" applyNumberFormat="1" applyFont="1" applyFill="1" applyBorder="1" applyAlignment="1" applyProtection="1">
      <alignment horizontal="center" vertical="center"/>
      <protection hidden="1"/>
    </xf>
    <xf numFmtId="0" fontId="12" fillId="0" borderId="52" xfId="0" applyNumberFormat="1" applyFont="1" applyFill="1" applyBorder="1" applyAlignment="1" applyProtection="1">
      <alignment horizontal="center" vertical="center"/>
      <protection hidden="1"/>
    </xf>
    <xf numFmtId="49" fontId="16" fillId="0" borderId="37" xfId="0" applyNumberFormat="1" applyFont="1" applyFill="1" applyBorder="1" applyAlignment="1" applyProtection="1">
      <alignment horizontal="left" vertical="center"/>
      <protection hidden="1"/>
    </xf>
    <xf numFmtId="0" fontId="16" fillId="0" borderId="53" xfId="0" applyNumberFormat="1" applyFont="1" applyFill="1" applyBorder="1" applyAlignment="1" applyProtection="1">
      <alignment horizontal="left" vertical="center"/>
      <protection hidden="1"/>
    </xf>
    <xf numFmtId="49" fontId="15" fillId="0" borderId="37" xfId="0" applyNumberFormat="1" applyFont="1" applyFill="1" applyBorder="1" applyAlignment="1" applyProtection="1">
      <alignment horizontal="left" vertical="center"/>
      <protection hidden="1"/>
    </xf>
    <xf numFmtId="0" fontId="15" fillId="0" borderId="53" xfId="0" applyNumberFormat="1" applyFont="1" applyFill="1" applyBorder="1" applyAlignment="1" applyProtection="1">
      <alignment horizontal="left" vertical="center"/>
      <protection hidden="1"/>
    </xf>
    <xf numFmtId="49" fontId="14" fillId="0" borderId="37" xfId="0" applyNumberFormat="1" applyFont="1" applyFill="1" applyBorder="1" applyAlignment="1" applyProtection="1">
      <alignment horizontal="left" vertical="center"/>
      <protection hidden="1"/>
    </xf>
    <xf numFmtId="0" fontId="14" fillId="0" borderId="53" xfId="0" applyNumberFormat="1" applyFont="1" applyFill="1" applyBorder="1" applyAlignment="1" applyProtection="1">
      <alignment horizontal="left" vertical="center"/>
      <protection hidden="1"/>
    </xf>
    <xf numFmtId="49" fontId="14" fillId="38" borderId="37" xfId="0" applyNumberFormat="1" applyFont="1" applyFill="1" applyBorder="1" applyAlignment="1" applyProtection="1">
      <alignment horizontal="left" vertical="center"/>
      <protection hidden="1"/>
    </xf>
    <xf numFmtId="0" fontId="14" fillId="38" borderId="52" xfId="0" applyNumberFormat="1" applyFont="1" applyFill="1" applyBorder="1" applyAlignment="1" applyProtection="1">
      <alignment horizontal="left" vertical="center"/>
      <protection hidden="1"/>
    </xf>
    <xf numFmtId="49" fontId="15" fillId="0" borderId="56" xfId="0" applyNumberFormat="1" applyFont="1" applyFill="1" applyBorder="1" applyAlignment="1" applyProtection="1">
      <alignment horizontal="left" vertical="center"/>
      <protection hidden="1"/>
    </xf>
    <xf numFmtId="0" fontId="15" fillId="0" borderId="24" xfId="0" applyNumberFormat="1" applyFont="1" applyFill="1" applyBorder="1" applyAlignment="1" applyProtection="1">
      <alignment horizontal="left" vertical="center"/>
      <protection hidden="1"/>
    </xf>
    <xf numFmtId="0" fontId="15" fillId="0" borderId="57" xfId="0" applyNumberFormat="1" applyFont="1" applyFill="1" applyBorder="1" applyAlignment="1" applyProtection="1">
      <alignment horizontal="left" vertical="center"/>
      <protection hidden="1"/>
    </xf>
    <xf numFmtId="49" fontId="15" fillId="0" borderId="15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58" xfId="0" applyNumberFormat="1" applyFont="1" applyFill="1" applyBorder="1" applyAlignment="1" applyProtection="1">
      <alignment horizontal="left" vertical="center"/>
      <protection hidden="1"/>
    </xf>
    <xf numFmtId="49" fontId="15" fillId="0" borderId="59" xfId="0" applyNumberFormat="1" applyFont="1" applyFill="1" applyBorder="1" applyAlignment="1" applyProtection="1">
      <alignment horizontal="left" vertical="center"/>
      <protection hidden="1"/>
    </xf>
    <xf numFmtId="0" fontId="15" fillId="0" borderId="60" xfId="0" applyNumberFormat="1" applyFont="1" applyFill="1" applyBorder="1" applyAlignment="1" applyProtection="1">
      <alignment horizontal="left" vertical="center"/>
      <protection hidden="1"/>
    </xf>
    <xf numFmtId="0" fontId="15" fillId="0" borderId="61" xfId="0" applyNumberFormat="1" applyFont="1" applyFill="1" applyBorder="1" applyAlignment="1" applyProtection="1">
      <alignment horizontal="left" vertical="center"/>
      <protection hidden="1"/>
    </xf>
    <xf numFmtId="49" fontId="2" fillId="0" borderId="28" xfId="0" applyNumberFormat="1" applyFont="1" applyFill="1" applyBorder="1" applyAlignment="1" applyProtection="1">
      <alignment horizontal="center"/>
      <protection hidden="1"/>
    </xf>
    <xf numFmtId="0" fontId="1" fillId="0" borderId="55" xfId="0" applyNumberFormat="1" applyFont="1" applyFill="1" applyBorder="1" applyAlignment="1" applyProtection="1">
      <alignment horizontal="left" vertical="center"/>
      <protection hidden="1"/>
    </xf>
    <xf numFmtId="0" fontId="1" fillId="0" borderId="62" xfId="0" applyNumberFormat="1" applyFont="1" applyFill="1" applyBorder="1" applyAlignment="1" applyProtection="1">
      <alignment horizontal="left" vertical="center"/>
      <protection hidden="1"/>
    </xf>
    <xf numFmtId="0" fontId="1" fillId="0" borderId="60" xfId="0" applyNumberFormat="1" applyFont="1" applyFill="1" applyBorder="1" applyAlignment="1" applyProtection="1">
      <alignment horizontal="left" vertical="center"/>
      <protection hidden="1"/>
    </xf>
    <xf numFmtId="0" fontId="1" fillId="0" borderId="63" xfId="0" applyNumberFormat="1" applyFont="1" applyFill="1" applyBorder="1" applyAlignment="1" applyProtection="1">
      <alignment horizontal="left" vertical="center"/>
      <protection hidden="1"/>
    </xf>
    <xf numFmtId="49" fontId="1" fillId="0" borderId="30" xfId="0" applyNumberFormat="1" applyFont="1" applyFill="1" applyBorder="1" applyAlignment="1" applyProtection="1">
      <alignment horizontal="left" vertical="center"/>
      <protection hidden="1"/>
    </xf>
    <xf numFmtId="49" fontId="3" fillId="0" borderId="64" xfId="0" applyNumberFormat="1" applyFont="1" applyFill="1" applyBorder="1" applyAlignment="1" applyProtection="1">
      <alignment horizontal="center" vertical="center"/>
      <protection hidden="1"/>
    </xf>
    <xf numFmtId="0" fontId="3" fillId="0" borderId="50" xfId="0" applyNumberFormat="1" applyFont="1" applyFill="1" applyBorder="1" applyAlignment="1" applyProtection="1">
      <alignment horizontal="center" vertical="center"/>
      <protection hidden="1"/>
    </xf>
    <xf numFmtId="0" fontId="3" fillId="0" borderId="65" xfId="0" applyNumberFormat="1" applyFont="1" applyFill="1" applyBorder="1" applyAlignment="1" applyProtection="1">
      <alignment horizontal="center" vertical="center"/>
      <protection hidden="1"/>
    </xf>
    <xf numFmtId="49" fontId="3" fillId="0" borderId="30" xfId="0" applyNumberFormat="1" applyFont="1" applyFill="1" applyBorder="1" applyAlignment="1" applyProtection="1">
      <alignment horizontal="left" vertical="center"/>
      <protection hidden="1"/>
    </xf>
  </cellXfs>
  <cellStyles count="4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Měna 2" xfId="38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0000"/>
      <rgbColor rgb="00000000"/>
      <rgbColor rgb="00C0C0C0"/>
      <rgbColor rgb="00C0C0C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PageLayoutView="0" workbookViewId="0" topLeftCell="A7">
      <selection activeCell="F14" sqref="F14"/>
    </sheetView>
  </sheetViews>
  <sheetFormatPr defaultColWidth="11.57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11.57421875" style="1" customWidth="1"/>
  </cols>
  <sheetData>
    <row r="1" spans="1:9" ht="72.75" customHeight="1">
      <c r="A1" s="128"/>
      <c r="B1" s="54"/>
      <c r="C1" s="143" t="s">
        <v>814</v>
      </c>
      <c r="D1" s="144"/>
      <c r="E1" s="144"/>
      <c r="F1" s="144"/>
      <c r="G1" s="144"/>
      <c r="H1" s="144"/>
      <c r="I1" s="144"/>
    </row>
    <row r="2" spans="1:10" ht="12.75">
      <c r="A2" s="145" t="s">
        <v>0</v>
      </c>
      <c r="B2" s="146"/>
      <c r="C2" s="149" t="str">
        <f>'Stavební rozpočet'!D2</f>
        <v>Snížení energetické náročnosti areálu Jesenice č.p. 1</v>
      </c>
      <c r="D2" s="150"/>
      <c r="E2" s="152" t="s">
        <v>663</v>
      </c>
      <c r="F2" s="152" t="str">
        <f>'Stavební rozpočet'!I2</f>
        <v>IVP CZ a.s., Plzeńská 1574, 25263 Rozttoky</v>
      </c>
      <c r="G2" s="146"/>
      <c r="H2" s="152" t="s">
        <v>776</v>
      </c>
      <c r="I2" s="153"/>
      <c r="J2" s="2"/>
    </row>
    <row r="3" spans="1:10" ht="12.75">
      <c r="A3" s="147"/>
      <c r="B3" s="148"/>
      <c r="C3" s="151"/>
      <c r="D3" s="151"/>
      <c r="E3" s="148"/>
      <c r="F3" s="148"/>
      <c r="G3" s="148"/>
      <c r="H3" s="148"/>
      <c r="I3" s="154"/>
      <c r="J3" s="2"/>
    </row>
    <row r="4" spans="1:10" ht="12.75">
      <c r="A4" s="155" t="s">
        <v>1</v>
      </c>
      <c r="B4" s="148"/>
      <c r="C4" s="156" t="str">
        <f>'Stavební rozpočet'!D4</f>
        <v>rekonstrukce průmyslového objektu</v>
      </c>
      <c r="D4" s="148"/>
      <c r="E4" s="156" t="s">
        <v>664</v>
      </c>
      <c r="F4" s="156" t="str">
        <f>'Stavební rozpočet'!I4</f>
        <v>Studio Planarch s.r.o.</v>
      </c>
      <c r="G4" s="148"/>
      <c r="H4" s="156" t="s">
        <v>776</v>
      </c>
      <c r="I4" s="157"/>
      <c r="J4" s="2"/>
    </row>
    <row r="5" spans="1:10" ht="12.75">
      <c r="A5" s="147"/>
      <c r="B5" s="148"/>
      <c r="C5" s="148"/>
      <c r="D5" s="148"/>
      <c r="E5" s="148"/>
      <c r="F5" s="148"/>
      <c r="G5" s="148"/>
      <c r="H5" s="148"/>
      <c r="I5" s="154"/>
      <c r="J5" s="2"/>
    </row>
    <row r="6" spans="1:10" ht="12.75">
      <c r="A6" s="155" t="s">
        <v>2</v>
      </c>
      <c r="B6" s="148"/>
      <c r="C6" s="156" t="str">
        <f>'Stavební rozpočet'!D6</f>
        <v>Jesenice u Chebu</v>
      </c>
      <c r="D6" s="148"/>
      <c r="E6" s="156" t="s">
        <v>665</v>
      </c>
      <c r="F6" s="156" t="str">
        <f>'Stavební rozpočet'!I6</f>
        <v> </v>
      </c>
      <c r="G6" s="148"/>
      <c r="H6" s="156" t="s">
        <v>776</v>
      </c>
      <c r="I6" s="157"/>
      <c r="J6" s="2"/>
    </row>
    <row r="7" spans="1:10" ht="12.75">
      <c r="A7" s="147"/>
      <c r="B7" s="148"/>
      <c r="C7" s="148"/>
      <c r="D7" s="148"/>
      <c r="E7" s="148"/>
      <c r="F7" s="148"/>
      <c r="G7" s="148"/>
      <c r="H7" s="148"/>
      <c r="I7" s="154"/>
      <c r="J7" s="2"/>
    </row>
    <row r="8" spans="1:10" ht="12.75">
      <c r="A8" s="155" t="s">
        <v>645</v>
      </c>
      <c r="B8" s="148"/>
      <c r="C8" s="156" t="str">
        <f>'Stavební rozpočet'!G4</f>
        <v> </v>
      </c>
      <c r="D8" s="148"/>
      <c r="E8" s="156" t="s">
        <v>646</v>
      </c>
      <c r="F8" s="156" t="str">
        <f>'Stavební rozpočet'!G6</f>
        <v> </v>
      </c>
      <c r="G8" s="148"/>
      <c r="H8" s="158" t="s">
        <v>777</v>
      </c>
      <c r="I8" s="157" t="s">
        <v>157</v>
      </c>
      <c r="J8" s="2"/>
    </row>
    <row r="9" spans="1:10" ht="12.75">
      <c r="A9" s="147"/>
      <c r="B9" s="148"/>
      <c r="C9" s="148"/>
      <c r="D9" s="148"/>
      <c r="E9" s="148"/>
      <c r="F9" s="148"/>
      <c r="G9" s="148"/>
      <c r="H9" s="148"/>
      <c r="I9" s="154"/>
      <c r="J9" s="2"/>
    </row>
    <row r="10" spans="1:10" ht="12.75">
      <c r="A10" s="155" t="s">
        <v>3</v>
      </c>
      <c r="B10" s="148"/>
      <c r="C10" s="156" t="str">
        <f>'Stavební rozpočet'!D8</f>
        <v> </v>
      </c>
      <c r="D10" s="148"/>
      <c r="E10" s="156" t="s">
        <v>666</v>
      </c>
      <c r="F10" s="156" t="str">
        <f>'Stavební rozpočet'!I8</f>
        <v>NEMOVIS s.r.o.</v>
      </c>
      <c r="G10" s="148"/>
      <c r="H10" s="158" t="s">
        <v>778</v>
      </c>
      <c r="I10" s="161" t="str">
        <f>'Stavební rozpočet'!G8</f>
        <v>15.04.2021</v>
      </c>
      <c r="J10" s="2"/>
    </row>
    <row r="11" spans="1:10" ht="12.75">
      <c r="A11" s="159"/>
      <c r="B11" s="160"/>
      <c r="C11" s="160"/>
      <c r="D11" s="160"/>
      <c r="E11" s="160"/>
      <c r="F11" s="160"/>
      <c r="G11" s="160"/>
      <c r="H11" s="160"/>
      <c r="I11" s="162"/>
      <c r="J11" s="2"/>
    </row>
    <row r="12" spans="1:9" ht="23.25" customHeight="1">
      <c r="A12" s="163" t="s">
        <v>737</v>
      </c>
      <c r="B12" s="164"/>
      <c r="C12" s="164"/>
      <c r="D12" s="164"/>
      <c r="E12" s="164"/>
      <c r="F12" s="164"/>
      <c r="G12" s="164"/>
      <c r="H12" s="164"/>
      <c r="I12" s="164"/>
    </row>
    <row r="13" spans="1:10" ht="26.25" customHeight="1">
      <c r="A13" s="129" t="s">
        <v>738</v>
      </c>
      <c r="B13" s="165" t="s">
        <v>750</v>
      </c>
      <c r="C13" s="166"/>
      <c r="D13" s="129" t="s">
        <v>752</v>
      </c>
      <c r="E13" s="165" t="s">
        <v>761</v>
      </c>
      <c r="F13" s="166"/>
      <c r="G13" s="129" t="s">
        <v>762</v>
      </c>
      <c r="H13" s="165" t="s">
        <v>779</v>
      </c>
      <c r="I13" s="166"/>
      <c r="J13" s="2"/>
    </row>
    <row r="14" spans="1:10" ht="15" customHeight="1">
      <c r="A14" s="130" t="s">
        <v>739</v>
      </c>
      <c r="B14" s="131" t="s">
        <v>751</v>
      </c>
      <c r="C14" s="132">
        <f>SUM('Stavební rozpočet'!AB12:AB353)</f>
        <v>0</v>
      </c>
      <c r="D14" s="167" t="s">
        <v>753</v>
      </c>
      <c r="E14" s="168"/>
      <c r="F14" s="141">
        <v>0</v>
      </c>
      <c r="G14" s="167" t="s">
        <v>763</v>
      </c>
      <c r="H14" s="168"/>
      <c r="I14" s="132">
        <f>ROUND(C22*(2.7/100),2)</f>
        <v>0</v>
      </c>
      <c r="J14" s="2"/>
    </row>
    <row r="15" spans="1:10" ht="15" customHeight="1">
      <c r="A15" s="133"/>
      <c r="B15" s="131" t="s">
        <v>674</v>
      </c>
      <c r="C15" s="132">
        <f>SUM('Stavební rozpočet'!AC12:AC353)</f>
        <v>0</v>
      </c>
      <c r="D15" s="167" t="s">
        <v>754</v>
      </c>
      <c r="E15" s="168"/>
      <c r="F15" s="141">
        <v>0</v>
      </c>
      <c r="G15" s="167" t="s">
        <v>764</v>
      </c>
      <c r="H15" s="168"/>
      <c r="I15" s="141">
        <v>0</v>
      </c>
      <c r="J15" s="2"/>
    </row>
    <row r="16" spans="1:10" ht="15" customHeight="1">
      <c r="A16" s="130" t="s">
        <v>740</v>
      </c>
      <c r="B16" s="131" t="s">
        <v>751</v>
      </c>
      <c r="C16" s="132">
        <f>SUM('Stavební rozpočet'!AD12:AD353)</f>
        <v>0</v>
      </c>
      <c r="D16" s="167" t="s">
        <v>755</v>
      </c>
      <c r="E16" s="168"/>
      <c r="F16" s="141">
        <v>0</v>
      </c>
      <c r="G16" s="167" t="s">
        <v>765</v>
      </c>
      <c r="H16" s="168"/>
      <c r="I16" s="141">
        <v>0</v>
      </c>
      <c r="J16" s="2"/>
    </row>
    <row r="17" spans="1:10" ht="15" customHeight="1">
      <c r="A17" s="133"/>
      <c r="B17" s="131" t="s">
        <v>674</v>
      </c>
      <c r="C17" s="132">
        <f>SUM('Stavební rozpočet'!AE12:AE353)</f>
        <v>0</v>
      </c>
      <c r="D17" s="167"/>
      <c r="E17" s="168"/>
      <c r="F17" s="134"/>
      <c r="G17" s="167" t="s">
        <v>766</v>
      </c>
      <c r="H17" s="168"/>
      <c r="I17" s="141">
        <v>0</v>
      </c>
      <c r="J17" s="2"/>
    </row>
    <row r="18" spans="1:10" ht="15" customHeight="1">
      <c r="A18" s="130" t="s">
        <v>741</v>
      </c>
      <c r="B18" s="131" t="s">
        <v>751</v>
      </c>
      <c r="C18" s="132">
        <f>SUM('Stavební rozpočet'!AF12:AF353)</f>
        <v>0</v>
      </c>
      <c r="D18" s="167"/>
      <c r="E18" s="168"/>
      <c r="F18" s="134"/>
      <c r="G18" s="167" t="s">
        <v>767</v>
      </c>
      <c r="H18" s="168"/>
      <c r="I18" s="141">
        <v>0</v>
      </c>
      <c r="J18" s="2"/>
    </row>
    <row r="19" spans="1:10" ht="15" customHeight="1">
      <c r="A19" s="133"/>
      <c r="B19" s="131" t="s">
        <v>674</v>
      </c>
      <c r="C19" s="132">
        <f>SUM('Stavební rozpočet'!AG12:AG353)</f>
        <v>0</v>
      </c>
      <c r="D19" s="167"/>
      <c r="E19" s="168"/>
      <c r="F19" s="134"/>
      <c r="G19" s="167" t="s">
        <v>768</v>
      </c>
      <c r="H19" s="168"/>
      <c r="I19" s="141">
        <v>0</v>
      </c>
      <c r="J19" s="2"/>
    </row>
    <row r="20" spans="1:10" ht="15" customHeight="1">
      <c r="A20" s="169" t="s">
        <v>742</v>
      </c>
      <c r="B20" s="170"/>
      <c r="C20" s="141">
        <v>0</v>
      </c>
      <c r="D20" s="167"/>
      <c r="E20" s="168"/>
      <c r="F20" s="134"/>
      <c r="G20" s="167"/>
      <c r="H20" s="168"/>
      <c r="I20" s="134"/>
      <c r="J20" s="2"/>
    </row>
    <row r="21" spans="1:10" ht="15" customHeight="1">
      <c r="A21" s="169" t="s">
        <v>743</v>
      </c>
      <c r="B21" s="170"/>
      <c r="C21" s="132">
        <f>SUM('Stavební rozpočet'!Z12:Z353)</f>
        <v>0</v>
      </c>
      <c r="D21" s="167"/>
      <c r="E21" s="168"/>
      <c r="F21" s="134"/>
      <c r="G21" s="167"/>
      <c r="H21" s="168"/>
      <c r="I21" s="134"/>
      <c r="J21" s="2"/>
    </row>
    <row r="22" spans="1:10" ht="16.5" customHeight="1">
      <c r="A22" s="169" t="s">
        <v>744</v>
      </c>
      <c r="B22" s="170"/>
      <c r="C22" s="132">
        <f>ROUND(SUM(C14:C21),0)</f>
        <v>0</v>
      </c>
      <c r="D22" s="169" t="s">
        <v>756</v>
      </c>
      <c r="E22" s="170"/>
      <c r="F22" s="132">
        <f>SUM(F14:F21)</f>
        <v>0</v>
      </c>
      <c r="G22" s="169" t="s">
        <v>769</v>
      </c>
      <c r="H22" s="170"/>
      <c r="I22" s="132">
        <f>SUM(I14:I21)</f>
        <v>0</v>
      </c>
      <c r="J22" s="2"/>
    </row>
    <row r="23" spans="1:10" ht="15" customHeight="1">
      <c r="A23" s="58"/>
      <c r="B23" s="58"/>
      <c r="C23" s="135"/>
      <c r="D23" s="169" t="s">
        <v>757</v>
      </c>
      <c r="E23" s="170"/>
      <c r="F23" s="142">
        <v>0</v>
      </c>
      <c r="G23" s="169" t="s">
        <v>770</v>
      </c>
      <c r="H23" s="170"/>
      <c r="I23" s="141">
        <v>0</v>
      </c>
      <c r="J23" s="2"/>
    </row>
    <row r="24" spans="4:10" ht="15" customHeight="1">
      <c r="D24" s="58"/>
      <c r="E24" s="58"/>
      <c r="F24" s="136"/>
      <c r="G24" s="169" t="s">
        <v>771</v>
      </c>
      <c r="H24" s="170"/>
      <c r="I24" s="141">
        <v>0</v>
      </c>
      <c r="J24" s="2"/>
    </row>
    <row r="25" spans="6:10" ht="15" customHeight="1">
      <c r="F25" s="40"/>
      <c r="G25" s="169" t="s">
        <v>772</v>
      </c>
      <c r="H25" s="170"/>
      <c r="I25" s="141">
        <v>0</v>
      </c>
      <c r="J25" s="2"/>
    </row>
    <row r="26" spans="1:9" ht="12.75">
      <c r="A26" s="54"/>
      <c r="B26" s="54"/>
      <c r="C26" s="54"/>
      <c r="G26" s="58"/>
      <c r="H26" s="58"/>
      <c r="I26" s="58"/>
    </row>
    <row r="27" spans="1:9" ht="15" customHeight="1">
      <c r="A27" s="171" t="s">
        <v>745</v>
      </c>
      <c r="B27" s="172"/>
      <c r="C27" s="137">
        <f>ROUND(SUM('Stavební rozpočet'!AJ12:AJ353),0)</f>
        <v>0</v>
      </c>
      <c r="D27" s="53"/>
      <c r="E27" s="54"/>
      <c r="F27" s="54"/>
      <c r="G27" s="54"/>
      <c r="H27" s="54"/>
      <c r="I27" s="54"/>
    </row>
    <row r="28" spans="1:10" ht="15" customHeight="1">
      <c r="A28" s="171" t="s">
        <v>746</v>
      </c>
      <c r="B28" s="172"/>
      <c r="C28" s="137">
        <f>ROUND(SUM('Stavební rozpočet'!AK12:AK353),0)</f>
        <v>0</v>
      </c>
      <c r="D28" s="171" t="s">
        <v>758</v>
      </c>
      <c r="E28" s="172"/>
      <c r="F28" s="137">
        <f>ROUND(C28*(15/100),2)</f>
        <v>0</v>
      </c>
      <c r="G28" s="171" t="s">
        <v>773</v>
      </c>
      <c r="H28" s="172"/>
      <c r="I28" s="137">
        <f>ROUND(SUM(C27:C29),0)</f>
        <v>0</v>
      </c>
      <c r="J28" s="2"/>
    </row>
    <row r="29" spans="1:10" ht="15" customHeight="1">
      <c r="A29" s="171" t="s">
        <v>747</v>
      </c>
      <c r="B29" s="172"/>
      <c r="C29" s="137">
        <f>ROUND(SUM('Stavební rozpočet'!AL12:AL353)+(F22+I22+F23+I23+I24+I25),0)</f>
        <v>0</v>
      </c>
      <c r="D29" s="171" t="s">
        <v>759</v>
      </c>
      <c r="E29" s="172"/>
      <c r="F29" s="137">
        <f>ROUND(C29*(21/100),2)</f>
        <v>0</v>
      </c>
      <c r="G29" s="171" t="s">
        <v>774</v>
      </c>
      <c r="H29" s="172"/>
      <c r="I29" s="137">
        <f>ROUND(SUM(F28:F29)+I28,0)</f>
        <v>0</v>
      </c>
      <c r="J29" s="2"/>
    </row>
    <row r="30" spans="1:9" ht="12.75">
      <c r="A30" s="138"/>
      <c r="B30" s="138"/>
      <c r="C30" s="138"/>
      <c r="D30" s="138"/>
      <c r="E30" s="138"/>
      <c r="F30" s="138"/>
      <c r="G30" s="138"/>
      <c r="H30" s="138"/>
      <c r="I30" s="138"/>
    </row>
    <row r="31" spans="1:10" ht="14.25" customHeight="1">
      <c r="A31" s="173" t="s">
        <v>748</v>
      </c>
      <c r="B31" s="174"/>
      <c r="C31" s="175"/>
      <c r="D31" s="173" t="s">
        <v>760</v>
      </c>
      <c r="E31" s="174"/>
      <c r="F31" s="175"/>
      <c r="G31" s="173" t="s">
        <v>775</v>
      </c>
      <c r="H31" s="174"/>
      <c r="I31" s="175"/>
      <c r="J31" s="9"/>
    </row>
    <row r="32" spans="1:10" ht="14.25" customHeight="1">
      <c r="A32" s="176"/>
      <c r="B32" s="177"/>
      <c r="C32" s="178"/>
      <c r="D32" s="176"/>
      <c r="E32" s="177"/>
      <c r="F32" s="178"/>
      <c r="G32" s="176"/>
      <c r="H32" s="177"/>
      <c r="I32" s="178"/>
      <c r="J32" s="9"/>
    </row>
    <row r="33" spans="1:10" ht="14.25" customHeight="1">
      <c r="A33" s="176"/>
      <c r="B33" s="177"/>
      <c r="C33" s="178"/>
      <c r="D33" s="176"/>
      <c r="E33" s="177"/>
      <c r="F33" s="178"/>
      <c r="G33" s="176"/>
      <c r="H33" s="177"/>
      <c r="I33" s="178"/>
      <c r="J33" s="9"/>
    </row>
    <row r="34" spans="1:10" ht="14.25" customHeight="1">
      <c r="A34" s="176"/>
      <c r="B34" s="177"/>
      <c r="C34" s="178"/>
      <c r="D34" s="176"/>
      <c r="E34" s="177"/>
      <c r="F34" s="178"/>
      <c r="G34" s="176"/>
      <c r="H34" s="177"/>
      <c r="I34" s="178"/>
      <c r="J34" s="9"/>
    </row>
    <row r="35" spans="1:10" ht="14.25" customHeight="1">
      <c r="A35" s="179" t="s">
        <v>749</v>
      </c>
      <c r="B35" s="180"/>
      <c r="C35" s="181"/>
      <c r="D35" s="179" t="s">
        <v>749</v>
      </c>
      <c r="E35" s="180"/>
      <c r="F35" s="181"/>
      <c r="G35" s="179" t="s">
        <v>749</v>
      </c>
      <c r="H35" s="180"/>
      <c r="I35" s="181"/>
      <c r="J35" s="9"/>
    </row>
    <row r="36" spans="1:9" ht="11.25" customHeight="1">
      <c r="A36" s="139" t="s">
        <v>158</v>
      </c>
      <c r="B36" s="140"/>
      <c r="C36" s="140"/>
      <c r="D36" s="140"/>
      <c r="E36" s="140"/>
      <c r="F36" s="140"/>
      <c r="G36" s="140"/>
      <c r="H36" s="140"/>
      <c r="I36" s="140"/>
    </row>
    <row r="37" spans="1:9" ht="12.75">
      <c r="A37" s="156"/>
      <c r="B37" s="148"/>
      <c r="C37" s="148"/>
      <c r="D37" s="148"/>
      <c r="E37" s="148"/>
      <c r="F37" s="148"/>
      <c r="G37" s="148"/>
      <c r="H37" s="148"/>
      <c r="I37" s="148"/>
    </row>
  </sheetData>
  <sheetProtection password="9C66" sheet="1" selectLockedCells="1"/>
  <protectedRanges>
    <protectedRange sqref="C20 F14 F15 F16 F23 I15:I19 I23:I25" name="Oblast1"/>
  </protectedRanges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D10" sqref="D10"/>
    </sheetView>
  </sheetViews>
  <sheetFormatPr defaultColWidth="11.57421875" defaultRowHeight="12.75"/>
  <cols>
    <col min="1" max="2" width="16.57421875" style="1" customWidth="1"/>
    <col min="3" max="3" width="41.7109375" style="1" customWidth="1"/>
    <col min="4" max="4" width="22.140625" style="1" customWidth="1"/>
    <col min="5" max="5" width="21.00390625" style="1" customWidth="1"/>
    <col min="6" max="6" width="20.8515625" style="1" customWidth="1"/>
    <col min="7" max="7" width="19.7109375" style="1" customWidth="1"/>
    <col min="8" max="9" width="0" style="1" hidden="1" customWidth="1"/>
    <col min="10" max="28" width="11.57421875" style="1" customWidth="1"/>
    <col min="29" max="29" width="11.57421875" style="105" customWidth="1"/>
    <col min="30" max="16384" width="11.57421875" style="1" customWidth="1"/>
  </cols>
  <sheetData>
    <row r="1" spans="1:7" ht="72.75" customHeight="1">
      <c r="A1" s="182" t="s">
        <v>815</v>
      </c>
      <c r="B1" s="144"/>
      <c r="C1" s="144"/>
      <c r="D1" s="144"/>
      <c r="E1" s="144"/>
      <c r="F1" s="144"/>
      <c r="G1" s="144"/>
    </row>
    <row r="2" spans="1:8" ht="12.75">
      <c r="A2" s="145" t="s">
        <v>0</v>
      </c>
      <c r="B2" s="149" t="str">
        <f>'Stavební rozpočet'!D2</f>
        <v>Snížení energetické náročnosti areálu Jesenice č.p. 1</v>
      </c>
      <c r="C2" s="150"/>
      <c r="D2" s="152" t="s">
        <v>663</v>
      </c>
      <c r="E2" s="152" t="str">
        <f>'Stavební rozpočet'!I2</f>
        <v>IVP CZ a.s., Plzeńská 1574, 25263 Rozttoky</v>
      </c>
      <c r="F2" s="146"/>
      <c r="G2" s="183"/>
      <c r="H2" s="2"/>
    </row>
    <row r="3" spans="1:8" ht="12.75">
      <c r="A3" s="147"/>
      <c r="B3" s="151"/>
      <c r="C3" s="151"/>
      <c r="D3" s="148"/>
      <c r="E3" s="148"/>
      <c r="F3" s="148"/>
      <c r="G3" s="154"/>
      <c r="H3" s="2"/>
    </row>
    <row r="4" spans="1:8" ht="12.75">
      <c r="A4" s="155" t="s">
        <v>1</v>
      </c>
      <c r="B4" s="156" t="str">
        <f>'Stavební rozpočet'!D4</f>
        <v>rekonstrukce průmyslového objektu</v>
      </c>
      <c r="C4" s="148"/>
      <c r="D4" s="156" t="s">
        <v>664</v>
      </c>
      <c r="E4" s="156" t="str">
        <f>'Stavební rozpočet'!I4</f>
        <v>Studio Planarch s.r.o.</v>
      </c>
      <c r="F4" s="148"/>
      <c r="G4" s="154"/>
      <c r="H4" s="2"/>
    </row>
    <row r="5" spans="1:8" ht="12.75">
      <c r="A5" s="147"/>
      <c r="B5" s="148"/>
      <c r="C5" s="148"/>
      <c r="D5" s="148"/>
      <c r="E5" s="148"/>
      <c r="F5" s="148"/>
      <c r="G5" s="154"/>
      <c r="H5" s="2"/>
    </row>
    <row r="6" spans="1:8" ht="12.75">
      <c r="A6" s="155" t="s">
        <v>2</v>
      </c>
      <c r="B6" s="156" t="str">
        <f>'Stavební rozpočet'!D6</f>
        <v>Jesenice u Chebu</v>
      </c>
      <c r="C6" s="148"/>
      <c r="D6" s="156" t="s">
        <v>665</v>
      </c>
      <c r="E6" s="156" t="str">
        <f>'Stavební rozpočet'!I6</f>
        <v> </v>
      </c>
      <c r="F6" s="148"/>
      <c r="G6" s="154"/>
      <c r="H6" s="2"/>
    </row>
    <row r="7" spans="1:8" ht="12.75">
      <c r="A7" s="147"/>
      <c r="B7" s="148"/>
      <c r="C7" s="148"/>
      <c r="D7" s="148"/>
      <c r="E7" s="148"/>
      <c r="F7" s="148"/>
      <c r="G7" s="154"/>
      <c r="H7" s="2"/>
    </row>
    <row r="8" spans="1:8" ht="12.75">
      <c r="A8" s="155" t="s">
        <v>666</v>
      </c>
      <c r="B8" s="156" t="str">
        <f>'Stavební rozpočet'!I8</f>
        <v>NEMOVIS s.r.o.</v>
      </c>
      <c r="C8" s="148"/>
      <c r="D8" s="158" t="s">
        <v>647</v>
      </c>
      <c r="E8" s="156" t="str">
        <f>'Stavební rozpočet'!G8</f>
        <v>15.04.2021</v>
      </c>
      <c r="F8" s="148"/>
      <c r="G8" s="154"/>
      <c r="H8" s="2"/>
    </row>
    <row r="9" spans="1:8" ht="12.75">
      <c r="A9" s="184"/>
      <c r="B9" s="185"/>
      <c r="C9" s="185"/>
      <c r="D9" s="185"/>
      <c r="E9" s="185"/>
      <c r="F9" s="185"/>
      <c r="G9" s="186"/>
      <c r="H9" s="2"/>
    </row>
    <row r="10" spans="1:8" ht="12.75">
      <c r="A10" s="106" t="s">
        <v>159</v>
      </c>
      <c r="B10" s="107" t="s">
        <v>165</v>
      </c>
      <c r="C10" s="108" t="s">
        <v>330</v>
      </c>
      <c r="D10" s="109" t="s">
        <v>731</v>
      </c>
      <c r="E10" s="109" t="s">
        <v>732</v>
      </c>
      <c r="F10" s="109" t="s">
        <v>733</v>
      </c>
      <c r="G10" s="110" t="s">
        <v>734</v>
      </c>
      <c r="H10" s="9"/>
    </row>
    <row r="11" spans="1:9" ht="12.75">
      <c r="A11" s="111" t="s">
        <v>160</v>
      </c>
      <c r="B11" s="112"/>
      <c r="C11" s="112" t="s">
        <v>332</v>
      </c>
      <c r="D11" s="113">
        <f>'Stavební rozpočet'!H12</f>
        <v>0</v>
      </c>
      <c r="E11" s="113">
        <f>'Stavební rozpočet'!I12</f>
        <v>0</v>
      </c>
      <c r="F11" s="113">
        <f>'Stavební rozpočet'!J12</f>
        <v>0</v>
      </c>
      <c r="G11" s="114">
        <f>'Stavební rozpočet'!L12</f>
        <v>63.567721985</v>
      </c>
      <c r="H11" s="115" t="s">
        <v>735</v>
      </c>
      <c r="I11" s="35">
        <f aca="true" t="shared" si="0" ref="I11:I35">IF(H11="F",0,F11)</f>
        <v>0</v>
      </c>
    </row>
    <row r="12" spans="1:9" ht="12.75">
      <c r="A12" s="116" t="s">
        <v>160</v>
      </c>
      <c r="B12" s="3" t="s">
        <v>166</v>
      </c>
      <c r="C12" s="3" t="s">
        <v>333</v>
      </c>
      <c r="D12" s="35">
        <f>'Stavební rozpočet'!H13</f>
        <v>0</v>
      </c>
      <c r="E12" s="35">
        <f>'Stavební rozpočet'!I13</f>
        <v>0</v>
      </c>
      <c r="F12" s="35">
        <f>'Stavební rozpočet'!J13</f>
        <v>0</v>
      </c>
      <c r="G12" s="117">
        <f>'Stavební rozpočet'!L13</f>
        <v>0.68578048</v>
      </c>
      <c r="H12" s="115" t="s">
        <v>736</v>
      </c>
      <c r="I12" s="35">
        <f t="shared" si="0"/>
        <v>0</v>
      </c>
    </row>
    <row r="13" spans="1:9" ht="12.75">
      <c r="A13" s="116" t="s">
        <v>160</v>
      </c>
      <c r="B13" s="3" t="s">
        <v>168</v>
      </c>
      <c r="C13" s="3" t="s">
        <v>336</v>
      </c>
      <c r="D13" s="35">
        <f>'Stavební rozpočet'!H16</f>
        <v>0</v>
      </c>
      <c r="E13" s="35">
        <f>'Stavební rozpočet'!I16</f>
        <v>0</v>
      </c>
      <c r="F13" s="35">
        <f>'Stavební rozpočet'!J16</f>
        <v>0</v>
      </c>
      <c r="G13" s="117">
        <f>'Stavební rozpočet'!L16</f>
        <v>1.89807763</v>
      </c>
      <c r="H13" s="115" t="s">
        <v>736</v>
      </c>
      <c r="I13" s="35">
        <f t="shared" si="0"/>
        <v>0</v>
      </c>
    </row>
    <row r="14" spans="1:9" ht="12.75">
      <c r="A14" s="116" t="s">
        <v>160</v>
      </c>
      <c r="B14" s="3" t="s">
        <v>175</v>
      </c>
      <c r="C14" s="3" t="s">
        <v>349</v>
      </c>
      <c r="D14" s="35">
        <f>'Stavební rozpočet'!H29</f>
        <v>0</v>
      </c>
      <c r="E14" s="35">
        <f>'Stavební rozpočet'!I29</f>
        <v>0</v>
      </c>
      <c r="F14" s="35">
        <f>'Stavební rozpočet'!J29</f>
        <v>0</v>
      </c>
      <c r="G14" s="117">
        <f>'Stavební rozpočet'!L29</f>
        <v>23.86535545</v>
      </c>
      <c r="H14" s="115" t="s">
        <v>736</v>
      </c>
      <c r="I14" s="35">
        <f t="shared" si="0"/>
        <v>0</v>
      </c>
    </row>
    <row r="15" spans="1:9" ht="12.75">
      <c r="A15" s="116" t="s">
        <v>160</v>
      </c>
      <c r="B15" s="3" t="s">
        <v>183</v>
      </c>
      <c r="C15" s="3" t="s">
        <v>366</v>
      </c>
      <c r="D15" s="35">
        <f>'Stavební rozpočet'!H47</f>
        <v>0</v>
      </c>
      <c r="E15" s="35">
        <f>'Stavební rozpočet'!I47</f>
        <v>0</v>
      </c>
      <c r="F15" s="35">
        <f>'Stavební rozpočet'!J47</f>
        <v>0</v>
      </c>
      <c r="G15" s="117">
        <f>'Stavební rozpočet'!L47</f>
        <v>28.489586425</v>
      </c>
      <c r="H15" s="115" t="s">
        <v>736</v>
      </c>
      <c r="I15" s="35">
        <f t="shared" si="0"/>
        <v>0</v>
      </c>
    </row>
    <row r="16" spans="1:9" ht="12.75">
      <c r="A16" s="116" t="s">
        <v>160</v>
      </c>
      <c r="B16" s="3" t="s">
        <v>187</v>
      </c>
      <c r="C16" s="3" t="s">
        <v>373</v>
      </c>
      <c r="D16" s="35">
        <f>'Stavební rozpočet'!H54</f>
        <v>0</v>
      </c>
      <c r="E16" s="35">
        <f>'Stavební rozpočet'!I54</f>
        <v>0</v>
      </c>
      <c r="F16" s="35">
        <f>'Stavební rozpočet'!J54</f>
        <v>0</v>
      </c>
      <c r="G16" s="117">
        <f>'Stavební rozpočet'!L54</f>
        <v>0.03162</v>
      </c>
      <c r="H16" s="115" t="s">
        <v>736</v>
      </c>
      <c r="I16" s="35">
        <f t="shared" si="0"/>
        <v>0</v>
      </c>
    </row>
    <row r="17" spans="1:9" ht="12.75">
      <c r="A17" s="116" t="s">
        <v>160</v>
      </c>
      <c r="B17" s="3" t="s">
        <v>101</v>
      </c>
      <c r="C17" s="3" t="s">
        <v>376</v>
      </c>
      <c r="D17" s="35">
        <f>'Stavební rozpočet'!H57</f>
        <v>0</v>
      </c>
      <c r="E17" s="35">
        <f>'Stavební rozpočet'!I57</f>
        <v>0</v>
      </c>
      <c r="F17" s="35">
        <f>'Stavební rozpočet'!J57</f>
        <v>0</v>
      </c>
      <c r="G17" s="117">
        <f>'Stavební rozpočet'!L57</f>
        <v>8.457442</v>
      </c>
      <c r="H17" s="115" t="s">
        <v>736</v>
      </c>
      <c r="I17" s="35">
        <f t="shared" si="0"/>
        <v>0</v>
      </c>
    </row>
    <row r="18" spans="1:9" ht="12.75">
      <c r="A18" s="116" t="s">
        <v>160</v>
      </c>
      <c r="B18" s="3" t="s">
        <v>201</v>
      </c>
      <c r="C18" s="3" t="s">
        <v>401</v>
      </c>
      <c r="D18" s="35">
        <f>'Stavební rozpočet'!H82</f>
        <v>0</v>
      </c>
      <c r="E18" s="35">
        <f>'Stavební rozpočet'!I82</f>
        <v>0</v>
      </c>
      <c r="F18" s="35">
        <f>'Stavební rozpočet'!J82</f>
        <v>0</v>
      </c>
      <c r="G18" s="117">
        <f>'Stavební rozpočet'!L82</f>
        <v>0.13985999999999998</v>
      </c>
      <c r="H18" s="115" t="s">
        <v>736</v>
      </c>
      <c r="I18" s="35">
        <f t="shared" si="0"/>
        <v>0</v>
      </c>
    </row>
    <row r="19" spans="1:9" ht="12.75">
      <c r="A19" s="116" t="s">
        <v>160</v>
      </c>
      <c r="B19" s="3" t="s">
        <v>203</v>
      </c>
      <c r="C19" s="3" t="s">
        <v>404</v>
      </c>
      <c r="D19" s="35">
        <f>'Stavební rozpočet'!H85</f>
        <v>0</v>
      </c>
      <c r="E19" s="35">
        <f>'Stavební rozpočet'!I85</f>
        <v>0</v>
      </c>
      <c r="F19" s="35">
        <f>'Stavební rozpočet'!J85</f>
        <v>0</v>
      </c>
      <c r="G19" s="117">
        <f>'Stavební rozpočet'!L85</f>
        <v>0</v>
      </c>
      <c r="H19" s="115" t="s">
        <v>736</v>
      </c>
      <c r="I19" s="35">
        <f t="shared" si="0"/>
        <v>0</v>
      </c>
    </row>
    <row r="20" spans="1:9" ht="12.75">
      <c r="A20" s="116" t="s">
        <v>160</v>
      </c>
      <c r="B20" s="3" t="s">
        <v>212</v>
      </c>
      <c r="C20" s="3" t="s">
        <v>422</v>
      </c>
      <c r="D20" s="35">
        <f>'Stavební rozpočet'!H104</f>
        <v>0</v>
      </c>
      <c r="E20" s="35">
        <f>'Stavební rozpočet'!I104</f>
        <v>0</v>
      </c>
      <c r="F20" s="35">
        <f>'Stavební rozpočet'!J104</f>
        <v>0</v>
      </c>
      <c r="G20" s="117">
        <f>'Stavební rozpočet'!L104</f>
        <v>0</v>
      </c>
      <c r="H20" s="115" t="s">
        <v>736</v>
      </c>
      <c r="I20" s="35">
        <f t="shared" si="0"/>
        <v>0</v>
      </c>
    </row>
    <row r="21" spans="1:9" ht="12.75">
      <c r="A21" s="118" t="s">
        <v>161</v>
      </c>
      <c r="B21" s="119"/>
      <c r="C21" s="119" t="s">
        <v>439</v>
      </c>
      <c r="D21" s="120">
        <f>'Stavební rozpočet'!H123</f>
        <v>0</v>
      </c>
      <c r="E21" s="120">
        <f>'Stavební rozpočet'!I123</f>
        <v>0</v>
      </c>
      <c r="F21" s="120">
        <f>'Stavební rozpočet'!J123</f>
        <v>0</v>
      </c>
      <c r="G21" s="121">
        <f>'Stavební rozpočet'!L123</f>
        <v>58.17061890309999</v>
      </c>
      <c r="H21" s="115" t="s">
        <v>735</v>
      </c>
      <c r="I21" s="35">
        <f t="shared" si="0"/>
        <v>0</v>
      </c>
    </row>
    <row r="22" spans="1:9" ht="12.75">
      <c r="A22" s="116" t="s">
        <v>161</v>
      </c>
      <c r="B22" s="3" t="s">
        <v>36</v>
      </c>
      <c r="C22" s="3" t="s">
        <v>440</v>
      </c>
      <c r="D22" s="35">
        <f>'Stavební rozpočet'!H124</f>
        <v>0</v>
      </c>
      <c r="E22" s="35">
        <f>'Stavební rozpočet'!I124</f>
        <v>0</v>
      </c>
      <c r="F22" s="35">
        <f>'Stavební rozpočet'!J124</f>
        <v>0</v>
      </c>
      <c r="G22" s="117">
        <f>'Stavební rozpočet'!L124</f>
        <v>2.635411446</v>
      </c>
      <c r="H22" s="115" t="s">
        <v>736</v>
      </c>
      <c r="I22" s="35">
        <f t="shared" si="0"/>
        <v>0</v>
      </c>
    </row>
    <row r="23" spans="1:9" ht="12.75">
      <c r="A23" s="116" t="s">
        <v>161</v>
      </c>
      <c r="B23" s="3" t="s">
        <v>66</v>
      </c>
      <c r="C23" s="3" t="s">
        <v>453</v>
      </c>
      <c r="D23" s="35">
        <f>'Stavební rozpočet'!H137</f>
        <v>0</v>
      </c>
      <c r="E23" s="35">
        <f>'Stavební rozpočet'!I137</f>
        <v>0</v>
      </c>
      <c r="F23" s="35">
        <f>'Stavební rozpočet'!J137</f>
        <v>0</v>
      </c>
      <c r="G23" s="117">
        <f>'Stavební rozpočet'!L137</f>
        <v>9.19364102</v>
      </c>
      <c r="H23" s="115" t="s">
        <v>736</v>
      </c>
      <c r="I23" s="35">
        <f t="shared" si="0"/>
        <v>0</v>
      </c>
    </row>
    <row r="24" spans="1:9" ht="12.75">
      <c r="A24" s="116" t="s">
        <v>161</v>
      </c>
      <c r="B24" s="3" t="s">
        <v>67</v>
      </c>
      <c r="C24" s="3" t="s">
        <v>468</v>
      </c>
      <c r="D24" s="35">
        <f>'Stavební rozpočet'!H152</f>
        <v>0</v>
      </c>
      <c r="E24" s="35">
        <f>'Stavební rozpočet'!I152</f>
        <v>0</v>
      </c>
      <c r="F24" s="35">
        <f>'Stavební rozpočet'!J152</f>
        <v>0</v>
      </c>
      <c r="G24" s="117">
        <f>'Stavební rozpočet'!L152</f>
        <v>28.4362857425</v>
      </c>
      <c r="H24" s="115" t="s">
        <v>736</v>
      </c>
      <c r="I24" s="35">
        <f t="shared" si="0"/>
        <v>0</v>
      </c>
    </row>
    <row r="25" spans="1:9" ht="12.75">
      <c r="A25" s="116" t="s">
        <v>161</v>
      </c>
      <c r="B25" s="3" t="s">
        <v>240</v>
      </c>
      <c r="C25" s="3" t="s">
        <v>481</v>
      </c>
      <c r="D25" s="35">
        <f>'Stavební rozpočet'!H168</f>
        <v>0</v>
      </c>
      <c r="E25" s="35">
        <f>'Stavební rozpočet'!I168</f>
        <v>0</v>
      </c>
      <c r="F25" s="35">
        <f>'Stavební rozpočet'!J168</f>
        <v>0</v>
      </c>
      <c r="G25" s="117">
        <f>'Stavební rozpočet'!L168</f>
        <v>0.015619500000000001</v>
      </c>
      <c r="H25" s="115" t="s">
        <v>736</v>
      </c>
      <c r="I25" s="35">
        <f t="shared" si="0"/>
        <v>0</v>
      </c>
    </row>
    <row r="26" spans="1:9" ht="12.75">
      <c r="A26" s="116" t="s">
        <v>161</v>
      </c>
      <c r="B26" s="3" t="s">
        <v>245</v>
      </c>
      <c r="C26" s="3" t="s">
        <v>489</v>
      </c>
      <c r="D26" s="35">
        <f>'Stavební rozpočet'!H177</f>
        <v>0</v>
      </c>
      <c r="E26" s="35">
        <f>'Stavební rozpočet'!I177</f>
        <v>0</v>
      </c>
      <c r="F26" s="35">
        <f>'Stavební rozpočet'!J177</f>
        <v>0</v>
      </c>
      <c r="G26" s="117">
        <f>'Stavební rozpočet'!L177</f>
        <v>7.8437638</v>
      </c>
      <c r="H26" s="115" t="s">
        <v>736</v>
      </c>
      <c r="I26" s="35">
        <f t="shared" si="0"/>
        <v>0</v>
      </c>
    </row>
    <row r="27" spans="1:9" ht="12.75">
      <c r="A27" s="116" t="s">
        <v>161</v>
      </c>
      <c r="B27" s="3" t="s">
        <v>175</v>
      </c>
      <c r="C27" s="3" t="s">
        <v>349</v>
      </c>
      <c r="D27" s="35">
        <f>'Stavební rozpočet'!H232</f>
        <v>0</v>
      </c>
      <c r="E27" s="35">
        <f>'Stavební rozpočet'!I232</f>
        <v>0</v>
      </c>
      <c r="F27" s="35">
        <f>'Stavební rozpočet'!J232</f>
        <v>0</v>
      </c>
      <c r="G27" s="117">
        <f>'Stavební rozpočet'!L232</f>
        <v>10.023092744600001</v>
      </c>
      <c r="H27" s="115" t="s">
        <v>736</v>
      </c>
      <c r="I27" s="35">
        <f t="shared" si="0"/>
        <v>0</v>
      </c>
    </row>
    <row r="28" spans="1:9" ht="12.75">
      <c r="A28" s="116" t="s">
        <v>161</v>
      </c>
      <c r="B28" s="3" t="s">
        <v>187</v>
      </c>
      <c r="C28" s="3" t="s">
        <v>373</v>
      </c>
      <c r="D28" s="35">
        <f>'Stavební rozpočet'!H263</f>
        <v>0</v>
      </c>
      <c r="E28" s="35">
        <f>'Stavební rozpočet'!I263</f>
        <v>0</v>
      </c>
      <c r="F28" s="35">
        <f>'Stavební rozpočet'!J263</f>
        <v>0</v>
      </c>
      <c r="G28" s="117">
        <f>'Stavební rozpočet'!L263</f>
        <v>0.022804649999999996</v>
      </c>
      <c r="H28" s="115" t="s">
        <v>736</v>
      </c>
      <c r="I28" s="35">
        <f t="shared" si="0"/>
        <v>0</v>
      </c>
    </row>
    <row r="29" spans="1:9" ht="12.75">
      <c r="A29" s="118" t="s">
        <v>162</v>
      </c>
      <c r="B29" s="119"/>
      <c r="C29" s="119" t="s">
        <v>581</v>
      </c>
      <c r="D29" s="120">
        <f>'Stavební rozpočet'!H275</f>
        <v>0</v>
      </c>
      <c r="E29" s="120">
        <f>'Stavební rozpočet'!I275</f>
        <v>0</v>
      </c>
      <c r="F29" s="120">
        <f>'Stavební rozpočet'!J275</f>
        <v>0</v>
      </c>
      <c r="G29" s="121">
        <f>'Stavební rozpočet'!L275</f>
        <v>68.48523709599999</v>
      </c>
      <c r="H29" s="115" t="s">
        <v>735</v>
      </c>
      <c r="I29" s="35">
        <f t="shared" si="0"/>
        <v>0</v>
      </c>
    </row>
    <row r="30" spans="1:9" ht="12.75">
      <c r="A30" s="116" t="s">
        <v>162</v>
      </c>
      <c r="B30" s="3" t="s">
        <v>168</v>
      </c>
      <c r="C30" s="3" t="s">
        <v>336</v>
      </c>
      <c r="D30" s="35">
        <f>'Stavební rozpočet'!H276</f>
        <v>0</v>
      </c>
      <c r="E30" s="35">
        <f>'Stavební rozpočet'!I276</f>
        <v>0</v>
      </c>
      <c r="F30" s="35">
        <f>'Stavební rozpočet'!J276</f>
        <v>0</v>
      </c>
      <c r="G30" s="117">
        <f>'Stavební rozpočet'!L276</f>
        <v>1.5467784999999998</v>
      </c>
      <c r="H30" s="115" t="s">
        <v>736</v>
      </c>
      <c r="I30" s="35">
        <f t="shared" si="0"/>
        <v>0</v>
      </c>
    </row>
    <row r="31" spans="1:9" ht="12.75">
      <c r="A31" s="116" t="s">
        <v>162</v>
      </c>
      <c r="B31" s="3" t="s">
        <v>183</v>
      </c>
      <c r="C31" s="3" t="s">
        <v>366</v>
      </c>
      <c r="D31" s="35">
        <f>'Stavební rozpočet'!H323</f>
        <v>0</v>
      </c>
      <c r="E31" s="35">
        <f>'Stavební rozpočet'!I323</f>
        <v>0</v>
      </c>
      <c r="F31" s="35">
        <f>'Stavební rozpočet'!J323</f>
        <v>0</v>
      </c>
      <c r="G31" s="117">
        <f>'Stavební rozpočet'!L323</f>
        <v>21.144136596</v>
      </c>
      <c r="H31" s="115" t="s">
        <v>736</v>
      </c>
      <c r="I31" s="35">
        <f t="shared" si="0"/>
        <v>0</v>
      </c>
    </row>
    <row r="32" spans="1:9" ht="12.75">
      <c r="A32" s="116" t="s">
        <v>162</v>
      </c>
      <c r="B32" s="3" t="s">
        <v>99</v>
      </c>
      <c r="C32" s="3" t="s">
        <v>632</v>
      </c>
      <c r="D32" s="35">
        <f>'Stavební rozpočet'!H340</f>
        <v>0</v>
      </c>
      <c r="E32" s="35">
        <f>'Stavební rozpočet'!I340</f>
        <v>0</v>
      </c>
      <c r="F32" s="35">
        <f>'Stavební rozpočet'!J340</f>
        <v>0</v>
      </c>
      <c r="G32" s="117">
        <f>'Stavební rozpočet'!L340</f>
        <v>45.794322</v>
      </c>
      <c r="H32" s="115" t="s">
        <v>736</v>
      </c>
      <c r="I32" s="35">
        <f t="shared" si="0"/>
        <v>0</v>
      </c>
    </row>
    <row r="33" spans="1:9" ht="12.75">
      <c r="A33" s="116" t="s">
        <v>162</v>
      </c>
      <c r="B33" s="3" t="s">
        <v>323</v>
      </c>
      <c r="C33" s="3" t="s">
        <v>638</v>
      </c>
      <c r="D33" s="35">
        <f>'Stavební rozpočet'!H347</f>
        <v>0</v>
      </c>
      <c r="E33" s="35">
        <f>'Stavební rozpočet'!I347</f>
        <v>0</v>
      </c>
      <c r="F33" s="35">
        <f>'Stavební rozpočet'!J347</f>
        <v>0</v>
      </c>
      <c r="G33" s="117">
        <f>'Stavební rozpočet'!L347</f>
        <v>0</v>
      </c>
      <c r="H33" s="115" t="s">
        <v>736</v>
      </c>
      <c r="I33" s="35">
        <f t="shared" si="0"/>
        <v>0</v>
      </c>
    </row>
    <row r="34" spans="1:9" ht="12.75">
      <c r="A34" s="118" t="s">
        <v>163</v>
      </c>
      <c r="B34" s="119"/>
      <c r="C34" s="119" t="s">
        <v>642</v>
      </c>
      <c r="D34" s="120">
        <f>'Stavební rozpočet'!H350</f>
        <v>0</v>
      </c>
      <c r="E34" s="120">
        <f>'Stavební rozpočet'!I350</f>
        <v>0</v>
      </c>
      <c r="F34" s="120">
        <f>'Stavební rozpočet'!J350</f>
        <v>0</v>
      </c>
      <c r="G34" s="121">
        <f>'Stavební rozpočet'!L350</f>
        <v>0.29943</v>
      </c>
      <c r="H34" s="115" t="s">
        <v>735</v>
      </c>
      <c r="I34" s="35">
        <f t="shared" si="0"/>
        <v>0</v>
      </c>
    </row>
    <row r="35" spans="1:9" ht="12.75">
      <c r="A35" s="122" t="s">
        <v>163</v>
      </c>
      <c r="B35" s="123" t="s">
        <v>325</v>
      </c>
      <c r="C35" s="123" t="s">
        <v>641</v>
      </c>
      <c r="D35" s="124">
        <f>'Stavební rozpočet'!H351</f>
        <v>0</v>
      </c>
      <c r="E35" s="124">
        <f>'Stavební rozpočet'!I351</f>
        <v>0</v>
      </c>
      <c r="F35" s="124">
        <f>'Stavební rozpočet'!J351</f>
        <v>0</v>
      </c>
      <c r="G35" s="125">
        <f>'Stavební rozpočet'!L351</f>
        <v>0.29943</v>
      </c>
      <c r="H35" s="115" t="s">
        <v>736</v>
      </c>
      <c r="I35" s="35">
        <f t="shared" si="0"/>
        <v>0</v>
      </c>
    </row>
    <row r="36" spans="1:7" ht="12.75">
      <c r="A36" s="58"/>
      <c r="B36" s="58"/>
      <c r="C36" s="58"/>
      <c r="D36" s="58"/>
      <c r="E36" s="126" t="s">
        <v>669</v>
      </c>
      <c r="F36" s="127">
        <f>ROUND(SUM(I11:I35),0)</f>
        <v>0</v>
      </c>
      <c r="G36" s="58"/>
    </row>
  </sheetData>
  <sheetProtection password="9C66" sheet="1" selectLockedCells="1"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5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I21" sqref="I21"/>
    </sheetView>
  </sheetViews>
  <sheetFormatPr defaultColWidth="11.57421875" defaultRowHeight="12.75"/>
  <cols>
    <col min="1" max="1" width="3.7109375" style="1" customWidth="1"/>
    <col min="2" max="2" width="7.57421875" style="1" customWidth="1"/>
    <col min="3" max="3" width="14.28125" style="1" customWidth="1"/>
    <col min="4" max="4" width="63.57421875" style="1" customWidth="1"/>
    <col min="5" max="5" width="5.8515625" style="1" customWidth="1"/>
    <col min="6" max="6" width="12.8515625" style="1" customWidth="1"/>
    <col min="7" max="7" width="12.00390625" style="1" customWidth="1"/>
    <col min="8" max="10" width="14.28125" style="1" customWidth="1"/>
    <col min="11" max="13" width="11.7109375" style="1" customWidth="1"/>
    <col min="14" max="14" width="11.57421875" style="1" customWidth="1"/>
    <col min="15" max="15" width="10.8515625" style="1" customWidth="1"/>
    <col min="16" max="16" width="0.42578125" style="1" hidden="1" customWidth="1"/>
    <col min="17" max="17" width="0.9921875" style="1" hidden="1" customWidth="1"/>
    <col min="18" max="18" width="0.2890625" style="1" hidden="1" customWidth="1"/>
    <col min="19" max="19" width="1.57421875" style="1" hidden="1" customWidth="1"/>
    <col min="20" max="20" width="0.13671875" style="1" hidden="1" customWidth="1"/>
    <col min="21" max="21" width="0.9921875" style="1" hidden="1" customWidth="1"/>
    <col min="22" max="22" width="0.13671875" style="1" hidden="1" customWidth="1"/>
    <col min="23" max="23" width="0.2890625" style="1" hidden="1" customWidth="1"/>
    <col min="24" max="24" width="3.00390625" style="1" hidden="1" customWidth="1"/>
    <col min="25" max="25" width="12.140625" style="1" hidden="1" customWidth="1"/>
    <col min="26" max="26" width="12.28125" style="1" hidden="1" customWidth="1"/>
    <col min="27" max="27" width="4.57421875" style="1" hidden="1" customWidth="1"/>
    <col min="28" max="28" width="12.421875" style="1" hidden="1" customWidth="1"/>
    <col min="29" max="29" width="10.140625" style="1" hidden="1" customWidth="1"/>
    <col min="30" max="31" width="0.2890625" style="1" hidden="1" customWidth="1"/>
    <col min="32" max="32" width="9.8515625" style="1" hidden="1" customWidth="1"/>
    <col min="33" max="33" width="1.421875" style="1" hidden="1" customWidth="1"/>
    <col min="34" max="34" width="5.7109375" style="1" hidden="1" customWidth="1"/>
    <col min="35" max="35" width="4.00390625" style="1" hidden="1" customWidth="1"/>
    <col min="36" max="36" width="0.2890625" style="1" hidden="1" customWidth="1"/>
    <col min="37" max="37" width="0.42578125" style="1" hidden="1" customWidth="1"/>
    <col min="38" max="38" width="12.57421875" style="1" hidden="1" customWidth="1"/>
    <col min="39" max="39" width="3.28125" style="1" hidden="1" customWidth="1"/>
    <col min="40" max="40" width="0.2890625" style="1" hidden="1" customWidth="1"/>
    <col min="41" max="41" width="10.7109375" style="1" hidden="1" customWidth="1"/>
    <col min="42" max="42" width="10.57421875" style="1" hidden="1" customWidth="1"/>
    <col min="43" max="43" width="0.13671875" style="1" hidden="1" customWidth="1"/>
    <col min="44" max="44" width="4.421875" style="1" hidden="1" customWidth="1"/>
    <col min="45" max="45" width="4.8515625" style="1" hidden="1" customWidth="1"/>
    <col min="46" max="46" width="0.13671875" style="1" hidden="1" customWidth="1"/>
    <col min="47" max="47" width="12.00390625" style="1" hidden="1" customWidth="1"/>
    <col min="48" max="48" width="0.13671875" style="1" hidden="1" customWidth="1"/>
    <col min="49" max="49" width="10.00390625" style="1" hidden="1" customWidth="1"/>
    <col min="50" max="50" width="0.5625" style="1" hidden="1" customWidth="1"/>
    <col min="51" max="51" width="6.57421875" style="1" hidden="1" customWidth="1"/>
    <col min="52" max="52" width="8.7109375" style="1" hidden="1" customWidth="1"/>
    <col min="53" max="53" width="4.421875" style="1" hidden="1" customWidth="1"/>
    <col min="54" max="54" width="3.7109375" style="1" hidden="1" customWidth="1"/>
    <col min="55" max="55" width="11.7109375" style="1" hidden="1" customWidth="1"/>
    <col min="56" max="56" width="1.57421875" style="1" hidden="1" customWidth="1"/>
    <col min="57" max="57" width="10.7109375" style="1" hidden="1" customWidth="1"/>
    <col min="58" max="58" width="0.2890625" style="1" hidden="1" customWidth="1"/>
    <col min="59" max="59" width="8.57421875" style="1" hidden="1" customWidth="1"/>
    <col min="60" max="60" width="0.2890625" style="1" hidden="1" customWidth="1"/>
    <col min="61" max="61" width="9.421875" style="1" hidden="1" customWidth="1"/>
    <col min="62" max="62" width="10.140625" style="1" hidden="1" customWidth="1"/>
    <col min="63" max="63" width="0.13671875" style="1" hidden="1" customWidth="1"/>
    <col min="64" max="64" width="8.57421875" style="1" hidden="1" customWidth="1"/>
    <col min="65" max="16384" width="11.57421875" style="1" customWidth="1"/>
  </cols>
  <sheetData>
    <row r="1" spans="1:13" ht="72.75" customHeight="1">
      <c r="A1" s="182" t="s">
        <v>816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4" ht="12.75">
      <c r="A2" s="145" t="s">
        <v>0</v>
      </c>
      <c r="B2" s="146"/>
      <c r="C2" s="146"/>
      <c r="D2" s="149" t="s">
        <v>327</v>
      </c>
      <c r="E2" s="187" t="s">
        <v>644</v>
      </c>
      <c r="F2" s="146"/>
      <c r="G2" s="187" t="s">
        <v>5</v>
      </c>
      <c r="H2" s="152" t="s">
        <v>663</v>
      </c>
      <c r="I2" s="152" t="s">
        <v>670</v>
      </c>
      <c r="J2" s="146"/>
      <c r="K2" s="146"/>
      <c r="L2" s="146"/>
      <c r="M2" s="183"/>
      <c r="N2" s="2"/>
    </row>
    <row r="3" spans="1:14" ht="12.75">
      <c r="A3" s="147"/>
      <c r="B3" s="148"/>
      <c r="C3" s="148"/>
      <c r="D3" s="151"/>
      <c r="E3" s="148"/>
      <c r="F3" s="148"/>
      <c r="G3" s="148"/>
      <c r="H3" s="148"/>
      <c r="I3" s="148"/>
      <c r="J3" s="148"/>
      <c r="K3" s="148"/>
      <c r="L3" s="148"/>
      <c r="M3" s="154"/>
      <c r="N3" s="2"/>
    </row>
    <row r="4" spans="1:14" ht="12.75">
      <c r="A4" s="155" t="s">
        <v>1</v>
      </c>
      <c r="B4" s="148"/>
      <c r="C4" s="148"/>
      <c r="D4" s="156" t="s">
        <v>328</v>
      </c>
      <c r="E4" s="158" t="s">
        <v>645</v>
      </c>
      <c r="F4" s="148"/>
      <c r="G4" s="158" t="s">
        <v>5</v>
      </c>
      <c r="H4" s="156" t="s">
        <v>664</v>
      </c>
      <c r="I4" s="156" t="s">
        <v>671</v>
      </c>
      <c r="J4" s="148"/>
      <c r="K4" s="148"/>
      <c r="L4" s="148"/>
      <c r="M4" s="154"/>
      <c r="N4" s="2"/>
    </row>
    <row r="5" spans="1:14" ht="12.7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54"/>
      <c r="N5" s="2"/>
    </row>
    <row r="6" spans="1:14" ht="12.75">
      <c r="A6" s="155" t="s">
        <v>2</v>
      </c>
      <c r="B6" s="148"/>
      <c r="C6" s="148"/>
      <c r="D6" s="156" t="s">
        <v>329</v>
      </c>
      <c r="E6" s="158" t="s">
        <v>646</v>
      </c>
      <c r="F6" s="148"/>
      <c r="G6" s="158" t="s">
        <v>5</v>
      </c>
      <c r="H6" s="156" t="s">
        <v>665</v>
      </c>
      <c r="I6" s="158" t="s">
        <v>672</v>
      </c>
      <c r="J6" s="148"/>
      <c r="K6" s="148"/>
      <c r="L6" s="148"/>
      <c r="M6" s="154"/>
      <c r="N6" s="2"/>
    </row>
    <row r="7" spans="1:14" ht="12.75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54"/>
      <c r="N7" s="2"/>
    </row>
    <row r="8" spans="1:14" ht="12.75">
      <c r="A8" s="155" t="s">
        <v>3</v>
      </c>
      <c r="B8" s="148"/>
      <c r="C8" s="148"/>
      <c r="D8" s="156" t="s">
        <v>5</v>
      </c>
      <c r="E8" s="158" t="s">
        <v>647</v>
      </c>
      <c r="F8" s="148"/>
      <c r="G8" s="158" t="s">
        <v>660</v>
      </c>
      <c r="H8" s="156" t="s">
        <v>666</v>
      </c>
      <c r="I8" s="156" t="s">
        <v>673</v>
      </c>
      <c r="J8" s="148"/>
      <c r="K8" s="148"/>
      <c r="L8" s="148"/>
      <c r="M8" s="154"/>
      <c r="N8" s="2"/>
    </row>
    <row r="9" spans="1:14" ht="12.75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6"/>
      <c r="N9" s="2"/>
    </row>
    <row r="10" spans="1:64" ht="12.75">
      <c r="A10" s="4" t="s">
        <v>4</v>
      </c>
      <c r="B10" s="5" t="s">
        <v>159</v>
      </c>
      <c r="C10" s="5" t="s">
        <v>165</v>
      </c>
      <c r="D10" s="5" t="s">
        <v>330</v>
      </c>
      <c r="E10" s="5" t="s">
        <v>648</v>
      </c>
      <c r="F10" s="6" t="s">
        <v>659</v>
      </c>
      <c r="G10" s="7" t="s">
        <v>661</v>
      </c>
      <c r="H10" s="188" t="s">
        <v>667</v>
      </c>
      <c r="I10" s="189"/>
      <c r="J10" s="190"/>
      <c r="K10" s="188" t="s">
        <v>676</v>
      </c>
      <c r="L10" s="190"/>
      <c r="M10" s="8" t="s">
        <v>678</v>
      </c>
      <c r="N10" s="9"/>
      <c r="BK10" s="10" t="s">
        <v>727</v>
      </c>
      <c r="BL10" s="11" t="s">
        <v>730</v>
      </c>
    </row>
    <row r="11" spans="1:62" ht="12.75">
      <c r="A11" s="12" t="s">
        <v>5</v>
      </c>
      <c r="B11" s="13" t="s">
        <v>5</v>
      </c>
      <c r="C11" s="13" t="s">
        <v>5</v>
      </c>
      <c r="D11" s="14" t="s">
        <v>331</v>
      </c>
      <c r="E11" s="13" t="s">
        <v>5</v>
      </c>
      <c r="F11" s="13" t="s">
        <v>5</v>
      </c>
      <c r="G11" s="15" t="s">
        <v>662</v>
      </c>
      <c r="H11" s="16" t="s">
        <v>668</v>
      </c>
      <c r="I11" s="17" t="s">
        <v>674</v>
      </c>
      <c r="J11" s="18" t="s">
        <v>675</v>
      </c>
      <c r="K11" s="16" t="s">
        <v>677</v>
      </c>
      <c r="L11" s="18" t="s">
        <v>675</v>
      </c>
      <c r="M11" s="19" t="s">
        <v>679</v>
      </c>
      <c r="N11" s="9"/>
      <c r="Z11" s="10" t="s">
        <v>682</v>
      </c>
      <c r="AA11" s="10" t="s">
        <v>683</v>
      </c>
      <c r="AB11" s="10" t="s">
        <v>684</v>
      </c>
      <c r="AC11" s="10" t="s">
        <v>685</v>
      </c>
      <c r="AD11" s="10" t="s">
        <v>686</v>
      </c>
      <c r="AE11" s="10" t="s">
        <v>687</v>
      </c>
      <c r="AF11" s="10" t="s">
        <v>688</v>
      </c>
      <c r="AG11" s="10" t="s">
        <v>689</v>
      </c>
      <c r="AH11" s="10" t="s">
        <v>690</v>
      </c>
      <c r="BH11" s="10" t="s">
        <v>724</v>
      </c>
      <c r="BI11" s="10" t="s">
        <v>725</v>
      </c>
      <c r="BJ11" s="10" t="s">
        <v>726</v>
      </c>
    </row>
    <row r="12" spans="1:14" ht="12.75">
      <c r="A12" s="20"/>
      <c r="B12" s="21" t="s">
        <v>160</v>
      </c>
      <c r="C12" s="21"/>
      <c r="D12" s="21" t="s">
        <v>332</v>
      </c>
      <c r="E12" s="22" t="s">
        <v>5</v>
      </c>
      <c r="F12" s="22" t="s">
        <v>5</v>
      </c>
      <c r="G12" s="22" t="s">
        <v>5</v>
      </c>
      <c r="H12" s="23">
        <f>H13+H16+H29+H47+H54+H57+H82+H85+H104</f>
        <v>0</v>
      </c>
      <c r="I12" s="23">
        <f>I13+I16+I29+I47+I54+I57+I82+I85+I104</f>
        <v>0</v>
      </c>
      <c r="J12" s="23">
        <f>J13+J16+J29+J47+J54+J57+J82+J85+J104</f>
        <v>0</v>
      </c>
      <c r="K12" s="24"/>
      <c r="L12" s="23">
        <f>L13+L16+L29+L47+L54+L57+L82+L85+L104</f>
        <v>63.567721985</v>
      </c>
      <c r="M12" s="25"/>
      <c r="N12" s="2"/>
    </row>
    <row r="13" spans="1:47" ht="12.75">
      <c r="A13" s="26"/>
      <c r="B13" s="27" t="s">
        <v>160</v>
      </c>
      <c r="C13" s="27" t="s">
        <v>166</v>
      </c>
      <c r="D13" s="27" t="s">
        <v>333</v>
      </c>
      <c r="E13" s="28" t="s">
        <v>5</v>
      </c>
      <c r="F13" s="28" t="s">
        <v>5</v>
      </c>
      <c r="G13" s="28" t="s">
        <v>5</v>
      </c>
      <c r="H13" s="29">
        <f>SUM(H14:H14)</f>
        <v>0</v>
      </c>
      <c r="I13" s="29">
        <f>SUM(I14:I14)</f>
        <v>0</v>
      </c>
      <c r="J13" s="29">
        <f>SUM(J14:J14)</f>
        <v>0</v>
      </c>
      <c r="K13" s="10"/>
      <c r="L13" s="29">
        <f>SUM(L14:L14)</f>
        <v>0.68578048</v>
      </c>
      <c r="M13" s="30"/>
      <c r="N13" s="2"/>
      <c r="AI13" s="10" t="s">
        <v>160</v>
      </c>
      <c r="AS13" s="29">
        <f>SUM(AJ14:AJ14)</f>
        <v>0</v>
      </c>
      <c r="AT13" s="29">
        <f>SUM(AK14:AK14)</f>
        <v>0</v>
      </c>
      <c r="AU13" s="29">
        <f>SUM(AL14:AL14)</f>
        <v>0</v>
      </c>
    </row>
    <row r="14" spans="1:64" ht="12.75">
      <c r="A14" s="31" t="s">
        <v>6</v>
      </c>
      <c r="B14" s="32" t="s">
        <v>160</v>
      </c>
      <c r="C14" s="32" t="s">
        <v>167</v>
      </c>
      <c r="D14" s="32" t="s">
        <v>334</v>
      </c>
      <c r="E14" s="32" t="s">
        <v>649</v>
      </c>
      <c r="F14" s="33">
        <v>311.7184</v>
      </c>
      <c r="G14" s="33">
        <f>J14/F14</f>
        <v>0</v>
      </c>
      <c r="H14" s="61">
        <v>0</v>
      </c>
      <c r="I14" s="61">
        <v>0</v>
      </c>
      <c r="J14" s="33">
        <f>H14+I14</f>
        <v>0</v>
      </c>
      <c r="K14" s="33">
        <v>0.0022</v>
      </c>
      <c r="L14" s="33">
        <f>F14*K14</f>
        <v>0.68578048</v>
      </c>
      <c r="M14" s="34" t="s">
        <v>680</v>
      </c>
      <c r="N14" s="2"/>
      <c r="Z14" s="35">
        <f>IF(AQ14="5",BJ14,0)</f>
        <v>0</v>
      </c>
      <c r="AB14" s="35">
        <f>IF(AQ14="1",BH14,0)</f>
        <v>0</v>
      </c>
      <c r="AC14" s="35">
        <f>IF(AQ14="1",BI14,0)</f>
        <v>0</v>
      </c>
      <c r="AD14" s="35">
        <f>H14</f>
        <v>0</v>
      </c>
      <c r="AE14" s="35">
        <f>I14</f>
        <v>0</v>
      </c>
      <c r="AF14" s="35">
        <f>IF(AQ14="2",BH14,0)</f>
        <v>0</v>
      </c>
      <c r="AG14" s="35">
        <f>IF(AQ14="2",BI14,0)</f>
        <v>0</v>
      </c>
      <c r="AH14" s="35">
        <f>IF(AQ14="0",BJ14,0)</f>
        <v>0</v>
      </c>
      <c r="AI14" s="10" t="s">
        <v>160</v>
      </c>
      <c r="AJ14" s="33">
        <f>IF(AN14=0,J14,0)</f>
        <v>0</v>
      </c>
      <c r="AK14" s="33">
        <f>IF(AN14=15,J14,0)</f>
        <v>0</v>
      </c>
      <c r="AL14" s="33">
        <f>IF(AN14=21,J14,0)</f>
        <v>0</v>
      </c>
      <c r="AN14" s="35">
        <v>21</v>
      </c>
      <c r="AO14" s="35">
        <f>G14*0</f>
        <v>0</v>
      </c>
      <c r="AP14" s="35">
        <f>G14*(1-0)</f>
        <v>0</v>
      </c>
      <c r="AQ14" s="36" t="s">
        <v>12</v>
      </c>
      <c r="AV14" s="35">
        <f>AW14+AX14</f>
        <v>0</v>
      </c>
      <c r="AW14" s="35">
        <f>F14*AO14</f>
        <v>0</v>
      </c>
      <c r="AX14" s="35">
        <f>F14*AP14</f>
        <v>0</v>
      </c>
      <c r="AY14" s="37" t="s">
        <v>691</v>
      </c>
      <c r="AZ14" s="37" t="s">
        <v>708</v>
      </c>
      <c r="BA14" s="10" t="s">
        <v>720</v>
      </c>
      <c r="BC14" s="35">
        <f>AW14+AX14</f>
        <v>0</v>
      </c>
      <c r="BD14" s="35">
        <f>G14/(100-BE14)*100</f>
        <v>0</v>
      </c>
      <c r="BE14" s="35">
        <v>0</v>
      </c>
      <c r="BF14" s="35">
        <f>L14</f>
        <v>0.68578048</v>
      </c>
      <c r="BH14" s="33">
        <f>F14*AO14</f>
        <v>0</v>
      </c>
      <c r="BI14" s="33">
        <f>F14*AP14</f>
        <v>0</v>
      </c>
      <c r="BJ14" s="33">
        <f>F14*G14</f>
        <v>0</v>
      </c>
      <c r="BK14" s="33" t="s">
        <v>728</v>
      </c>
      <c r="BL14" s="35">
        <v>713</v>
      </c>
    </row>
    <row r="15" spans="1:14" ht="12.75">
      <c r="A15" s="2"/>
      <c r="D15" s="38" t="s">
        <v>335</v>
      </c>
      <c r="F15" s="39">
        <v>311.7184</v>
      </c>
      <c r="M15" s="40"/>
      <c r="N15" s="2"/>
    </row>
    <row r="16" spans="1:47" ht="12.75">
      <c r="A16" s="26"/>
      <c r="B16" s="27" t="s">
        <v>160</v>
      </c>
      <c r="C16" s="27" t="s">
        <v>168</v>
      </c>
      <c r="D16" s="27" t="s">
        <v>336</v>
      </c>
      <c r="E16" s="28" t="s">
        <v>5</v>
      </c>
      <c r="F16" s="28" t="s">
        <v>5</v>
      </c>
      <c r="G16" s="28" t="s">
        <v>5</v>
      </c>
      <c r="H16" s="29">
        <f>SUM(H17:H27)</f>
        <v>0</v>
      </c>
      <c r="I16" s="29">
        <f>SUM(I17:I27)</f>
        <v>0</v>
      </c>
      <c r="J16" s="29">
        <f>SUM(J17:J27)</f>
        <v>0</v>
      </c>
      <c r="K16" s="10"/>
      <c r="L16" s="29">
        <f>SUM(L17:L27)</f>
        <v>1.89807763</v>
      </c>
      <c r="M16" s="30"/>
      <c r="N16" s="2"/>
      <c r="AI16" s="10" t="s">
        <v>160</v>
      </c>
      <c r="AS16" s="29">
        <f>SUM(AJ17:AJ27)</f>
        <v>0</v>
      </c>
      <c r="AT16" s="29">
        <f>SUM(AK17:AK27)</f>
        <v>0</v>
      </c>
      <c r="AU16" s="29">
        <f>SUM(AL17:AL27)</f>
        <v>0</v>
      </c>
    </row>
    <row r="17" spans="1:64" ht="12.75">
      <c r="A17" s="31" t="s">
        <v>7</v>
      </c>
      <c r="B17" s="32" t="s">
        <v>160</v>
      </c>
      <c r="C17" s="32" t="s">
        <v>169</v>
      </c>
      <c r="D17" s="32" t="s">
        <v>337</v>
      </c>
      <c r="E17" s="32" t="s">
        <v>650</v>
      </c>
      <c r="F17" s="33">
        <v>199.5</v>
      </c>
      <c r="G17" s="33">
        <f>J17/F17</f>
        <v>0</v>
      </c>
      <c r="H17" s="61">
        <v>0</v>
      </c>
      <c r="I17" s="61">
        <v>0</v>
      </c>
      <c r="J17" s="33">
        <f>H17+I17</f>
        <v>0</v>
      </c>
      <c r="K17" s="33">
        <v>0.00135</v>
      </c>
      <c r="L17" s="33">
        <f>F17*K17</f>
        <v>0.26932500000000004</v>
      </c>
      <c r="M17" s="34" t="s">
        <v>680</v>
      </c>
      <c r="N17" s="2"/>
      <c r="Z17" s="35">
        <f>IF(AQ17="5",BJ17,0)</f>
        <v>0</v>
      </c>
      <c r="AB17" s="35">
        <f>IF(AQ17="1",BH17,0)</f>
        <v>0</v>
      </c>
      <c r="AC17" s="35">
        <f>IF(AQ17="1",BI17,0)</f>
        <v>0</v>
      </c>
      <c r="AD17" s="35">
        <f>H17</f>
        <v>0</v>
      </c>
      <c r="AE17" s="35">
        <f>I17</f>
        <v>0</v>
      </c>
      <c r="AF17" s="35">
        <f>IF(AQ17="2",BH17,0)</f>
        <v>0</v>
      </c>
      <c r="AG17" s="35">
        <f>IF(AQ17="2",BI17,0)</f>
        <v>0</v>
      </c>
      <c r="AH17" s="35">
        <f>IF(AQ17="0",BJ17,0)</f>
        <v>0</v>
      </c>
      <c r="AI17" s="10" t="s">
        <v>160</v>
      </c>
      <c r="AJ17" s="33">
        <f>IF(AN17=0,J17,0)</f>
        <v>0</v>
      </c>
      <c r="AK17" s="33">
        <f>IF(AN17=15,J17,0)</f>
        <v>0</v>
      </c>
      <c r="AL17" s="33">
        <f>IF(AN17=21,J17,0)</f>
        <v>0</v>
      </c>
      <c r="AN17" s="35">
        <v>21</v>
      </c>
      <c r="AO17" s="35">
        <f>G17*0</f>
        <v>0</v>
      </c>
      <c r="AP17" s="35">
        <f>G17*(1-0)</f>
        <v>0</v>
      </c>
      <c r="AQ17" s="36" t="s">
        <v>12</v>
      </c>
      <c r="AV17" s="35">
        <f>AW17+AX17</f>
        <v>0</v>
      </c>
      <c r="AW17" s="35">
        <f>F17*AO17</f>
        <v>0</v>
      </c>
      <c r="AX17" s="35">
        <f>F17*AP17</f>
        <v>0</v>
      </c>
      <c r="AY17" s="37" t="s">
        <v>692</v>
      </c>
      <c r="AZ17" s="37" t="s">
        <v>709</v>
      </c>
      <c r="BA17" s="10" t="s">
        <v>720</v>
      </c>
      <c r="BC17" s="35">
        <f>AW17+AX17</f>
        <v>0</v>
      </c>
      <c r="BD17" s="35">
        <f>G17/(100-BE17)*100</f>
        <v>0</v>
      </c>
      <c r="BE17" s="35">
        <v>0</v>
      </c>
      <c r="BF17" s="35">
        <f>L17</f>
        <v>0.26932500000000004</v>
      </c>
      <c r="BH17" s="33">
        <f>F17*AO17</f>
        <v>0</v>
      </c>
      <c r="BI17" s="33">
        <f>F17*AP17</f>
        <v>0</v>
      </c>
      <c r="BJ17" s="33">
        <f>F17*G17</f>
        <v>0</v>
      </c>
      <c r="BK17" s="33" t="s">
        <v>728</v>
      </c>
      <c r="BL17" s="35">
        <v>764</v>
      </c>
    </row>
    <row r="18" spans="1:14" ht="12.75">
      <c r="A18" s="2"/>
      <c r="D18" s="38" t="s">
        <v>338</v>
      </c>
      <c r="F18" s="39">
        <v>199.5</v>
      </c>
      <c r="M18" s="40"/>
      <c r="N18" s="2"/>
    </row>
    <row r="19" spans="1:64" ht="12.75">
      <c r="A19" s="31" t="s">
        <v>8</v>
      </c>
      <c r="B19" s="32" t="s">
        <v>160</v>
      </c>
      <c r="C19" s="32" t="s">
        <v>170</v>
      </c>
      <c r="D19" s="32" t="s">
        <v>339</v>
      </c>
      <c r="E19" s="32" t="s">
        <v>650</v>
      </c>
      <c r="F19" s="33">
        <v>6.55</v>
      </c>
      <c r="G19" s="33">
        <f>J19/F19</f>
        <v>0</v>
      </c>
      <c r="H19" s="61">
        <v>0</v>
      </c>
      <c r="I19" s="61">
        <v>0</v>
      </c>
      <c r="J19" s="33">
        <f>H19+I19</f>
        <v>0</v>
      </c>
      <c r="K19" s="33">
        <v>0.00395</v>
      </c>
      <c r="L19" s="33">
        <f>F19*K19</f>
        <v>0.025872500000000003</v>
      </c>
      <c r="M19" s="34" t="s">
        <v>680</v>
      </c>
      <c r="N19" s="2"/>
      <c r="Z19" s="35">
        <f>IF(AQ19="5",BJ19,0)</f>
        <v>0</v>
      </c>
      <c r="AB19" s="35">
        <f>IF(AQ19="1",BH19,0)</f>
        <v>0</v>
      </c>
      <c r="AC19" s="35">
        <f>IF(AQ19="1",BI19,0)</f>
        <v>0</v>
      </c>
      <c r="AD19" s="35">
        <f>H19</f>
        <v>0</v>
      </c>
      <c r="AE19" s="35">
        <f>I19</f>
        <v>0</v>
      </c>
      <c r="AF19" s="35">
        <f>IF(AQ19="2",BH19,0)</f>
        <v>0</v>
      </c>
      <c r="AG19" s="35">
        <f>IF(AQ19="2",BI19,0)</f>
        <v>0</v>
      </c>
      <c r="AH19" s="35">
        <f>IF(AQ19="0",BJ19,0)</f>
        <v>0</v>
      </c>
      <c r="AI19" s="10" t="s">
        <v>160</v>
      </c>
      <c r="AJ19" s="33">
        <f>IF(AN19=0,J19,0)</f>
        <v>0</v>
      </c>
      <c r="AK19" s="33">
        <f>IF(AN19=15,J19,0)</f>
        <v>0</v>
      </c>
      <c r="AL19" s="33">
        <f>IF(AN19=21,J19,0)</f>
        <v>0</v>
      </c>
      <c r="AN19" s="35">
        <v>21</v>
      </c>
      <c r="AO19" s="35">
        <f>G19*0</f>
        <v>0</v>
      </c>
      <c r="AP19" s="35">
        <f>G19*(1-0)</f>
        <v>0</v>
      </c>
      <c r="AQ19" s="36" t="s">
        <v>12</v>
      </c>
      <c r="AV19" s="35">
        <f>AW19+AX19</f>
        <v>0</v>
      </c>
      <c r="AW19" s="35">
        <f>F19*AO19</f>
        <v>0</v>
      </c>
      <c r="AX19" s="35">
        <f>F19*AP19</f>
        <v>0</v>
      </c>
      <c r="AY19" s="37" t="s">
        <v>692</v>
      </c>
      <c r="AZ19" s="37" t="s">
        <v>709</v>
      </c>
      <c r="BA19" s="10" t="s">
        <v>720</v>
      </c>
      <c r="BC19" s="35">
        <f>AW19+AX19</f>
        <v>0</v>
      </c>
      <c r="BD19" s="35">
        <f>G19/(100-BE19)*100</f>
        <v>0</v>
      </c>
      <c r="BE19" s="35">
        <v>0</v>
      </c>
      <c r="BF19" s="35">
        <f>L19</f>
        <v>0.025872500000000003</v>
      </c>
      <c r="BH19" s="33">
        <f>F19*AO19</f>
        <v>0</v>
      </c>
      <c r="BI19" s="33">
        <f>F19*AP19</f>
        <v>0</v>
      </c>
      <c r="BJ19" s="33">
        <f>F19*G19</f>
        <v>0</v>
      </c>
      <c r="BK19" s="33" t="s">
        <v>728</v>
      </c>
      <c r="BL19" s="35">
        <v>764</v>
      </c>
    </row>
    <row r="20" spans="1:14" ht="12.75">
      <c r="A20" s="2"/>
      <c r="D20" s="38" t="s">
        <v>340</v>
      </c>
      <c r="F20" s="39">
        <v>6.55</v>
      </c>
      <c r="M20" s="40"/>
      <c r="N20" s="2"/>
    </row>
    <row r="21" spans="1:64" ht="12.75">
      <c r="A21" s="31" t="s">
        <v>9</v>
      </c>
      <c r="B21" s="32" t="s">
        <v>160</v>
      </c>
      <c r="C21" s="32" t="s">
        <v>171</v>
      </c>
      <c r="D21" s="32" t="s">
        <v>341</v>
      </c>
      <c r="E21" s="32" t="s">
        <v>650</v>
      </c>
      <c r="F21" s="33">
        <v>31.18</v>
      </c>
      <c r="G21" s="33">
        <f>J21/F21</f>
        <v>0</v>
      </c>
      <c r="H21" s="61">
        <v>0</v>
      </c>
      <c r="I21" s="61">
        <v>0</v>
      </c>
      <c r="J21" s="33">
        <f>H21+I21</f>
        <v>0</v>
      </c>
      <c r="K21" s="33">
        <v>0.0023</v>
      </c>
      <c r="L21" s="33">
        <f>F21*K21</f>
        <v>0.071714</v>
      </c>
      <c r="M21" s="34" t="s">
        <v>680</v>
      </c>
      <c r="N21" s="2"/>
      <c r="Z21" s="35">
        <f>IF(AQ21="5",BJ21,0)</f>
        <v>0</v>
      </c>
      <c r="AB21" s="35">
        <f>IF(AQ21="1",BH21,0)</f>
        <v>0</v>
      </c>
      <c r="AC21" s="35">
        <f>IF(AQ21="1",BI21,0)</f>
        <v>0</v>
      </c>
      <c r="AD21" s="35">
        <f>H21</f>
        <v>0</v>
      </c>
      <c r="AE21" s="35">
        <f>I21</f>
        <v>0</v>
      </c>
      <c r="AF21" s="35">
        <f>IF(AQ21="2",BH21,0)</f>
        <v>0</v>
      </c>
      <c r="AG21" s="35">
        <f>IF(AQ21="2",BI21,0)</f>
        <v>0</v>
      </c>
      <c r="AH21" s="35">
        <f>IF(AQ21="0",BJ21,0)</f>
        <v>0</v>
      </c>
      <c r="AI21" s="10" t="s">
        <v>160</v>
      </c>
      <c r="AJ21" s="33">
        <f>IF(AN21=0,J21,0)</f>
        <v>0</v>
      </c>
      <c r="AK21" s="33">
        <f>IF(AN21=15,J21,0)</f>
        <v>0</v>
      </c>
      <c r="AL21" s="33">
        <f>IF(AN21=21,J21,0)</f>
        <v>0</v>
      </c>
      <c r="AN21" s="35">
        <v>21</v>
      </c>
      <c r="AO21" s="35">
        <f>G21*0</f>
        <v>0</v>
      </c>
      <c r="AP21" s="35">
        <f>G21*(1-0)</f>
        <v>0</v>
      </c>
      <c r="AQ21" s="36" t="s">
        <v>12</v>
      </c>
      <c r="AV21" s="35">
        <f>AW21+AX21</f>
        <v>0</v>
      </c>
      <c r="AW21" s="35">
        <f>F21*AO21</f>
        <v>0</v>
      </c>
      <c r="AX21" s="35">
        <f>F21*AP21</f>
        <v>0</v>
      </c>
      <c r="AY21" s="37" t="s">
        <v>692</v>
      </c>
      <c r="AZ21" s="37" t="s">
        <v>709</v>
      </c>
      <c r="BA21" s="10" t="s">
        <v>720</v>
      </c>
      <c r="BC21" s="35">
        <f>AW21+AX21</f>
        <v>0</v>
      </c>
      <c r="BD21" s="35">
        <f>G21/(100-BE21)*100</f>
        <v>0</v>
      </c>
      <c r="BE21" s="35">
        <v>0</v>
      </c>
      <c r="BF21" s="35">
        <f>L21</f>
        <v>0.071714</v>
      </c>
      <c r="BH21" s="33">
        <f>F21*AO21</f>
        <v>0</v>
      </c>
      <c r="BI21" s="33">
        <f>F21*AP21</f>
        <v>0</v>
      </c>
      <c r="BJ21" s="33">
        <f>F21*G21</f>
        <v>0</v>
      </c>
      <c r="BK21" s="33" t="s">
        <v>728</v>
      </c>
      <c r="BL21" s="35">
        <v>764</v>
      </c>
    </row>
    <row r="22" spans="1:14" ht="12.75">
      <c r="A22" s="2"/>
      <c r="D22" s="38" t="s">
        <v>342</v>
      </c>
      <c r="F22" s="39">
        <v>31.18</v>
      </c>
      <c r="M22" s="40"/>
      <c r="N22" s="2"/>
    </row>
    <row r="23" spans="1:64" ht="12.75">
      <c r="A23" s="31" t="s">
        <v>10</v>
      </c>
      <c r="B23" s="32" t="s">
        <v>160</v>
      </c>
      <c r="C23" s="32" t="s">
        <v>172</v>
      </c>
      <c r="D23" s="32" t="s">
        <v>343</v>
      </c>
      <c r="E23" s="32" t="s">
        <v>649</v>
      </c>
      <c r="F23" s="33">
        <v>5.579</v>
      </c>
      <c r="G23" s="33">
        <f>J23/F23</f>
        <v>0</v>
      </c>
      <c r="H23" s="61">
        <v>0</v>
      </c>
      <c r="I23" s="61">
        <v>0</v>
      </c>
      <c r="J23" s="33">
        <f>H23+I23</f>
        <v>0</v>
      </c>
      <c r="K23" s="33">
        <v>0.01887</v>
      </c>
      <c r="L23" s="33">
        <f>F23*K23</f>
        <v>0.10527573</v>
      </c>
      <c r="M23" s="34" t="s">
        <v>680</v>
      </c>
      <c r="N23" s="2"/>
      <c r="Z23" s="35">
        <f>IF(AQ23="5",BJ23,0)</f>
        <v>0</v>
      </c>
      <c r="AB23" s="35">
        <f>IF(AQ23="1",BH23,0)</f>
        <v>0</v>
      </c>
      <c r="AC23" s="35">
        <f>IF(AQ23="1",BI23,0)</f>
        <v>0</v>
      </c>
      <c r="AD23" s="35">
        <f>H23</f>
        <v>0</v>
      </c>
      <c r="AE23" s="35">
        <f>I23</f>
        <v>0</v>
      </c>
      <c r="AF23" s="35">
        <f>IF(AQ23="2",BH23,0)</f>
        <v>0</v>
      </c>
      <c r="AG23" s="35">
        <f>IF(AQ23="2",BI23,0)</f>
        <v>0</v>
      </c>
      <c r="AH23" s="35">
        <f>IF(AQ23="0",BJ23,0)</f>
        <v>0</v>
      </c>
      <c r="AI23" s="10" t="s">
        <v>160</v>
      </c>
      <c r="AJ23" s="33">
        <f>IF(AN23=0,J23,0)</f>
        <v>0</v>
      </c>
      <c r="AK23" s="33">
        <f>IF(AN23=15,J23,0)</f>
        <v>0</v>
      </c>
      <c r="AL23" s="33">
        <f>IF(AN23=21,J23,0)</f>
        <v>0</v>
      </c>
      <c r="AN23" s="35">
        <v>21</v>
      </c>
      <c r="AO23" s="35">
        <f>G23*0.275630205971103</f>
        <v>0</v>
      </c>
      <c r="AP23" s="35">
        <f>G23*(1-0.275630205971103)</f>
        <v>0</v>
      </c>
      <c r="AQ23" s="36" t="s">
        <v>12</v>
      </c>
      <c r="AV23" s="35">
        <f>AW23+AX23</f>
        <v>0</v>
      </c>
      <c r="AW23" s="35">
        <f>F23*AO23</f>
        <v>0</v>
      </c>
      <c r="AX23" s="35">
        <f>F23*AP23</f>
        <v>0</v>
      </c>
      <c r="AY23" s="37" t="s">
        <v>692</v>
      </c>
      <c r="AZ23" s="37" t="s">
        <v>709</v>
      </c>
      <c r="BA23" s="10" t="s">
        <v>720</v>
      </c>
      <c r="BC23" s="35">
        <f>AW23+AX23</f>
        <v>0</v>
      </c>
      <c r="BD23" s="35">
        <f>G23/(100-BE23)*100</f>
        <v>0</v>
      </c>
      <c r="BE23" s="35">
        <v>0</v>
      </c>
      <c r="BF23" s="35">
        <f>L23</f>
        <v>0.10527573</v>
      </c>
      <c r="BH23" s="33">
        <f>F23*AO23</f>
        <v>0</v>
      </c>
      <c r="BI23" s="33">
        <f>F23*AP23</f>
        <v>0</v>
      </c>
      <c r="BJ23" s="33">
        <f>F23*G23</f>
        <v>0</v>
      </c>
      <c r="BK23" s="33" t="s">
        <v>728</v>
      </c>
      <c r="BL23" s="35">
        <v>764</v>
      </c>
    </row>
    <row r="24" spans="1:14" ht="12.75">
      <c r="A24" s="2"/>
      <c r="D24" s="38" t="s">
        <v>344</v>
      </c>
      <c r="F24" s="39">
        <v>5.579</v>
      </c>
      <c r="M24" s="40"/>
      <c r="N24" s="2"/>
    </row>
    <row r="25" spans="1:64" ht="12.75">
      <c r="A25" s="31" t="s">
        <v>11</v>
      </c>
      <c r="B25" s="32" t="s">
        <v>160</v>
      </c>
      <c r="C25" s="32" t="s">
        <v>173</v>
      </c>
      <c r="D25" s="32" t="s">
        <v>345</v>
      </c>
      <c r="E25" s="32" t="s">
        <v>650</v>
      </c>
      <c r="F25" s="33">
        <v>295.865</v>
      </c>
      <c r="G25" s="33">
        <f>J25/F25</f>
        <v>0</v>
      </c>
      <c r="H25" s="61">
        <v>0</v>
      </c>
      <c r="I25" s="61">
        <v>0</v>
      </c>
      <c r="J25" s="33">
        <f>H25+I25</f>
        <v>0</v>
      </c>
      <c r="K25" s="33">
        <v>0.00336</v>
      </c>
      <c r="L25" s="33">
        <f>F25*K25</f>
        <v>0.9941064000000001</v>
      </c>
      <c r="M25" s="34" t="s">
        <v>680</v>
      </c>
      <c r="N25" s="2"/>
      <c r="Z25" s="35">
        <f>IF(AQ25="5",BJ25,0)</f>
        <v>0</v>
      </c>
      <c r="AB25" s="35">
        <f>IF(AQ25="1",BH25,0)</f>
        <v>0</v>
      </c>
      <c r="AC25" s="35">
        <f>IF(AQ25="1",BI25,0)</f>
        <v>0</v>
      </c>
      <c r="AD25" s="35">
        <f>H25</f>
        <v>0</v>
      </c>
      <c r="AE25" s="35">
        <f>I25</f>
        <v>0</v>
      </c>
      <c r="AF25" s="35">
        <f>IF(AQ25="2",BH25,0)</f>
        <v>0</v>
      </c>
      <c r="AG25" s="35">
        <f>IF(AQ25="2",BI25,0)</f>
        <v>0</v>
      </c>
      <c r="AH25" s="35">
        <f>IF(AQ25="0",BJ25,0)</f>
        <v>0</v>
      </c>
      <c r="AI25" s="10" t="s">
        <v>160</v>
      </c>
      <c r="AJ25" s="33">
        <f>IF(AN25=0,J25,0)</f>
        <v>0</v>
      </c>
      <c r="AK25" s="33">
        <f>IF(AN25=15,J25,0)</f>
        <v>0</v>
      </c>
      <c r="AL25" s="33">
        <f>IF(AN25=21,J25,0)</f>
        <v>0</v>
      </c>
      <c r="AN25" s="35">
        <v>21</v>
      </c>
      <c r="AO25" s="35">
        <f>G25*0</f>
        <v>0</v>
      </c>
      <c r="AP25" s="35">
        <f>G25*(1-0)</f>
        <v>0</v>
      </c>
      <c r="AQ25" s="36" t="s">
        <v>12</v>
      </c>
      <c r="AV25" s="35">
        <f>AW25+AX25</f>
        <v>0</v>
      </c>
      <c r="AW25" s="35">
        <f>F25*AO25</f>
        <v>0</v>
      </c>
      <c r="AX25" s="35">
        <f>F25*AP25</f>
        <v>0</v>
      </c>
      <c r="AY25" s="37" t="s">
        <v>692</v>
      </c>
      <c r="AZ25" s="37" t="s">
        <v>709</v>
      </c>
      <c r="BA25" s="10" t="s">
        <v>720</v>
      </c>
      <c r="BC25" s="35">
        <f>AW25+AX25</f>
        <v>0</v>
      </c>
      <c r="BD25" s="35">
        <f>G25/(100-BE25)*100</f>
        <v>0</v>
      </c>
      <c r="BE25" s="35">
        <v>0</v>
      </c>
      <c r="BF25" s="35">
        <f>L25</f>
        <v>0.9941064000000001</v>
      </c>
      <c r="BH25" s="33">
        <f>F25*AO25</f>
        <v>0</v>
      </c>
      <c r="BI25" s="33">
        <f>F25*AP25</f>
        <v>0</v>
      </c>
      <c r="BJ25" s="33">
        <f>F25*G25</f>
        <v>0</v>
      </c>
      <c r="BK25" s="33" t="s">
        <v>728</v>
      </c>
      <c r="BL25" s="35">
        <v>764</v>
      </c>
    </row>
    <row r="26" spans="1:14" ht="12.75">
      <c r="A26" s="2"/>
      <c r="D26" s="38" t="s">
        <v>346</v>
      </c>
      <c r="F26" s="39">
        <v>295.865</v>
      </c>
      <c r="M26" s="40"/>
      <c r="N26" s="2"/>
    </row>
    <row r="27" spans="1:64" ht="12.75">
      <c r="A27" s="31" t="s">
        <v>12</v>
      </c>
      <c r="B27" s="32" t="s">
        <v>160</v>
      </c>
      <c r="C27" s="32" t="s">
        <v>174</v>
      </c>
      <c r="D27" s="32" t="s">
        <v>347</v>
      </c>
      <c r="E27" s="32" t="s">
        <v>650</v>
      </c>
      <c r="F27" s="33">
        <v>99.95</v>
      </c>
      <c r="G27" s="33">
        <f>J27/F27</f>
        <v>0</v>
      </c>
      <c r="H27" s="61">
        <v>0</v>
      </c>
      <c r="I27" s="61">
        <v>0</v>
      </c>
      <c r="J27" s="33">
        <f>H27+I27</f>
        <v>0</v>
      </c>
      <c r="K27" s="33">
        <v>0.00432</v>
      </c>
      <c r="L27" s="33">
        <f>F27*K27</f>
        <v>0.431784</v>
      </c>
      <c r="M27" s="34" t="s">
        <v>680</v>
      </c>
      <c r="N27" s="2"/>
      <c r="Z27" s="35">
        <f>IF(AQ27="5",BJ27,0)</f>
        <v>0</v>
      </c>
      <c r="AB27" s="35">
        <f>IF(AQ27="1",BH27,0)</f>
        <v>0</v>
      </c>
      <c r="AC27" s="35">
        <f>IF(AQ27="1",BI27,0)</f>
        <v>0</v>
      </c>
      <c r="AD27" s="35">
        <f>H27</f>
        <v>0</v>
      </c>
      <c r="AE27" s="35">
        <f>I27</f>
        <v>0</v>
      </c>
      <c r="AF27" s="35">
        <f>IF(AQ27="2",BH27,0)</f>
        <v>0</v>
      </c>
      <c r="AG27" s="35">
        <f>IF(AQ27="2",BI27,0)</f>
        <v>0</v>
      </c>
      <c r="AH27" s="35">
        <f>IF(AQ27="0",BJ27,0)</f>
        <v>0</v>
      </c>
      <c r="AI27" s="10" t="s">
        <v>160</v>
      </c>
      <c r="AJ27" s="33">
        <f>IF(AN27=0,J27,0)</f>
        <v>0</v>
      </c>
      <c r="AK27" s="33">
        <f>IF(AN27=15,J27,0)</f>
        <v>0</v>
      </c>
      <c r="AL27" s="33">
        <f>IF(AN27=21,J27,0)</f>
        <v>0</v>
      </c>
      <c r="AN27" s="35">
        <v>21</v>
      </c>
      <c r="AO27" s="35">
        <f>G27*0</f>
        <v>0</v>
      </c>
      <c r="AP27" s="35">
        <f>G27*(1-0)</f>
        <v>0</v>
      </c>
      <c r="AQ27" s="36" t="s">
        <v>12</v>
      </c>
      <c r="AV27" s="35">
        <f>AW27+AX27</f>
        <v>0</v>
      </c>
      <c r="AW27" s="35">
        <f>F27*AO27</f>
        <v>0</v>
      </c>
      <c r="AX27" s="35">
        <f>F27*AP27</f>
        <v>0</v>
      </c>
      <c r="AY27" s="37" t="s">
        <v>692</v>
      </c>
      <c r="AZ27" s="37" t="s">
        <v>709</v>
      </c>
      <c r="BA27" s="10" t="s">
        <v>720</v>
      </c>
      <c r="BC27" s="35">
        <f>AW27+AX27</f>
        <v>0</v>
      </c>
      <c r="BD27" s="35">
        <f>G27/(100-BE27)*100</f>
        <v>0</v>
      </c>
      <c r="BE27" s="35">
        <v>0</v>
      </c>
      <c r="BF27" s="35">
        <f>L27</f>
        <v>0.431784</v>
      </c>
      <c r="BH27" s="33">
        <f>F27*AO27</f>
        <v>0</v>
      </c>
      <c r="BI27" s="33">
        <f>F27*AP27</f>
        <v>0</v>
      </c>
      <c r="BJ27" s="33">
        <f>F27*G27</f>
        <v>0</v>
      </c>
      <c r="BK27" s="33" t="s">
        <v>728</v>
      </c>
      <c r="BL27" s="35">
        <v>764</v>
      </c>
    </row>
    <row r="28" spans="1:14" ht="12.75">
      <c r="A28" s="2"/>
      <c r="D28" s="38" t="s">
        <v>348</v>
      </c>
      <c r="F28" s="39">
        <v>99.95</v>
      </c>
      <c r="M28" s="40"/>
      <c r="N28" s="2"/>
    </row>
    <row r="29" spans="1:47" ht="12.75">
      <c r="A29" s="26"/>
      <c r="B29" s="27" t="s">
        <v>160</v>
      </c>
      <c r="C29" s="27" t="s">
        <v>175</v>
      </c>
      <c r="D29" s="27" t="s">
        <v>349</v>
      </c>
      <c r="E29" s="28" t="s">
        <v>5</v>
      </c>
      <c r="F29" s="28" t="s">
        <v>5</v>
      </c>
      <c r="G29" s="28" t="s">
        <v>5</v>
      </c>
      <c r="H29" s="29">
        <f>SUM(H30:H45)</f>
        <v>0</v>
      </c>
      <c r="I29" s="29">
        <f>SUM(I30:I45)</f>
        <v>0</v>
      </c>
      <c r="J29" s="29">
        <f>SUM(J30:J45)</f>
        <v>0</v>
      </c>
      <c r="K29" s="10"/>
      <c r="L29" s="29">
        <f>SUM(L30:L45)</f>
        <v>23.86535545</v>
      </c>
      <c r="M29" s="30"/>
      <c r="N29" s="2"/>
      <c r="AI29" s="10" t="s">
        <v>160</v>
      </c>
      <c r="AS29" s="29">
        <f>SUM(AJ30:AJ45)</f>
        <v>0</v>
      </c>
      <c r="AT29" s="29">
        <f>SUM(AK30:AK45)</f>
        <v>0</v>
      </c>
      <c r="AU29" s="29">
        <f>SUM(AL30:AL45)</f>
        <v>0</v>
      </c>
    </row>
    <row r="30" spans="1:64" ht="12.75">
      <c r="A30" s="31" t="s">
        <v>13</v>
      </c>
      <c r="B30" s="32" t="s">
        <v>160</v>
      </c>
      <c r="C30" s="32" t="s">
        <v>176</v>
      </c>
      <c r="D30" s="32" t="s">
        <v>350</v>
      </c>
      <c r="E30" s="32" t="s">
        <v>651</v>
      </c>
      <c r="F30" s="33">
        <v>80</v>
      </c>
      <c r="G30" s="33">
        <f>J30/F30</f>
        <v>0</v>
      </c>
      <c r="H30" s="61">
        <v>0</v>
      </c>
      <c r="I30" s="61">
        <v>0</v>
      </c>
      <c r="J30" s="33">
        <f>H30+I30</f>
        <v>0</v>
      </c>
      <c r="K30" s="33">
        <v>0.00106</v>
      </c>
      <c r="L30" s="33">
        <f>F30*K30</f>
        <v>0.0848</v>
      </c>
      <c r="M30" s="34" t="s">
        <v>680</v>
      </c>
      <c r="N30" s="2"/>
      <c r="Z30" s="35">
        <f>IF(AQ30="5",BJ30,0)</f>
        <v>0</v>
      </c>
      <c r="AB30" s="35">
        <f>IF(AQ30="1",BH30,0)</f>
        <v>0</v>
      </c>
      <c r="AC30" s="35">
        <f>IF(AQ30="1",BI30,0)</f>
        <v>0</v>
      </c>
      <c r="AD30" s="35">
        <f>H30</f>
        <v>0</v>
      </c>
      <c r="AE30" s="35">
        <f>I30</f>
        <v>0</v>
      </c>
      <c r="AF30" s="35">
        <f>IF(AQ30="2",BH30,0)</f>
        <v>0</v>
      </c>
      <c r="AG30" s="35">
        <f>IF(AQ30="2",BI30,0)</f>
        <v>0</v>
      </c>
      <c r="AH30" s="35">
        <f>IF(AQ30="0",BJ30,0)</f>
        <v>0</v>
      </c>
      <c r="AI30" s="10" t="s">
        <v>160</v>
      </c>
      <c r="AJ30" s="33">
        <f>IF(AN30=0,J30,0)</f>
        <v>0</v>
      </c>
      <c r="AK30" s="33">
        <f>IF(AN30=15,J30,0)</f>
        <v>0</v>
      </c>
      <c r="AL30" s="33">
        <f>IF(AN30=21,J30,0)</f>
        <v>0</v>
      </c>
      <c r="AN30" s="35">
        <v>21</v>
      </c>
      <c r="AO30" s="35">
        <f>G30*0.183476764199656</f>
        <v>0</v>
      </c>
      <c r="AP30" s="35">
        <f>G30*(1-0.183476764199656)</f>
        <v>0</v>
      </c>
      <c r="AQ30" s="36" t="s">
        <v>12</v>
      </c>
      <c r="AV30" s="35">
        <f>AW30+AX30</f>
        <v>0</v>
      </c>
      <c r="AW30" s="35">
        <f>F30*AO30</f>
        <v>0</v>
      </c>
      <c r="AX30" s="35">
        <f>F30*AP30</f>
        <v>0</v>
      </c>
      <c r="AY30" s="37" t="s">
        <v>693</v>
      </c>
      <c r="AZ30" s="37" t="s">
        <v>709</v>
      </c>
      <c r="BA30" s="10" t="s">
        <v>720</v>
      </c>
      <c r="BC30" s="35">
        <f>AW30+AX30</f>
        <v>0</v>
      </c>
      <c r="BD30" s="35">
        <f>G30/(100-BE30)*100</f>
        <v>0</v>
      </c>
      <c r="BE30" s="35">
        <v>0</v>
      </c>
      <c r="BF30" s="35">
        <f>L30</f>
        <v>0.0848</v>
      </c>
      <c r="BH30" s="33">
        <f>F30*AO30</f>
        <v>0</v>
      </c>
      <c r="BI30" s="33">
        <f>F30*AP30</f>
        <v>0</v>
      </c>
      <c r="BJ30" s="33">
        <f>F30*G30</f>
        <v>0</v>
      </c>
      <c r="BK30" s="33" t="s">
        <v>728</v>
      </c>
      <c r="BL30" s="35">
        <v>767</v>
      </c>
    </row>
    <row r="31" spans="1:14" ht="12.75">
      <c r="A31" s="2"/>
      <c r="D31" s="38" t="s">
        <v>351</v>
      </c>
      <c r="F31" s="39">
        <v>80</v>
      </c>
      <c r="M31" s="40"/>
      <c r="N31" s="2"/>
    </row>
    <row r="32" spans="1:64" ht="12.75">
      <c r="A32" s="31" t="s">
        <v>14</v>
      </c>
      <c r="B32" s="32" t="s">
        <v>160</v>
      </c>
      <c r="C32" s="32" t="s">
        <v>177</v>
      </c>
      <c r="D32" s="32" t="s">
        <v>352</v>
      </c>
      <c r="E32" s="32" t="s">
        <v>651</v>
      </c>
      <c r="F32" s="33">
        <v>90</v>
      </c>
      <c r="G32" s="33">
        <f>J32/F32</f>
        <v>0</v>
      </c>
      <c r="H32" s="61">
        <v>0</v>
      </c>
      <c r="I32" s="61">
        <v>0</v>
      </c>
      <c r="J32" s="33">
        <f>H32+I32</f>
        <v>0</v>
      </c>
      <c r="K32" s="33">
        <v>0.00106</v>
      </c>
      <c r="L32" s="33">
        <f>F32*K32</f>
        <v>0.0954</v>
      </c>
      <c r="M32" s="34" t="s">
        <v>680</v>
      </c>
      <c r="N32" s="2"/>
      <c r="Z32" s="35">
        <f>IF(AQ32="5",BJ32,0)</f>
        <v>0</v>
      </c>
      <c r="AB32" s="35">
        <f>IF(AQ32="1",BH32,0)</f>
        <v>0</v>
      </c>
      <c r="AC32" s="35">
        <f>IF(AQ32="1",BI32,0)</f>
        <v>0</v>
      </c>
      <c r="AD32" s="35">
        <f>H32</f>
        <v>0</v>
      </c>
      <c r="AE32" s="35">
        <f>I32</f>
        <v>0</v>
      </c>
      <c r="AF32" s="35">
        <f>IF(AQ32="2",BH32,0)</f>
        <v>0</v>
      </c>
      <c r="AG32" s="35">
        <f>IF(AQ32="2",BI32,0)</f>
        <v>0</v>
      </c>
      <c r="AH32" s="35">
        <f>IF(AQ32="0",BJ32,0)</f>
        <v>0</v>
      </c>
      <c r="AI32" s="10" t="s">
        <v>160</v>
      </c>
      <c r="AJ32" s="33">
        <f>IF(AN32=0,J32,0)</f>
        <v>0</v>
      </c>
      <c r="AK32" s="33">
        <f>IF(AN32=15,J32,0)</f>
        <v>0</v>
      </c>
      <c r="AL32" s="33">
        <f>IF(AN32=21,J32,0)</f>
        <v>0</v>
      </c>
      <c r="AN32" s="35">
        <v>21</v>
      </c>
      <c r="AO32" s="35">
        <f>G32*0.292776709695139</f>
        <v>0</v>
      </c>
      <c r="AP32" s="35">
        <f>G32*(1-0.292776709695139)</f>
        <v>0</v>
      </c>
      <c r="AQ32" s="36" t="s">
        <v>12</v>
      </c>
      <c r="AV32" s="35">
        <f>AW32+AX32</f>
        <v>0</v>
      </c>
      <c r="AW32" s="35">
        <f>F32*AO32</f>
        <v>0</v>
      </c>
      <c r="AX32" s="35">
        <f>F32*AP32</f>
        <v>0</v>
      </c>
      <c r="AY32" s="37" t="s">
        <v>693</v>
      </c>
      <c r="AZ32" s="37" t="s">
        <v>709</v>
      </c>
      <c r="BA32" s="10" t="s">
        <v>720</v>
      </c>
      <c r="BC32" s="35">
        <f>AW32+AX32</f>
        <v>0</v>
      </c>
      <c r="BD32" s="35">
        <f>G32/(100-BE32)*100</f>
        <v>0</v>
      </c>
      <c r="BE32" s="35">
        <v>0</v>
      </c>
      <c r="BF32" s="35">
        <f>L32</f>
        <v>0.0954</v>
      </c>
      <c r="BH32" s="33">
        <f>F32*AO32</f>
        <v>0</v>
      </c>
      <c r="BI32" s="33">
        <f>F32*AP32</f>
        <v>0</v>
      </c>
      <c r="BJ32" s="33">
        <f>F32*G32</f>
        <v>0</v>
      </c>
      <c r="BK32" s="33" t="s">
        <v>728</v>
      </c>
      <c r="BL32" s="35">
        <v>767</v>
      </c>
    </row>
    <row r="33" spans="1:14" ht="12.75">
      <c r="A33" s="2"/>
      <c r="D33" s="38" t="s">
        <v>353</v>
      </c>
      <c r="F33" s="39">
        <v>90</v>
      </c>
      <c r="M33" s="40"/>
      <c r="N33" s="2"/>
    </row>
    <row r="34" spans="1:64" ht="12.75">
      <c r="A34" s="31" t="s">
        <v>15</v>
      </c>
      <c r="B34" s="32" t="s">
        <v>160</v>
      </c>
      <c r="C34" s="32" t="s">
        <v>178</v>
      </c>
      <c r="D34" s="32" t="s">
        <v>354</v>
      </c>
      <c r="E34" s="32" t="s">
        <v>651</v>
      </c>
      <c r="F34" s="33">
        <v>172</v>
      </c>
      <c r="G34" s="33">
        <f>J34/F34</f>
        <v>0</v>
      </c>
      <c r="H34" s="61">
        <v>0</v>
      </c>
      <c r="I34" s="61">
        <v>0</v>
      </c>
      <c r="J34" s="33">
        <f>H34+I34</f>
        <v>0</v>
      </c>
      <c r="K34" s="33">
        <v>0.00105</v>
      </c>
      <c r="L34" s="33">
        <f>F34*K34</f>
        <v>0.18059999999999998</v>
      </c>
      <c r="M34" s="34" t="s">
        <v>680</v>
      </c>
      <c r="N34" s="2"/>
      <c r="Z34" s="35">
        <f>IF(AQ34="5",BJ34,0)</f>
        <v>0</v>
      </c>
      <c r="AB34" s="35">
        <f>IF(AQ34="1",BH34,0)</f>
        <v>0</v>
      </c>
      <c r="AC34" s="35">
        <f>IF(AQ34="1",BI34,0)</f>
        <v>0</v>
      </c>
      <c r="AD34" s="35">
        <f>H34</f>
        <v>0</v>
      </c>
      <c r="AE34" s="35">
        <f>I34</f>
        <v>0</v>
      </c>
      <c r="AF34" s="35">
        <f>IF(AQ34="2",BH34,0)</f>
        <v>0</v>
      </c>
      <c r="AG34" s="35">
        <f>IF(AQ34="2",BI34,0)</f>
        <v>0</v>
      </c>
      <c r="AH34" s="35">
        <f>IF(AQ34="0",BJ34,0)</f>
        <v>0</v>
      </c>
      <c r="AI34" s="10" t="s">
        <v>160</v>
      </c>
      <c r="AJ34" s="33">
        <f>IF(AN34=0,J34,0)</f>
        <v>0</v>
      </c>
      <c r="AK34" s="33">
        <f>IF(AN34=15,J34,0)</f>
        <v>0</v>
      </c>
      <c r="AL34" s="33">
        <f>IF(AN34=21,J34,0)</f>
        <v>0</v>
      </c>
      <c r="AN34" s="35">
        <v>21</v>
      </c>
      <c r="AO34" s="35">
        <f>G34*0.144494959478158</f>
        <v>0</v>
      </c>
      <c r="AP34" s="35">
        <f>G34*(1-0.144494959478158)</f>
        <v>0</v>
      </c>
      <c r="AQ34" s="36" t="s">
        <v>12</v>
      </c>
      <c r="AV34" s="35">
        <f>AW34+AX34</f>
        <v>0</v>
      </c>
      <c r="AW34" s="35">
        <f>F34*AO34</f>
        <v>0</v>
      </c>
      <c r="AX34" s="35">
        <f>F34*AP34</f>
        <v>0</v>
      </c>
      <c r="AY34" s="37" t="s">
        <v>693</v>
      </c>
      <c r="AZ34" s="37" t="s">
        <v>709</v>
      </c>
      <c r="BA34" s="10" t="s">
        <v>720</v>
      </c>
      <c r="BC34" s="35">
        <f>AW34+AX34</f>
        <v>0</v>
      </c>
      <c r="BD34" s="35">
        <f>G34/(100-BE34)*100</f>
        <v>0</v>
      </c>
      <c r="BE34" s="35">
        <v>0</v>
      </c>
      <c r="BF34" s="35">
        <f>L34</f>
        <v>0.18059999999999998</v>
      </c>
      <c r="BH34" s="33">
        <f>F34*AO34</f>
        <v>0</v>
      </c>
      <c r="BI34" s="33">
        <f>F34*AP34</f>
        <v>0</v>
      </c>
      <c r="BJ34" s="33">
        <f>F34*G34</f>
        <v>0</v>
      </c>
      <c r="BK34" s="33" t="s">
        <v>728</v>
      </c>
      <c r="BL34" s="35">
        <v>767</v>
      </c>
    </row>
    <row r="35" spans="1:14" ht="12.75">
      <c r="A35" s="2"/>
      <c r="D35" s="38" t="s">
        <v>355</v>
      </c>
      <c r="F35" s="39">
        <v>172</v>
      </c>
      <c r="M35" s="40"/>
      <c r="N35" s="2"/>
    </row>
    <row r="36" spans="1:64" ht="12.75">
      <c r="A36" s="31" t="s">
        <v>16</v>
      </c>
      <c r="B36" s="32" t="s">
        <v>160</v>
      </c>
      <c r="C36" s="32" t="s">
        <v>179</v>
      </c>
      <c r="D36" s="32" t="s">
        <v>356</v>
      </c>
      <c r="E36" s="32" t="s">
        <v>649</v>
      </c>
      <c r="F36" s="33">
        <v>170.75</v>
      </c>
      <c r="G36" s="33">
        <f>J36/F36</f>
        <v>0</v>
      </c>
      <c r="H36" s="61">
        <v>0</v>
      </c>
      <c r="I36" s="61">
        <v>0</v>
      </c>
      <c r="J36" s="33">
        <f>H36+I36</f>
        <v>0</v>
      </c>
      <c r="K36" s="33">
        <v>0.021</v>
      </c>
      <c r="L36" s="33">
        <f>F36*K36</f>
        <v>3.5857500000000004</v>
      </c>
      <c r="M36" s="34" t="s">
        <v>680</v>
      </c>
      <c r="N36" s="2"/>
      <c r="Z36" s="35">
        <f>IF(AQ36="5",BJ36,0)</f>
        <v>0</v>
      </c>
      <c r="AB36" s="35">
        <f>IF(AQ36="1",BH36,0)</f>
        <v>0</v>
      </c>
      <c r="AC36" s="35">
        <f>IF(AQ36="1",BI36,0)</f>
        <v>0</v>
      </c>
      <c r="AD36" s="35">
        <f>H36</f>
        <v>0</v>
      </c>
      <c r="AE36" s="35">
        <f>I36</f>
        <v>0</v>
      </c>
      <c r="AF36" s="35">
        <f>IF(AQ36="2",BH36,0)</f>
        <v>0</v>
      </c>
      <c r="AG36" s="35">
        <f>IF(AQ36="2",BI36,0)</f>
        <v>0</v>
      </c>
      <c r="AH36" s="35">
        <f>IF(AQ36="0",BJ36,0)</f>
        <v>0</v>
      </c>
      <c r="AI36" s="10" t="s">
        <v>160</v>
      </c>
      <c r="AJ36" s="33">
        <f>IF(AN36=0,J36,0)</f>
        <v>0</v>
      </c>
      <c r="AK36" s="33">
        <f>IF(AN36=15,J36,0)</f>
        <v>0</v>
      </c>
      <c r="AL36" s="33">
        <f>IF(AN36=21,J36,0)</f>
        <v>0</v>
      </c>
      <c r="AN36" s="35">
        <v>21</v>
      </c>
      <c r="AO36" s="35">
        <f>G36*0</f>
        <v>0</v>
      </c>
      <c r="AP36" s="35">
        <f>G36*(1-0)</f>
        <v>0</v>
      </c>
      <c r="AQ36" s="36" t="s">
        <v>12</v>
      </c>
      <c r="AV36" s="35">
        <f>AW36+AX36</f>
        <v>0</v>
      </c>
      <c r="AW36" s="35">
        <f>F36*AO36</f>
        <v>0</v>
      </c>
      <c r="AX36" s="35">
        <f>F36*AP36</f>
        <v>0</v>
      </c>
      <c r="AY36" s="37" t="s">
        <v>693</v>
      </c>
      <c r="AZ36" s="37" t="s">
        <v>709</v>
      </c>
      <c r="BA36" s="10" t="s">
        <v>720</v>
      </c>
      <c r="BC36" s="35">
        <f>AW36+AX36</f>
        <v>0</v>
      </c>
      <c r="BD36" s="35">
        <f>G36/(100-BE36)*100</f>
        <v>0</v>
      </c>
      <c r="BE36" s="35">
        <v>0</v>
      </c>
      <c r="BF36" s="35">
        <f>L36</f>
        <v>3.5857500000000004</v>
      </c>
      <c r="BH36" s="33">
        <f>F36*AO36</f>
        <v>0</v>
      </c>
      <c r="BI36" s="33">
        <f>F36*AP36</f>
        <v>0</v>
      </c>
      <c r="BJ36" s="33">
        <f>F36*G36</f>
        <v>0</v>
      </c>
      <c r="BK36" s="33" t="s">
        <v>728</v>
      </c>
      <c r="BL36" s="35">
        <v>767</v>
      </c>
    </row>
    <row r="37" spans="1:14" ht="12.75">
      <c r="A37" s="2"/>
      <c r="D37" s="38" t="s">
        <v>357</v>
      </c>
      <c r="F37" s="39">
        <v>170.75</v>
      </c>
      <c r="M37" s="40"/>
      <c r="N37" s="2"/>
    </row>
    <row r="38" spans="1:64" ht="12.75">
      <c r="A38" s="31" t="s">
        <v>17</v>
      </c>
      <c r="B38" s="32" t="s">
        <v>160</v>
      </c>
      <c r="C38" s="32" t="s">
        <v>180</v>
      </c>
      <c r="D38" s="32" t="s">
        <v>358</v>
      </c>
      <c r="E38" s="32" t="s">
        <v>651</v>
      </c>
      <c r="F38" s="33">
        <v>136</v>
      </c>
      <c r="G38" s="33">
        <f>J38/F38</f>
        <v>0</v>
      </c>
      <c r="H38" s="61">
        <v>0</v>
      </c>
      <c r="I38" s="61">
        <v>0</v>
      </c>
      <c r="J38" s="33">
        <f>H38+I38</f>
        <v>0</v>
      </c>
      <c r="K38" s="33">
        <v>0.00106</v>
      </c>
      <c r="L38" s="33">
        <f>F38*K38</f>
        <v>0.14415999999999998</v>
      </c>
      <c r="M38" s="34" t="s">
        <v>680</v>
      </c>
      <c r="N38" s="2"/>
      <c r="Z38" s="35">
        <f>IF(AQ38="5",BJ38,0)</f>
        <v>0</v>
      </c>
      <c r="AB38" s="35">
        <f>IF(AQ38="1",BH38,0)</f>
        <v>0</v>
      </c>
      <c r="AC38" s="35">
        <f>IF(AQ38="1",BI38,0)</f>
        <v>0</v>
      </c>
      <c r="AD38" s="35">
        <f>H38</f>
        <v>0</v>
      </c>
      <c r="AE38" s="35">
        <f>I38</f>
        <v>0</v>
      </c>
      <c r="AF38" s="35">
        <f>IF(AQ38="2",BH38,0)</f>
        <v>0</v>
      </c>
      <c r="AG38" s="35">
        <f>IF(AQ38="2",BI38,0)</f>
        <v>0</v>
      </c>
      <c r="AH38" s="35">
        <f>IF(AQ38="0",BJ38,0)</f>
        <v>0</v>
      </c>
      <c r="AI38" s="10" t="s">
        <v>160</v>
      </c>
      <c r="AJ38" s="33">
        <f>IF(AN38=0,J38,0)</f>
        <v>0</v>
      </c>
      <c r="AK38" s="33">
        <f>IF(AN38=15,J38,0)</f>
        <v>0</v>
      </c>
      <c r="AL38" s="33">
        <f>IF(AN38=21,J38,0)</f>
        <v>0</v>
      </c>
      <c r="AN38" s="35">
        <v>21</v>
      </c>
      <c r="AO38" s="35">
        <f>G38*0.179763912310287</f>
        <v>0</v>
      </c>
      <c r="AP38" s="35">
        <f>G38*(1-0.179763912310287)</f>
        <v>0</v>
      </c>
      <c r="AQ38" s="36" t="s">
        <v>12</v>
      </c>
      <c r="AV38" s="35">
        <f>AW38+AX38</f>
        <v>0</v>
      </c>
      <c r="AW38" s="35">
        <f>F38*AO38</f>
        <v>0</v>
      </c>
      <c r="AX38" s="35">
        <f>F38*AP38</f>
        <v>0</v>
      </c>
      <c r="AY38" s="37" t="s">
        <v>693</v>
      </c>
      <c r="AZ38" s="37" t="s">
        <v>709</v>
      </c>
      <c r="BA38" s="10" t="s">
        <v>720</v>
      </c>
      <c r="BC38" s="35">
        <f>AW38+AX38</f>
        <v>0</v>
      </c>
      <c r="BD38" s="35">
        <f>G38/(100-BE38)*100</f>
        <v>0</v>
      </c>
      <c r="BE38" s="35">
        <v>0</v>
      </c>
      <c r="BF38" s="35">
        <f>L38</f>
        <v>0.14415999999999998</v>
      </c>
      <c r="BH38" s="33">
        <f>F38*AO38</f>
        <v>0</v>
      </c>
      <c r="BI38" s="33">
        <f>F38*AP38</f>
        <v>0</v>
      </c>
      <c r="BJ38" s="33">
        <f>F38*G38</f>
        <v>0</v>
      </c>
      <c r="BK38" s="33" t="s">
        <v>728</v>
      </c>
      <c r="BL38" s="35">
        <v>767</v>
      </c>
    </row>
    <row r="39" spans="1:14" ht="12.75">
      <c r="A39" s="2"/>
      <c r="D39" s="38" t="s">
        <v>359</v>
      </c>
      <c r="F39" s="39">
        <v>136</v>
      </c>
      <c r="M39" s="40"/>
      <c r="N39" s="2"/>
    </row>
    <row r="40" spans="1:64" ht="12.75">
      <c r="A40" s="31" t="s">
        <v>18</v>
      </c>
      <c r="B40" s="32" t="s">
        <v>160</v>
      </c>
      <c r="C40" s="32" t="s">
        <v>181</v>
      </c>
      <c r="D40" s="32" t="s">
        <v>360</v>
      </c>
      <c r="E40" s="32" t="s">
        <v>649</v>
      </c>
      <c r="F40" s="33">
        <v>1859.7893</v>
      </c>
      <c r="G40" s="33">
        <f>J40/F40</f>
        <v>0</v>
      </c>
      <c r="H40" s="61">
        <v>0</v>
      </c>
      <c r="I40" s="61">
        <v>0</v>
      </c>
      <c r="J40" s="33">
        <f>H40+I40</f>
        <v>0</v>
      </c>
      <c r="K40" s="33">
        <v>0.007</v>
      </c>
      <c r="L40" s="33">
        <f>F40*K40</f>
        <v>13.0185251</v>
      </c>
      <c r="M40" s="34" t="s">
        <v>680</v>
      </c>
      <c r="N40" s="2"/>
      <c r="Z40" s="35">
        <f>IF(AQ40="5",BJ40,0)</f>
        <v>0</v>
      </c>
      <c r="AB40" s="35">
        <f>IF(AQ40="1",BH40,0)</f>
        <v>0</v>
      </c>
      <c r="AC40" s="35">
        <f>IF(AQ40="1",BI40,0)</f>
        <v>0</v>
      </c>
      <c r="AD40" s="35">
        <f>H40</f>
        <v>0</v>
      </c>
      <c r="AE40" s="35">
        <f>I40</f>
        <v>0</v>
      </c>
      <c r="AF40" s="35">
        <f>IF(AQ40="2",BH40,0)</f>
        <v>0</v>
      </c>
      <c r="AG40" s="35">
        <f>IF(AQ40="2",BI40,0)</f>
        <v>0</v>
      </c>
      <c r="AH40" s="35">
        <f>IF(AQ40="0",BJ40,0)</f>
        <v>0</v>
      </c>
      <c r="AI40" s="10" t="s">
        <v>160</v>
      </c>
      <c r="AJ40" s="33">
        <f>IF(AN40=0,J40,0)</f>
        <v>0</v>
      </c>
      <c r="AK40" s="33">
        <f>IF(AN40=15,J40,0)</f>
        <v>0</v>
      </c>
      <c r="AL40" s="33">
        <f>IF(AN40=21,J40,0)</f>
        <v>0</v>
      </c>
      <c r="AN40" s="35">
        <v>21</v>
      </c>
      <c r="AO40" s="35">
        <f>G40*0</f>
        <v>0</v>
      </c>
      <c r="AP40" s="35">
        <f>G40*(1-0)</f>
        <v>0</v>
      </c>
      <c r="AQ40" s="36" t="s">
        <v>12</v>
      </c>
      <c r="AV40" s="35">
        <f>AW40+AX40</f>
        <v>0</v>
      </c>
      <c r="AW40" s="35">
        <f>F40*AO40</f>
        <v>0</v>
      </c>
      <c r="AX40" s="35">
        <f>F40*AP40</f>
        <v>0</v>
      </c>
      <c r="AY40" s="37" t="s">
        <v>693</v>
      </c>
      <c r="AZ40" s="37" t="s">
        <v>709</v>
      </c>
      <c r="BA40" s="10" t="s">
        <v>720</v>
      </c>
      <c r="BC40" s="35">
        <f>AW40+AX40</f>
        <v>0</v>
      </c>
      <c r="BD40" s="35">
        <f>G40/(100-BE40)*100</f>
        <v>0</v>
      </c>
      <c r="BE40" s="35">
        <v>0</v>
      </c>
      <c r="BF40" s="35">
        <f>L40</f>
        <v>13.0185251</v>
      </c>
      <c r="BH40" s="33">
        <f>F40*AO40</f>
        <v>0</v>
      </c>
      <c r="BI40" s="33">
        <f>F40*AP40</f>
        <v>0</v>
      </c>
      <c r="BJ40" s="33">
        <f>F40*G40</f>
        <v>0</v>
      </c>
      <c r="BK40" s="33" t="s">
        <v>728</v>
      </c>
      <c r="BL40" s="35">
        <v>767</v>
      </c>
    </row>
    <row r="41" spans="1:14" ht="12.75">
      <c r="A41" s="2"/>
      <c r="D41" s="38" t="s">
        <v>361</v>
      </c>
      <c r="F41" s="39">
        <v>502.158</v>
      </c>
      <c r="M41" s="40"/>
      <c r="N41" s="2"/>
    </row>
    <row r="42" spans="1:14" ht="12.75">
      <c r="A42" s="2"/>
      <c r="D42" s="38" t="s">
        <v>362</v>
      </c>
      <c r="F42" s="39">
        <v>1357.6313</v>
      </c>
      <c r="M42" s="40"/>
      <c r="N42" s="2"/>
    </row>
    <row r="43" spans="1:64" ht="12.75">
      <c r="A43" s="31" t="s">
        <v>19</v>
      </c>
      <c r="B43" s="32" t="s">
        <v>160</v>
      </c>
      <c r="C43" s="32" t="s">
        <v>181</v>
      </c>
      <c r="D43" s="32" t="s">
        <v>360</v>
      </c>
      <c r="E43" s="32" t="s">
        <v>649</v>
      </c>
      <c r="F43" s="33">
        <v>623.4368</v>
      </c>
      <c r="G43" s="33">
        <f>J43/F43</f>
        <v>0</v>
      </c>
      <c r="H43" s="61">
        <v>0</v>
      </c>
      <c r="I43" s="61">
        <v>0</v>
      </c>
      <c r="J43" s="33">
        <f>H43+I43</f>
        <v>0</v>
      </c>
      <c r="K43" s="33">
        <v>0.007</v>
      </c>
      <c r="L43" s="33">
        <f>F43*K43</f>
        <v>4.3640576</v>
      </c>
      <c r="M43" s="34" t="s">
        <v>680</v>
      </c>
      <c r="N43" s="2"/>
      <c r="Z43" s="35">
        <f>IF(AQ43="5",BJ43,0)</f>
        <v>0</v>
      </c>
      <c r="AB43" s="35">
        <f>IF(AQ43="1",BH43,0)</f>
        <v>0</v>
      </c>
      <c r="AC43" s="35">
        <f>IF(AQ43="1",BI43,0)</f>
        <v>0</v>
      </c>
      <c r="AD43" s="35">
        <f>H43</f>
        <v>0</v>
      </c>
      <c r="AE43" s="35">
        <f>I43</f>
        <v>0</v>
      </c>
      <c r="AF43" s="35">
        <f>IF(AQ43="2",BH43,0)</f>
        <v>0</v>
      </c>
      <c r="AG43" s="35">
        <f>IF(AQ43="2",BI43,0)</f>
        <v>0</v>
      </c>
      <c r="AH43" s="35">
        <f>IF(AQ43="0",BJ43,0)</f>
        <v>0</v>
      </c>
      <c r="AI43" s="10" t="s">
        <v>160</v>
      </c>
      <c r="AJ43" s="33">
        <f>IF(AN43=0,J43,0)</f>
        <v>0</v>
      </c>
      <c r="AK43" s="33">
        <f>IF(AN43=15,J43,0)</f>
        <v>0</v>
      </c>
      <c r="AL43" s="33">
        <f>IF(AN43=21,J43,0)</f>
        <v>0</v>
      </c>
      <c r="AN43" s="35">
        <v>21</v>
      </c>
      <c r="AO43" s="35">
        <f>G43*0</f>
        <v>0</v>
      </c>
      <c r="AP43" s="35">
        <f>G43*(1-0)</f>
        <v>0</v>
      </c>
      <c r="AQ43" s="36" t="s">
        <v>12</v>
      </c>
      <c r="AV43" s="35">
        <f>AW43+AX43</f>
        <v>0</v>
      </c>
      <c r="AW43" s="35">
        <f>F43*AO43</f>
        <v>0</v>
      </c>
      <c r="AX43" s="35">
        <f>F43*AP43</f>
        <v>0</v>
      </c>
      <c r="AY43" s="37" t="s">
        <v>693</v>
      </c>
      <c r="AZ43" s="37" t="s">
        <v>709</v>
      </c>
      <c r="BA43" s="10" t="s">
        <v>720</v>
      </c>
      <c r="BC43" s="35">
        <f>AW43+AX43</f>
        <v>0</v>
      </c>
      <c r="BD43" s="35">
        <f>G43/(100-BE43)*100</f>
        <v>0</v>
      </c>
      <c r="BE43" s="35">
        <v>0</v>
      </c>
      <c r="BF43" s="35">
        <f>L43</f>
        <v>4.3640576</v>
      </c>
      <c r="BH43" s="33">
        <f>F43*AO43</f>
        <v>0</v>
      </c>
      <c r="BI43" s="33">
        <f>F43*AP43</f>
        <v>0</v>
      </c>
      <c r="BJ43" s="33">
        <f>F43*G43</f>
        <v>0</v>
      </c>
      <c r="BK43" s="33" t="s">
        <v>728</v>
      </c>
      <c r="BL43" s="35">
        <v>767</v>
      </c>
    </row>
    <row r="44" spans="1:14" ht="12.75">
      <c r="A44" s="2"/>
      <c r="D44" s="38" t="s">
        <v>363</v>
      </c>
      <c r="F44" s="39">
        <v>623.4368</v>
      </c>
      <c r="M44" s="40"/>
      <c r="N44" s="2"/>
    </row>
    <row r="45" spans="1:64" ht="12.75">
      <c r="A45" s="31" t="s">
        <v>20</v>
      </c>
      <c r="B45" s="32" t="s">
        <v>160</v>
      </c>
      <c r="C45" s="32" t="s">
        <v>182</v>
      </c>
      <c r="D45" s="32" t="s">
        <v>364</v>
      </c>
      <c r="E45" s="32" t="s">
        <v>649</v>
      </c>
      <c r="F45" s="33">
        <v>265.78475</v>
      </c>
      <c r="G45" s="33">
        <f>J45/F45</f>
        <v>0</v>
      </c>
      <c r="H45" s="61">
        <v>0</v>
      </c>
      <c r="I45" s="61">
        <v>0</v>
      </c>
      <c r="J45" s="33">
        <f>H45+I45</f>
        <v>0</v>
      </c>
      <c r="K45" s="33">
        <v>0.009</v>
      </c>
      <c r="L45" s="33">
        <f>F45*K45</f>
        <v>2.3920627499999996</v>
      </c>
      <c r="M45" s="34" t="s">
        <v>680</v>
      </c>
      <c r="N45" s="2"/>
      <c r="Z45" s="35">
        <f>IF(AQ45="5",BJ45,0)</f>
        <v>0</v>
      </c>
      <c r="AB45" s="35">
        <f>IF(AQ45="1",BH45,0)</f>
        <v>0</v>
      </c>
      <c r="AC45" s="35">
        <f>IF(AQ45="1",BI45,0)</f>
        <v>0</v>
      </c>
      <c r="AD45" s="35">
        <f>H45</f>
        <v>0</v>
      </c>
      <c r="AE45" s="35">
        <f>I45</f>
        <v>0</v>
      </c>
      <c r="AF45" s="35">
        <f>IF(AQ45="2",BH45,0)</f>
        <v>0</v>
      </c>
      <c r="AG45" s="35">
        <f>IF(AQ45="2",BI45,0)</f>
        <v>0</v>
      </c>
      <c r="AH45" s="35">
        <f>IF(AQ45="0",BJ45,0)</f>
        <v>0</v>
      </c>
      <c r="AI45" s="10" t="s">
        <v>160</v>
      </c>
      <c r="AJ45" s="33">
        <f>IF(AN45=0,J45,0)</f>
        <v>0</v>
      </c>
      <c r="AK45" s="33">
        <f>IF(AN45=15,J45,0)</f>
        <v>0</v>
      </c>
      <c r="AL45" s="33">
        <f>IF(AN45=21,J45,0)</f>
        <v>0</v>
      </c>
      <c r="AN45" s="35">
        <v>21</v>
      </c>
      <c r="AO45" s="35">
        <f>G45*0</f>
        <v>0</v>
      </c>
      <c r="AP45" s="35">
        <f>G45*(1-0)</f>
        <v>0</v>
      </c>
      <c r="AQ45" s="36" t="s">
        <v>12</v>
      </c>
      <c r="AV45" s="35">
        <f>AW45+AX45</f>
        <v>0</v>
      </c>
      <c r="AW45" s="35">
        <f>F45*AO45</f>
        <v>0</v>
      </c>
      <c r="AX45" s="35">
        <f>F45*AP45</f>
        <v>0</v>
      </c>
      <c r="AY45" s="37" t="s">
        <v>693</v>
      </c>
      <c r="AZ45" s="37" t="s">
        <v>709</v>
      </c>
      <c r="BA45" s="10" t="s">
        <v>720</v>
      </c>
      <c r="BC45" s="35">
        <f>AW45+AX45</f>
        <v>0</v>
      </c>
      <c r="BD45" s="35">
        <f>G45/(100-BE45)*100</f>
        <v>0</v>
      </c>
      <c r="BE45" s="35">
        <v>0</v>
      </c>
      <c r="BF45" s="35">
        <f>L45</f>
        <v>2.3920627499999996</v>
      </c>
      <c r="BH45" s="33">
        <f>F45*AO45</f>
        <v>0</v>
      </c>
      <c r="BI45" s="33">
        <f>F45*AP45</f>
        <v>0</v>
      </c>
      <c r="BJ45" s="33">
        <f>F45*G45</f>
        <v>0</v>
      </c>
      <c r="BK45" s="33" t="s">
        <v>728</v>
      </c>
      <c r="BL45" s="35">
        <v>767</v>
      </c>
    </row>
    <row r="46" spans="1:14" ht="12.75">
      <c r="A46" s="2"/>
      <c r="D46" s="38" t="s">
        <v>365</v>
      </c>
      <c r="F46" s="39">
        <v>265.78475</v>
      </c>
      <c r="M46" s="40"/>
      <c r="N46" s="2"/>
    </row>
    <row r="47" spans="1:47" ht="12.75">
      <c r="A47" s="26"/>
      <c r="B47" s="27" t="s">
        <v>160</v>
      </c>
      <c r="C47" s="27" t="s">
        <v>183</v>
      </c>
      <c r="D47" s="27" t="s">
        <v>366</v>
      </c>
      <c r="E47" s="28" t="s">
        <v>5</v>
      </c>
      <c r="F47" s="28" t="s">
        <v>5</v>
      </c>
      <c r="G47" s="28" t="s">
        <v>5</v>
      </c>
      <c r="H47" s="29">
        <f>SUM(H48:H52)</f>
        <v>0</v>
      </c>
      <c r="I47" s="29">
        <f>SUM(I48:I52)</f>
        <v>0</v>
      </c>
      <c r="J47" s="29">
        <f>SUM(J48:J52)</f>
        <v>0</v>
      </c>
      <c r="K47" s="10"/>
      <c r="L47" s="29">
        <f>SUM(L48:L52)</f>
        <v>28.489586425</v>
      </c>
      <c r="M47" s="30"/>
      <c r="N47" s="2"/>
      <c r="AI47" s="10" t="s">
        <v>160</v>
      </c>
      <c r="AS47" s="29">
        <f>SUM(AJ48:AJ52)</f>
        <v>0</v>
      </c>
      <c r="AT47" s="29">
        <f>SUM(AK48:AK52)</f>
        <v>0</v>
      </c>
      <c r="AU47" s="29">
        <f>SUM(AL48:AL52)</f>
        <v>0</v>
      </c>
    </row>
    <row r="48" spans="1:64" ht="12.75">
      <c r="A48" s="31" t="s">
        <v>21</v>
      </c>
      <c r="B48" s="32" t="s">
        <v>160</v>
      </c>
      <c r="C48" s="32" t="s">
        <v>184</v>
      </c>
      <c r="D48" s="32" t="s">
        <v>367</v>
      </c>
      <c r="E48" s="32" t="s">
        <v>649</v>
      </c>
      <c r="F48" s="33">
        <v>637.5255</v>
      </c>
      <c r="G48" s="33">
        <f>J48/F48</f>
        <v>0</v>
      </c>
      <c r="H48" s="61">
        <v>0</v>
      </c>
      <c r="I48" s="61">
        <v>0</v>
      </c>
      <c r="J48" s="33">
        <f>H48+I48</f>
        <v>0</v>
      </c>
      <c r="K48" s="33">
        <v>0.03635</v>
      </c>
      <c r="L48" s="33">
        <f>F48*K48</f>
        <v>23.174051925</v>
      </c>
      <c r="M48" s="34" t="s">
        <v>681</v>
      </c>
      <c r="N48" s="2"/>
      <c r="Z48" s="35">
        <f>IF(AQ48="5",BJ48,0)</f>
        <v>0</v>
      </c>
      <c r="AB48" s="35">
        <f>IF(AQ48="1",BH48,0)</f>
        <v>0</v>
      </c>
      <c r="AC48" s="35">
        <f>IF(AQ48="1",BI48,0)</f>
        <v>0</v>
      </c>
      <c r="AD48" s="35">
        <f>H48</f>
        <v>0</v>
      </c>
      <c r="AE48" s="35">
        <f>I48</f>
        <v>0</v>
      </c>
      <c r="AF48" s="35">
        <f>IF(AQ48="2",BH48,0)</f>
        <v>0</v>
      </c>
      <c r="AG48" s="35">
        <f>IF(AQ48="2",BI48,0)</f>
        <v>0</v>
      </c>
      <c r="AH48" s="35">
        <f>IF(AQ48="0",BJ48,0)</f>
        <v>0</v>
      </c>
      <c r="AI48" s="10" t="s">
        <v>160</v>
      </c>
      <c r="AJ48" s="33">
        <f>IF(AN48=0,J48,0)</f>
        <v>0</v>
      </c>
      <c r="AK48" s="33">
        <f>IF(AN48=15,J48,0)</f>
        <v>0</v>
      </c>
      <c r="AL48" s="33">
        <f>IF(AN48=21,J48,0)</f>
        <v>0</v>
      </c>
      <c r="AN48" s="35">
        <v>21</v>
      </c>
      <c r="AO48" s="35">
        <f>G48*0</f>
        <v>0</v>
      </c>
      <c r="AP48" s="35">
        <f>G48*(1-0)</f>
        <v>0</v>
      </c>
      <c r="AQ48" s="36" t="s">
        <v>12</v>
      </c>
      <c r="AV48" s="35">
        <f>AW48+AX48</f>
        <v>0</v>
      </c>
      <c r="AW48" s="35">
        <f>F48*AO48</f>
        <v>0</v>
      </c>
      <c r="AX48" s="35">
        <f>F48*AP48</f>
        <v>0</v>
      </c>
      <c r="AY48" s="37" t="s">
        <v>694</v>
      </c>
      <c r="AZ48" s="37" t="s">
        <v>709</v>
      </c>
      <c r="BA48" s="10" t="s">
        <v>720</v>
      </c>
      <c r="BC48" s="35">
        <f>AW48+AX48</f>
        <v>0</v>
      </c>
      <c r="BD48" s="35">
        <f>G48/(100-BE48)*100</f>
        <v>0</v>
      </c>
      <c r="BE48" s="35">
        <v>0</v>
      </c>
      <c r="BF48" s="35">
        <f>L48</f>
        <v>23.174051925</v>
      </c>
      <c r="BH48" s="33">
        <f>F48*AO48</f>
        <v>0</v>
      </c>
      <c r="BI48" s="33">
        <f>F48*AP48</f>
        <v>0</v>
      </c>
      <c r="BJ48" s="33">
        <f>F48*G48</f>
        <v>0</v>
      </c>
      <c r="BK48" s="33" t="s">
        <v>728</v>
      </c>
      <c r="BL48" s="35" t="s">
        <v>183</v>
      </c>
    </row>
    <row r="49" spans="1:14" ht="12.75">
      <c r="A49" s="2"/>
      <c r="D49" s="38" t="s">
        <v>368</v>
      </c>
      <c r="F49" s="39">
        <v>637.5255</v>
      </c>
      <c r="M49" s="40"/>
      <c r="N49" s="2"/>
    </row>
    <row r="50" spans="1:64" ht="12.75">
      <c r="A50" s="31" t="s">
        <v>22</v>
      </c>
      <c r="B50" s="32" t="s">
        <v>160</v>
      </c>
      <c r="C50" s="32" t="s">
        <v>185</v>
      </c>
      <c r="D50" s="32" t="s">
        <v>369</v>
      </c>
      <c r="E50" s="32" t="s">
        <v>649</v>
      </c>
      <c r="F50" s="33">
        <v>29.07</v>
      </c>
      <c r="G50" s="33">
        <f>J50/F50</f>
        <v>0</v>
      </c>
      <c r="H50" s="61">
        <v>0</v>
      </c>
      <c r="I50" s="61">
        <v>0</v>
      </c>
      <c r="J50" s="33">
        <f>H50+I50</f>
        <v>0</v>
      </c>
      <c r="K50" s="33">
        <v>0.03735</v>
      </c>
      <c r="L50" s="33">
        <f>F50*K50</f>
        <v>1.0857645</v>
      </c>
      <c r="M50" s="34" t="s">
        <v>681</v>
      </c>
      <c r="N50" s="2"/>
      <c r="Z50" s="35">
        <f>IF(AQ50="5",BJ50,0)</f>
        <v>0</v>
      </c>
      <c r="AB50" s="35">
        <f>IF(AQ50="1",BH50,0)</f>
        <v>0</v>
      </c>
      <c r="AC50" s="35">
        <f>IF(AQ50="1",BI50,0)</f>
        <v>0</v>
      </c>
      <c r="AD50" s="35">
        <f>H50</f>
        <v>0</v>
      </c>
      <c r="AE50" s="35">
        <f>I50</f>
        <v>0</v>
      </c>
      <c r="AF50" s="35">
        <f>IF(AQ50="2",BH50,0)</f>
        <v>0</v>
      </c>
      <c r="AG50" s="35">
        <f>IF(AQ50="2",BI50,0)</f>
        <v>0</v>
      </c>
      <c r="AH50" s="35">
        <f>IF(AQ50="0",BJ50,0)</f>
        <v>0</v>
      </c>
      <c r="AI50" s="10" t="s">
        <v>160</v>
      </c>
      <c r="AJ50" s="33">
        <f>IF(AN50=0,J50,0)</f>
        <v>0</v>
      </c>
      <c r="AK50" s="33">
        <f>IF(AN50=15,J50,0)</f>
        <v>0</v>
      </c>
      <c r="AL50" s="33">
        <f>IF(AN50=21,J50,0)</f>
        <v>0</v>
      </c>
      <c r="AN50" s="35">
        <v>21</v>
      </c>
      <c r="AO50" s="35">
        <f>G50*0</f>
        <v>0</v>
      </c>
      <c r="AP50" s="35">
        <f>G50*(1-0)</f>
        <v>0</v>
      </c>
      <c r="AQ50" s="36" t="s">
        <v>12</v>
      </c>
      <c r="AV50" s="35">
        <f>AW50+AX50</f>
        <v>0</v>
      </c>
      <c r="AW50" s="35">
        <f>F50*AO50</f>
        <v>0</v>
      </c>
      <c r="AX50" s="35">
        <f>F50*AP50</f>
        <v>0</v>
      </c>
      <c r="AY50" s="37" t="s">
        <v>694</v>
      </c>
      <c r="AZ50" s="37" t="s">
        <v>709</v>
      </c>
      <c r="BA50" s="10" t="s">
        <v>720</v>
      </c>
      <c r="BC50" s="35">
        <f>AW50+AX50</f>
        <v>0</v>
      </c>
      <c r="BD50" s="35">
        <f>G50/(100-BE50)*100</f>
        <v>0</v>
      </c>
      <c r="BE50" s="35">
        <v>0</v>
      </c>
      <c r="BF50" s="35">
        <f>L50</f>
        <v>1.0857645</v>
      </c>
      <c r="BH50" s="33">
        <f>F50*AO50</f>
        <v>0</v>
      </c>
      <c r="BI50" s="33">
        <f>F50*AP50</f>
        <v>0</v>
      </c>
      <c r="BJ50" s="33">
        <f>F50*G50</f>
        <v>0</v>
      </c>
      <c r="BK50" s="33" t="s">
        <v>728</v>
      </c>
      <c r="BL50" s="35" t="s">
        <v>183</v>
      </c>
    </row>
    <row r="51" spans="1:14" ht="12.75">
      <c r="A51" s="2"/>
      <c r="D51" s="38" t="s">
        <v>370</v>
      </c>
      <c r="F51" s="39">
        <v>29.07</v>
      </c>
      <c r="M51" s="40"/>
      <c r="N51" s="2"/>
    </row>
    <row r="52" spans="1:64" ht="12.75">
      <c r="A52" s="31" t="s">
        <v>23</v>
      </c>
      <c r="B52" s="32" t="s">
        <v>160</v>
      </c>
      <c r="C52" s="32" t="s">
        <v>186</v>
      </c>
      <c r="D52" s="32" t="s">
        <v>371</v>
      </c>
      <c r="E52" s="32"/>
      <c r="F52" s="33">
        <v>124.405</v>
      </c>
      <c r="G52" s="33">
        <f>J52/F52</f>
        <v>0</v>
      </c>
      <c r="H52" s="61">
        <v>0</v>
      </c>
      <c r="I52" s="61">
        <v>0</v>
      </c>
      <c r="J52" s="33">
        <f>H52+I52</f>
        <v>0</v>
      </c>
      <c r="K52" s="33">
        <v>0.034</v>
      </c>
      <c r="L52" s="33">
        <f>F52*K52</f>
        <v>4.22977</v>
      </c>
      <c r="M52" s="34"/>
      <c r="N52" s="2"/>
      <c r="Z52" s="35">
        <f>IF(AQ52="5",BJ52,0)</f>
        <v>0</v>
      </c>
      <c r="AB52" s="35">
        <f>IF(AQ52="1",BH52,0)</f>
        <v>0</v>
      </c>
      <c r="AC52" s="35">
        <f>IF(AQ52="1",BI52,0)</f>
        <v>0</v>
      </c>
      <c r="AD52" s="35">
        <f>H52</f>
        <v>0</v>
      </c>
      <c r="AE52" s="35">
        <f>I52</f>
        <v>0</v>
      </c>
      <c r="AF52" s="35">
        <f>IF(AQ52="2",BH52,0)</f>
        <v>0</v>
      </c>
      <c r="AG52" s="35">
        <f>IF(AQ52="2",BI52,0)</f>
        <v>0</v>
      </c>
      <c r="AH52" s="35">
        <f>IF(AQ52="0",BJ52,0)</f>
        <v>0</v>
      </c>
      <c r="AI52" s="10" t="s">
        <v>160</v>
      </c>
      <c r="AJ52" s="33">
        <f>IF(AN52=0,J52,0)</f>
        <v>0</v>
      </c>
      <c r="AK52" s="33">
        <f>IF(AN52=15,J52,0)</f>
        <v>0</v>
      </c>
      <c r="AL52" s="33">
        <f>IF(AN52=21,J52,0)</f>
        <v>0</v>
      </c>
      <c r="AN52" s="35">
        <v>21</v>
      </c>
      <c r="AO52" s="35">
        <f>G52*0</f>
        <v>0</v>
      </c>
      <c r="AP52" s="35">
        <f>G52*(1-0)</f>
        <v>0</v>
      </c>
      <c r="AQ52" s="36" t="s">
        <v>12</v>
      </c>
      <c r="AV52" s="35">
        <f>AW52+AX52</f>
        <v>0</v>
      </c>
      <c r="AW52" s="35">
        <f>F52*AO52</f>
        <v>0</v>
      </c>
      <c r="AX52" s="35">
        <f>F52*AP52</f>
        <v>0</v>
      </c>
      <c r="AY52" s="37" t="s">
        <v>694</v>
      </c>
      <c r="AZ52" s="37" t="s">
        <v>709</v>
      </c>
      <c r="BA52" s="10" t="s">
        <v>720</v>
      </c>
      <c r="BC52" s="35">
        <f>AW52+AX52</f>
        <v>0</v>
      </c>
      <c r="BD52" s="35">
        <f>G52/(100-BE52)*100</f>
        <v>0</v>
      </c>
      <c r="BE52" s="35">
        <v>0</v>
      </c>
      <c r="BF52" s="35">
        <f>L52</f>
        <v>4.22977</v>
      </c>
      <c r="BH52" s="33">
        <f>F52*AO52</f>
        <v>0</v>
      </c>
      <c r="BI52" s="33">
        <f>F52*AP52</f>
        <v>0</v>
      </c>
      <c r="BJ52" s="33">
        <f>F52*G52</f>
        <v>0</v>
      </c>
      <c r="BK52" s="33" t="s">
        <v>728</v>
      </c>
      <c r="BL52" s="35" t="s">
        <v>183</v>
      </c>
    </row>
    <row r="53" spans="1:14" ht="12.75">
      <c r="A53" s="2"/>
      <c r="D53" s="38" t="s">
        <v>372</v>
      </c>
      <c r="F53" s="39">
        <v>124.405</v>
      </c>
      <c r="M53" s="40"/>
      <c r="N53" s="2"/>
    </row>
    <row r="54" spans="1:47" ht="12.75">
      <c r="A54" s="26"/>
      <c r="B54" s="27" t="s">
        <v>160</v>
      </c>
      <c r="C54" s="27" t="s">
        <v>187</v>
      </c>
      <c r="D54" s="27" t="s">
        <v>373</v>
      </c>
      <c r="E54" s="28" t="s">
        <v>5</v>
      </c>
      <c r="F54" s="28" t="s">
        <v>5</v>
      </c>
      <c r="G54" s="28" t="s">
        <v>5</v>
      </c>
      <c r="H54" s="29">
        <f>SUM(H55:H55)</f>
        <v>0</v>
      </c>
      <c r="I54" s="29">
        <f>SUM(I55:I55)</f>
        <v>0</v>
      </c>
      <c r="J54" s="29">
        <f>SUM(J55:J55)</f>
        <v>0</v>
      </c>
      <c r="K54" s="10"/>
      <c r="L54" s="29">
        <f>SUM(L55:L55)</f>
        <v>0.03162</v>
      </c>
      <c r="M54" s="30"/>
      <c r="N54" s="2"/>
      <c r="AI54" s="10" t="s">
        <v>160</v>
      </c>
      <c r="AS54" s="29">
        <f>SUM(AJ55:AJ55)</f>
        <v>0</v>
      </c>
      <c r="AT54" s="29">
        <f>SUM(AK55:AK55)</f>
        <v>0</v>
      </c>
      <c r="AU54" s="29">
        <f>SUM(AL55:AL55)</f>
        <v>0</v>
      </c>
    </row>
    <row r="55" spans="1:64" ht="12.75">
      <c r="A55" s="31" t="s">
        <v>24</v>
      </c>
      <c r="B55" s="32" t="s">
        <v>160</v>
      </c>
      <c r="C55" s="32" t="s">
        <v>188</v>
      </c>
      <c r="D55" s="32" t="s">
        <v>374</v>
      </c>
      <c r="E55" s="32" t="s">
        <v>649</v>
      </c>
      <c r="F55" s="33">
        <v>0.465</v>
      </c>
      <c r="G55" s="33">
        <f>J55/F55</f>
        <v>0</v>
      </c>
      <c r="H55" s="61">
        <v>0</v>
      </c>
      <c r="I55" s="61">
        <v>0</v>
      </c>
      <c r="J55" s="33">
        <f>H55+I55</f>
        <v>0</v>
      </c>
      <c r="K55" s="33">
        <v>0.068</v>
      </c>
      <c r="L55" s="33">
        <f>F55*K55</f>
        <v>0.03162</v>
      </c>
      <c r="M55" s="34" t="s">
        <v>680</v>
      </c>
      <c r="N55" s="2"/>
      <c r="Z55" s="35">
        <f>IF(AQ55="5",BJ55,0)</f>
        <v>0</v>
      </c>
      <c r="AB55" s="35">
        <f>IF(AQ55="1",BH55,0)</f>
        <v>0</v>
      </c>
      <c r="AC55" s="35">
        <f>IF(AQ55="1",BI55,0)</f>
        <v>0</v>
      </c>
      <c r="AD55" s="35">
        <f>H55</f>
        <v>0</v>
      </c>
      <c r="AE55" s="35">
        <f>I55</f>
        <v>0</v>
      </c>
      <c r="AF55" s="35">
        <f>IF(AQ55="2",BH55,0)</f>
        <v>0</v>
      </c>
      <c r="AG55" s="35">
        <f>IF(AQ55="2",BI55,0)</f>
        <v>0</v>
      </c>
      <c r="AH55" s="35">
        <f>IF(AQ55="0",BJ55,0)</f>
        <v>0</v>
      </c>
      <c r="AI55" s="10" t="s">
        <v>160</v>
      </c>
      <c r="AJ55" s="33">
        <f>IF(AN55=0,J55,0)</f>
        <v>0</v>
      </c>
      <c r="AK55" s="33">
        <f>IF(AN55=15,J55,0)</f>
        <v>0</v>
      </c>
      <c r="AL55" s="33">
        <f>IF(AN55=21,J55,0)</f>
        <v>0</v>
      </c>
      <c r="AN55" s="35">
        <v>21</v>
      </c>
      <c r="AO55" s="35">
        <f>G55*0</f>
        <v>0</v>
      </c>
      <c r="AP55" s="35">
        <f>G55*(1-0)</f>
        <v>0</v>
      </c>
      <c r="AQ55" s="36" t="s">
        <v>12</v>
      </c>
      <c r="AV55" s="35">
        <f>AW55+AX55</f>
        <v>0</v>
      </c>
      <c r="AW55" s="35">
        <f>F55*AO55</f>
        <v>0</v>
      </c>
      <c r="AX55" s="35">
        <f>F55*AP55</f>
        <v>0</v>
      </c>
      <c r="AY55" s="37" t="s">
        <v>695</v>
      </c>
      <c r="AZ55" s="37" t="s">
        <v>710</v>
      </c>
      <c r="BA55" s="10" t="s">
        <v>720</v>
      </c>
      <c r="BC55" s="35">
        <f>AW55+AX55</f>
        <v>0</v>
      </c>
      <c r="BD55" s="35">
        <f>G55/(100-BE55)*100</f>
        <v>0</v>
      </c>
      <c r="BE55" s="35">
        <v>0</v>
      </c>
      <c r="BF55" s="35">
        <f>L55</f>
        <v>0.03162</v>
      </c>
      <c r="BH55" s="33">
        <f>F55*AO55</f>
        <v>0</v>
      </c>
      <c r="BI55" s="33">
        <f>F55*AP55</f>
        <v>0</v>
      </c>
      <c r="BJ55" s="33">
        <f>F55*G55</f>
        <v>0</v>
      </c>
      <c r="BK55" s="33" t="s">
        <v>728</v>
      </c>
      <c r="BL55" s="35">
        <v>781</v>
      </c>
    </row>
    <row r="56" spans="1:14" ht="12.75">
      <c r="A56" s="2"/>
      <c r="D56" s="38" t="s">
        <v>375</v>
      </c>
      <c r="F56" s="39">
        <v>0.465</v>
      </c>
      <c r="M56" s="40"/>
      <c r="N56" s="2"/>
    </row>
    <row r="57" spans="1:47" ht="12.75">
      <c r="A57" s="26"/>
      <c r="B57" s="27" t="s">
        <v>160</v>
      </c>
      <c r="C57" s="27" t="s">
        <v>101</v>
      </c>
      <c r="D57" s="27" t="s">
        <v>376</v>
      </c>
      <c r="E57" s="28" t="s">
        <v>5</v>
      </c>
      <c r="F57" s="28" t="s">
        <v>5</v>
      </c>
      <c r="G57" s="28" t="s">
        <v>5</v>
      </c>
      <c r="H57" s="29">
        <f>SUM(H58:H80)</f>
        <v>0</v>
      </c>
      <c r="I57" s="29">
        <f>SUM(I58:I80)</f>
        <v>0</v>
      </c>
      <c r="J57" s="29">
        <f>SUM(J58:J80)</f>
        <v>0</v>
      </c>
      <c r="K57" s="10"/>
      <c r="L57" s="29">
        <f>SUM(L58:L80)</f>
        <v>8.457442</v>
      </c>
      <c r="M57" s="30"/>
      <c r="N57" s="2"/>
      <c r="AI57" s="10" t="s">
        <v>160</v>
      </c>
      <c r="AS57" s="29">
        <f>SUM(AJ58:AJ80)</f>
        <v>0</v>
      </c>
      <c r="AT57" s="29">
        <f>SUM(AK58:AK80)</f>
        <v>0</v>
      </c>
      <c r="AU57" s="29">
        <f>SUM(AL58:AL80)</f>
        <v>0</v>
      </c>
    </row>
    <row r="58" spans="1:64" ht="12.75">
      <c r="A58" s="31" t="s">
        <v>25</v>
      </c>
      <c r="B58" s="32" t="s">
        <v>160</v>
      </c>
      <c r="C58" s="32" t="s">
        <v>189</v>
      </c>
      <c r="D58" s="32" t="s">
        <v>377</v>
      </c>
      <c r="E58" s="32" t="s">
        <v>652</v>
      </c>
      <c r="F58" s="33">
        <v>142</v>
      </c>
      <c r="G58" s="33">
        <f>J58/F58</f>
        <v>0</v>
      </c>
      <c r="H58" s="61">
        <v>0</v>
      </c>
      <c r="I58" s="61">
        <v>0</v>
      </c>
      <c r="J58" s="33">
        <f>H58+I58</f>
        <v>0</v>
      </c>
      <c r="K58" s="33">
        <v>0</v>
      </c>
      <c r="L58" s="33">
        <f>F58*K58</f>
        <v>0</v>
      </c>
      <c r="M58" s="34" t="s">
        <v>680</v>
      </c>
      <c r="N58" s="2"/>
      <c r="Z58" s="35">
        <f>IF(AQ58="5",BJ58,0)</f>
        <v>0</v>
      </c>
      <c r="AB58" s="35">
        <f>H58</f>
        <v>0</v>
      </c>
      <c r="AC58" s="35">
        <f>I58</f>
        <v>0</v>
      </c>
      <c r="AD58" s="35">
        <f>IF(AQ58="7",BH58,0)</f>
        <v>0</v>
      </c>
      <c r="AE58" s="35">
        <f>IF(AQ58="7",BI58,0)</f>
        <v>0</v>
      </c>
      <c r="AF58" s="35">
        <f>IF(AQ58="2",BH58,0)</f>
        <v>0</v>
      </c>
      <c r="AG58" s="35">
        <f>IF(AQ58="2",BI58,0)</f>
        <v>0</v>
      </c>
      <c r="AH58" s="35">
        <f>IF(AQ58="0",BJ58,0)</f>
        <v>0</v>
      </c>
      <c r="AI58" s="10" t="s">
        <v>160</v>
      </c>
      <c r="AJ58" s="33">
        <f>IF(AN58=0,J58,0)</f>
        <v>0</v>
      </c>
      <c r="AK58" s="33">
        <f>IF(AN58=15,J58,0)</f>
        <v>0</v>
      </c>
      <c r="AL58" s="33">
        <f>IF(AN58=21,J58,0)</f>
        <v>0</v>
      </c>
      <c r="AN58" s="35">
        <v>21</v>
      </c>
      <c r="AO58" s="35">
        <f>G58*0</f>
        <v>0</v>
      </c>
      <c r="AP58" s="35">
        <f>G58*(1-0)</f>
        <v>0</v>
      </c>
      <c r="AQ58" s="36" t="s">
        <v>6</v>
      </c>
      <c r="AV58" s="35">
        <f>AW58+AX58</f>
        <v>0</v>
      </c>
      <c r="AW58" s="35">
        <f>F58*AO58</f>
        <v>0</v>
      </c>
      <c r="AX58" s="35">
        <f>F58*AP58</f>
        <v>0</v>
      </c>
      <c r="AY58" s="37" t="s">
        <v>696</v>
      </c>
      <c r="AZ58" s="37" t="s">
        <v>711</v>
      </c>
      <c r="BA58" s="10" t="s">
        <v>720</v>
      </c>
      <c r="BC58" s="35">
        <f>AW58+AX58</f>
        <v>0</v>
      </c>
      <c r="BD58" s="35">
        <f>G58/(100-BE58)*100</f>
        <v>0</v>
      </c>
      <c r="BE58" s="35">
        <v>0</v>
      </c>
      <c r="BF58" s="35">
        <f>L58</f>
        <v>0</v>
      </c>
      <c r="BH58" s="33">
        <f>F58*AO58</f>
        <v>0</v>
      </c>
      <c r="BI58" s="33">
        <f>F58*AP58</f>
        <v>0</v>
      </c>
      <c r="BJ58" s="33">
        <f>F58*G58</f>
        <v>0</v>
      </c>
      <c r="BK58" s="33" t="s">
        <v>728</v>
      </c>
      <c r="BL58" s="35">
        <v>96</v>
      </c>
    </row>
    <row r="59" spans="1:14" ht="12.75">
      <c r="A59" s="2"/>
      <c r="D59" s="38" t="s">
        <v>378</v>
      </c>
      <c r="F59" s="39">
        <v>142</v>
      </c>
      <c r="M59" s="40"/>
      <c r="N59" s="2"/>
    </row>
    <row r="60" spans="1:64" ht="12.75">
      <c r="A60" s="31" t="s">
        <v>26</v>
      </c>
      <c r="B60" s="32" t="s">
        <v>160</v>
      </c>
      <c r="C60" s="32" t="s">
        <v>190</v>
      </c>
      <c r="D60" s="32" t="s">
        <v>379</v>
      </c>
      <c r="E60" s="32" t="s">
        <v>652</v>
      </c>
      <c r="F60" s="33">
        <v>62</v>
      </c>
      <c r="G60" s="33">
        <f>J60/F60</f>
        <v>0</v>
      </c>
      <c r="H60" s="61">
        <v>0</v>
      </c>
      <c r="I60" s="61">
        <v>0</v>
      </c>
      <c r="J60" s="33">
        <f>H60+I60</f>
        <v>0</v>
      </c>
      <c r="K60" s="33">
        <v>0</v>
      </c>
      <c r="L60" s="33">
        <f>F60*K60</f>
        <v>0</v>
      </c>
      <c r="M60" s="34" t="s">
        <v>680</v>
      </c>
      <c r="N60" s="2"/>
      <c r="Z60" s="35">
        <f>IF(AQ60="5",BJ60,0)</f>
        <v>0</v>
      </c>
      <c r="AB60" s="35">
        <f>H60</f>
        <v>0</v>
      </c>
      <c r="AC60" s="35">
        <f>I60</f>
        <v>0</v>
      </c>
      <c r="AD60" s="35">
        <f>IF(AQ60="7",BH60,0)</f>
        <v>0</v>
      </c>
      <c r="AE60" s="35">
        <f>IF(AQ60="7",BI60,0)</f>
        <v>0</v>
      </c>
      <c r="AF60" s="35">
        <f>IF(AQ60="2",BH60,0)</f>
        <v>0</v>
      </c>
      <c r="AG60" s="35">
        <f>IF(AQ60="2",BI60,0)</f>
        <v>0</v>
      </c>
      <c r="AH60" s="35">
        <f>IF(AQ60="0",BJ60,0)</f>
        <v>0</v>
      </c>
      <c r="AI60" s="10" t="s">
        <v>160</v>
      </c>
      <c r="AJ60" s="33">
        <f>IF(AN60=0,J60,0)</f>
        <v>0</v>
      </c>
      <c r="AK60" s="33">
        <f>IF(AN60=15,J60,0)</f>
        <v>0</v>
      </c>
      <c r="AL60" s="33">
        <f>IF(AN60=21,J60,0)</f>
        <v>0</v>
      </c>
      <c r="AN60" s="35">
        <v>21</v>
      </c>
      <c r="AO60" s="35">
        <f>G60*0</f>
        <v>0</v>
      </c>
      <c r="AP60" s="35">
        <f>G60*(1-0)</f>
        <v>0</v>
      </c>
      <c r="AQ60" s="36" t="s">
        <v>6</v>
      </c>
      <c r="AV60" s="35">
        <f>AW60+AX60</f>
        <v>0</v>
      </c>
      <c r="AW60" s="35">
        <f>F60*AO60</f>
        <v>0</v>
      </c>
      <c r="AX60" s="35">
        <f>F60*AP60</f>
        <v>0</v>
      </c>
      <c r="AY60" s="37" t="s">
        <v>696</v>
      </c>
      <c r="AZ60" s="37" t="s">
        <v>711</v>
      </c>
      <c r="BA60" s="10" t="s">
        <v>720</v>
      </c>
      <c r="BC60" s="35">
        <f>AW60+AX60</f>
        <v>0</v>
      </c>
      <c r="BD60" s="35">
        <f>G60/(100-BE60)*100</f>
        <v>0</v>
      </c>
      <c r="BE60" s="35">
        <v>0</v>
      </c>
      <c r="BF60" s="35">
        <f>L60</f>
        <v>0</v>
      </c>
      <c r="BH60" s="33">
        <f>F60*AO60</f>
        <v>0</v>
      </c>
      <c r="BI60" s="33">
        <f>F60*AP60</f>
        <v>0</v>
      </c>
      <c r="BJ60" s="33">
        <f>F60*G60</f>
        <v>0</v>
      </c>
      <c r="BK60" s="33" t="s">
        <v>728</v>
      </c>
      <c r="BL60" s="35">
        <v>96</v>
      </c>
    </row>
    <row r="61" spans="1:14" ht="12.75">
      <c r="A61" s="2"/>
      <c r="D61" s="38" t="s">
        <v>380</v>
      </c>
      <c r="F61" s="39">
        <v>62</v>
      </c>
      <c r="M61" s="40"/>
      <c r="N61" s="2"/>
    </row>
    <row r="62" spans="1:64" ht="12.75">
      <c r="A62" s="31" t="s">
        <v>27</v>
      </c>
      <c r="B62" s="32" t="s">
        <v>160</v>
      </c>
      <c r="C62" s="32" t="s">
        <v>191</v>
      </c>
      <c r="D62" s="32" t="s">
        <v>381</v>
      </c>
      <c r="E62" s="32" t="s">
        <v>649</v>
      </c>
      <c r="F62" s="33">
        <v>8</v>
      </c>
      <c r="G62" s="33">
        <f>J62/F62</f>
        <v>0</v>
      </c>
      <c r="H62" s="61">
        <v>0</v>
      </c>
      <c r="I62" s="61">
        <v>0</v>
      </c>
      <c r="J62" s="33">
        <f>H62+I62</f>
        <v>0</v>
      </c>
      <c r="K62" s="33">
        <v>0.06804</v>
      </c>
      <c r="L62" s="33">
        <f>F62*K62</f>
        <v>0.54432</v>
      </c>
      <c r="M62" s="34" t="s">
        <v>680</v>
      </c>
      <c r="N62" s="2"/>
      <c r="Z62" s="35">
        <f>IF(AQ62="5",BJ62,0)</f>
        <v>0</v>
      </c>
      <c r="AB62" s="35">
        <f>H62</f>
        <v>0</v>
      </c>
      <c r="AC62" s="35">
        <f>I62</f>
        <v>0</v>
      </c>
      <c r="AD62" s="35">
        <f>IF(AQ62="7",BH62,0)</f>
        <v>0</v>
      </c>
      <c r="AE62" s="35">
        <f>IF(AQ62="7",BI62,0)</f>
        <v>0</v>
      </c>
      <c r="AF62" s="35">
        <f>IF(AQ62="2",BH62,0)</f>
        <v>0</v>
      </c>
      <c r="AG62" s="35">
        <f>IF(AQ62="2",BI62,0)</f>
        <v>0</v>
      </c>
      <c r="AH62" s="35">
        <f>IF(AQ62="0",BJ62,0)</f>
        <v>0</v>
      </c>
      <c r="AI62" s="10" t="s">
        <v>160</v>
      </c>
      <c r="AJ62" s="33">
        <f>IF(AN62=0,J62,0)</f>
        <v>0</v>
      </c>
      <c r="AK62" s="33">
        <f>IF(AN62=15,J62,0)</f>
        <v>0</v>
      </c>
      <c r="AL62" s="33">
        <f>IF(AN62=21,J62,0)</f>
        <v>0</v>
      </c>
      <c r="AN62" s="35">
        <v>21</v>
      </c>
      <c r="AO62" s="35">
        <f>G62*0.167218225419664</f>
        <v>0</v>
      </c>
      <c r="AP62" s="35">
        <f>G62*(1-0.167218225419664)</f>
        <v>0</v>
      </c>
      <c r="AQ62" s="36" t="s">
        <v>6</v>
      </c>
      <c r="AV62" s="35">
        <f>AW62+AX62</f>
        <v>0</v>
      </c>
      <c r="AW62" s="35">
        <f>F62*AO62</f>
        <v>0</v>
      </c>
      <c r="AX62" s="35">
        <f>F62*AP62</f>
        <v>0</v>
      </c>
      <c r="AY62" s="37" t="s">
        <v>696</v>
      </c>
      <c r="AZ62" s="37" t="s">
        <v>711</v>
      </c>
      <c r="BA62" s="10" t="s">
        <v>720</v>
      </c>
      <c r="BC62" s="35">
        <f>AW62+AX62</f>
        <v>0</v>
      </c>
      <c r="BD62" s="35">
        <f>G62/(100-BE62)*100</f>
        <v>0</v>
      </c>
      <c r="BE62" s="35">
        <v>0</v>
      </c>
      <c r="BF62" s="35">
        <f>L62</f>
        <v>0.54432</v>
      </c>
      <c r="BH62" s="33">
        <f>F62*AO62</f>
        <v>0</v>
      </c>
      <c r="BI62" s="33">
        <f>F62*AP62</f>
        <v>0</v>
      </c>
      <c r="BJ62" s="33">
        <f>F62*G62</f>
        <v>0</v>
      </c>
      <c r="BK62" s="33" t="s">
        <v>728</v>
      </c>
      <c r="BL62" s="35">
        <v>96</v>
      </c>
    </row>
    <row r="63" spans="1:14" ht="12.75">
      <c r="A63" s="2"/>
      <c r="D63" s="38" t="s">
        <v>382</v>
      </c>
      <c r="F63" s="39">
        <v>8</v>
      </c>
      <c r="M63" s="40"/>
      <c r="N63" s="2"/>
    </row>
    <row r="64" spans="1:64" ht="12.75">
      <c r="A64" s="31" t="s">
        <v>28</v>
      </c>
      <c r="B64" s="32" t="s">
        <v>160</v>
      </c>
      <c r="C64" s="32" t="s">
        <v>192</v>
      </c>
      <c r="D64" s="32" t="s">
        <v>383</v>
      </c>
      <c r="E64" s="32" t="s">
        <v>649</v>
      </c>
      <c r="F64" s="33">
        <v>21</v>
      </c>
      <c r="G64" s="33">
        <f>J64/F64</f>
        <v>0</v>
      </c>
      <c r="H64" s="61">
        <v>0</v>
      </c>
      <c r="I64" s="61">
        <v>0</v>
      </c>
      <c r="J64" s="33">
        <f>H64+I64</f>
        <v>0</v>
      </c>
      <c r="K64" s="33">
        <v>0.04237</v>
      </c>
      <c r="L64" s="33">
        <f>F64*K64</f>
        <v>0.88977</v>
      </c>
      <c r="M64" s="34" t="s">
        <v>680</v>
      </c>
      <c r="N64" s="2"/>
      <c r="Z64" s="35">
        <f>IF(AQ64="5",BJ64,0)</f>
        <v>0</v>
      </c>
      <c r="AB64" s="35">
        <f>H64</f>
        <v>0</v>
      </c>
      <c r="AC64" s="35">
        <f>I64</f>
        <v>0</v>
      </c>
      <c r="AD64" s="35">
        <f>IF(AQ64="7",BH64,0)</f>
        <v>0</v>
      </c>
      <c r="AE64" s="35">
        <f>IF(AQ64="7",BI64,0)</f>
        <v>0</v>
      </c>
      <c r="AF64" s="35">
        <f>IF(AQ64="2",BH64,0)</f>
        <v>0</v>
      </c>
      <c r="AG64" s="35">
        <f>IF(AQ64="2",BI64,0)</f>
        <v>0</v>
      </c>
      <c r="AH64" s="35">
        <f>IF(AQ64="0",BJ64,0)</f>
        <v>0</v>
      </c>
      <c r="AI64" s="10" t="s">
        <v>160</v>
      </c>
      <c r="AJ64" s="33">
        <f>IF(AN64=0,J64,0)</f>
        <v>0</v>
      </c>
      <c r="AK64" s="33">
        <f>IF(AN64=15,J64,0)</f>
        <v>0</v>
      </c>
      <c r="AL64" s="33">
        <f>IF(AN64=21,J64,0)</f>
        <v>0</v>
      </c>
      <c r="AN64" s="35">
        <v>21</v>
      </c>
      <c r="AO64" s="35">
        <f>G64*0.139205298013245</f>
        <v>0</v>
      </c>
      <c r="AP64" s="35">
        <f>G64*(1-0.139205298013245)</f>
        <v>0</v>
      </c>
      <c r="AQ64" s="36" t="s">
        <v>6</v>
      </c>
      <c r="AV64" s="35">
        <f>AW64+AX64</f>
        <v>0</v>
      </c>
      <c r="AW64" s="35">
        <f>F64*AO64</f>
        <v>0</v>
      </c>
      <c r="AX64" s="35">
        <f>F64*AP64</f>
        <v>0</v>
      </c>
      <c r="AY64" s="37" t="s">
        <v>696</v>
      </c>
      <c r="AZ64" s="37" t="s">
        <v>711</v>
      </c>
      <c r="BA64" s="10" t="s">
        <v>720</v>
      </c>
      <c r="BC64" s="35">
        <f>AW64+AX64</f>
        <v>0</v>
      </c>
      <c r="BD64" s="35">
        <f>G64/(100-BE64)*100</f>
        <v>0</v>
      </c>
      <c r="BE64" s="35">
        <v>0</v>
      </c>
      <c r="BF64" s="35">
        <f>L64</f>
        <v>0.88977</v>
      </c>
      <c r="BH64" s="33">
        <f>F64*AO64</f>
        <v>0</v>
      </c>
      <c r="BI64" s="33">
        <f>F64*AP64</f>
        <v>0</v>
      </c>
      <c r="BJ64" s="33">
        <f>F64*G64</f>
        <v>0</v>
      </c>
      <c r="BK64" s="33" t="s">
        <v>728</v>
      </c>
      <c r="BL64" s="35">
        <v>96</v>
      </c>
    </row>
    <row r="65" spans="1:14" ht="12.75">
      <c r="A65" s="2"/>
      <c r="D65" s="38" t="s">
        <v>384</v>
      </c>
      <c r="F65" s="39">
        <v>21</v>
      </c>
      <c r="M65" s="40"/>
      <c r="N65" s="2"/>
    </row>
    <row r="66" spans="1:64" ht="12.75">
      <c r="A66" s="31" t="s">
        <v>29</v>
      </c>
      <c r="B66" s="32" t="s">
        <v>160</v>
      </c>
      <c r="C66" s="32" t="s">
        <v>193</v>
      </c>
      <c r="D66" s="32" t="s">
        <v>385</v>
      </c>
      <c r="E66" s="32" t="s">
        <v>649</v>
      </c>
      <c r="F66" s="33">
        <v>113</v>
      </c>
      <c r="G66" s="33">
        <f>J66/F66</f>
        <v>0</v>
      </c>
      <c r="H66" s="61">
        <v>0</v>
      </c>
      <c r="I66" s="61">
        <v>0</v>
      </c>
      <c r="J66" s="33">
        <f>H66+I66</f>
        <v>0</v>
      </c>
      <c r="K66" s="33">
        <v>0.03469</v>
      </c>
      <c r="L66" s="33">
        <f>F66*K66</f>
        <v>3.9199699999999997</v>
      </c>
      <c r="M66" s="34" t="s">
        <v>680</v>
      </c>
      <c r="N66" s="2"/>
      <c r="Z66" s="35">
        <f>IF(AQ66="5",BJ66,0)</f>
        <v>0</v>
      </c>
      <c r="AB66" s="35">
        <f>H66</f>
        <v>0</v>
      </c>
      <c r="AC66" s="35">
        <f>I66</f>
        <v>0</v>
      </c>
      <c r="AD66" s="35">
        <f>IF(AQ66="7",BH66,0)</f>
        <v>0</v>
      </c>
      <c r="AE66" s="35">
        <f>IF(AQ66="7",BI66,0)</f>
        <v>0</v>
      </c>
      <c r="AF66" s="35">
        <f>IF(AQ66="2",BH66,0)</f>
        <v>0</v>
      </c>
      <c r="AG66" s="35">
        <f>IF(AQ66="2",BI66,0)</f>
        <v>0</v>
      </c>
      <c r="AH66" s="35">
        <f>IF(AQ66="0",BJ66,0)</f>
        <v>0</v>
      </c>
      <c r="AI66" s="10" t="s">
        <v>160</v>
      </c>
      <c r="AJ66" s="33">
        <f>IF(AN66=0,J66,0)</f>
        <v>0</v>
      </c>
      <c r="AK66" s="33">
        <f>IF(AN66=15,J66,0)</f>
        <v>0</v>
      </c>
      <c r="AL66" s="33">
        <f>IF(AN66=21,J66,0)</f>
        <v>0</v>
      </c>
      <c r="AN66" s="35">
        <v>21</v>
      </c>
      <c r="AO66" s="35">
        <f>G66*0.114532374100719</f>
        <v>0</v>
      </c>
      <c r="AP66" s="35">
        <f>G66*(1-0.114532374100719)</f>
        <v>0</v>
      </c>
      <c r="AQ66" s="36" t="s">
        <v>6</v>
      </c>
      <c r="AV66" s="35">
        <f>AW66+AX66</f>
        <v>0</v>
      </c>
      <c r="AW66" s="35">
        <f>F66*AO66</f>
        <v>0</v>
      </c>
      <c r="AX66" s="35">
        <f>F66*AP66</f>
        <v>0</v>
      </c>
      <c r="AY66" s="37" t="s">
        <v>696</v>
      </c>
      <c r="AZ66" s="37" t="s">
        <v>711</v>
      </c>
      <c r="BA66" s="10" t="s">
        <v>720</v>
      </c>
      <c r="BC66" s="35">
        <f>AW66+AX66</f>
        <v>0</v>
      </c>
      <c r="BD66" s="35">
        <f>G66/(100-BE66)*100</f>
        <v>0</v>
      </c>
      <c r="BE66" s="35">
        <v>0</v>
      </c>
      <c r="BF66" s="35">
        <f>L66</f>
        <v>3.9199699999999997</v>
      </c>
      <c r="BH66" s="33">
        <f>F66*AO66</f>
        <v>0</v>
      </c>
      <c r="BI66" s="33">
        <f>F66*AP66</f>
        <v>0</v>
      </c>
      <c r="BJ66" s="33">
        <f>F66*G66</f>
        <v>0</v>
      </c>
      <c r="BK66" s="33" t="s">
        <v>728</v>
      </c>
      <c r="BL66" s="35">
        <v>96</v>
      </c>
    </row>
    <row r="67" spans="1:14" ht="12.75">
      <c r="A67" s="2"/>
      <c r="D67" s="38" t="s">
        <v>386</v>
      </c>
      <c r="F67" s="39">
        <v>113</v>
      </c>
      <c r="M67" s="40"/>
      <c r="N67" s="2"/>
    </row>
    <row r="68" spans="1:64" ht="12.75">
      <c r="A68" s="31" t="s">
        <v>30</v>
      </c>
      <c r="B68" s="32" t="s">
        <v>160</v>
      </c>
      <c r="C68" s="32" t="s">
        <v>194</v>
      </c>
      <c r="D68" s="32" t="s">
        <v>387</v>
      </c>
      <c r="E68" s="32" t="s">
        <v>652</v>
      </c>
      <c r="F68" s="33">
        <v>23</v>
      </c>
      <c r="G68" s="33">
        <f>J68/F68</f>
        <v>0</v>
      </c>
      <c r="H68" s="61">
        <v>0</v>
      </c>
      <c r="I68" s="61">
        <v>0</v>
      </c>
      <c r="J68" s="33">
        <f>H68+I68</f>
        <v>0</v>
      </c>
      <c r="K68" s="33">
        <v>0</v>
      </c>
      <c r="L68" s="33">
        <f>F68*K68</f>
        <v>0</v>
      </c>
      <c r="M68" s="34" t="s">
        <v>680</v>
      </c>
      <c r="N68" s="2"/>
      <c r="Z68" s="35">
        <f>IF(AQ68="5",BJ68,0)</f>
        <v>0</v>
      </c>
      <c r="AB68" s="35">
        <f>H68</f>
        <v>0</v>
      </c>
      <c r="AC68" s="35">
        <f>I68</f>
        <v>0</v>
      </c>
      <c r="AD68" s="35">
        <f>IF(AQ68="7",BH68,0)</f>
        <v>0</v>
      </c>
      <c r="AE68" s="35">
        <f>IF(AQ68="7",BI68,0)</f>
        <v>0</v>
      </c>
      <c r="AF68" s="35">
        <f>IF(AQ68="2",BH68,0)</f>
        <v>0</v>
      </c>
      <c r="AG68" s="35">
        <f>IF(AQ68="2",BI68,0)</f>
        <v>0</v>
      </c>
      <c r="AH68" s="35">
        <f>IF(AQ68="0",BJ68,0)</f>
        <v>0</v>
      </c>
      <c r="AI68" s="10" t="s">
        <v>160</v>
      </c>
      <c r="AJ68" s="33">
        <f>IF(AN68=0,J68,0)</f>
        <v>0</v>
      </c>
      <c r="AK68" s="33">
        <f>IF(AN68=15,J68,0)</f>
        <v>0</v>
      </c>
      <c r="AL68" s="33">
        <f>IF(AN68=21,J68,0)</f>
        <v>0</v>
      </c>
      <c r="AN68" s="35">
        <v>21</v>
      </c>
      <c r="AO68" s="35">
        <f>G68*0</f>
        <v>0</v>
      </c>
      <c r="AP68" s="35">
        <f>G68*(1-0)</f>
        <v>0</v>
      </c>
      <c r="AQ68" s="36" t="s">
        <v>6</v>
      </c>
      <c r="AV68" s="35">
        <f>AW68+AX68</f>
        <v>0</v>
      </c>
      <c r="AW68" s="35">
        <f>F68*AO68</f>
        <v>0</v>
      </c>
      <c r="AX68" s="35">
        <f>F68*AP68</f>
        <v>0</v>
      </c>
      <c r="AY68" s="37" t="s">
        <v>696</v>
      </c>
      <c r="AZ68" s="37" t="s">
        <v>711</v>
      </c>
      <c r="BA68" s="10" t="s">
        <v>720</v>
      </c>
      <c r="BC68" s="35">
        <f>AW68+AX68</f>
        <v>0</v>
      </c>
      <c r="BD68" s="35">
        <f>G68/(100-BE68)*100</f>
        <v>0</v>
      </c>
      <c r="BE68" s="35">
        <v>0</v>
      </c>
      <c r="BF68" s="35">
        <f>L68</f>
        <v>0</v>
      </c>
      <c r="BH68" s="33">
        <f>F68*AO68</f>
        <v>0</v>
      </c>
      <c r="BI68" s="33">
        <f>F68*AP68</f>
        <v>0</v>
      </c>
      <c r="BJ68" s="33">
        <f>F68*G68</f>
        <v>0</v>
      </c>
      <c r="BK68" s="33" t="s">
        <v>728</v>
      </c>
      <c r="BL68" s="35">
        <v>96</v>
      </c>
    </row>
    <row r="69" spans="1:14" ht="12.75">
      <c r="A69" s="2"/>
      <c r="D69" s="38" t="s">
        <v>388</v>
      </c>
      <c r="F69" s="39">
        <v>23</v>
      </c>
      <c r="M69" s="40"/>
      <c r="N69" s="2"/>
    </row>
    <row r="70" spans="1:64" ht="12.75">
      <c r="A70" s="31" t="s">
        <v>31</v>
      </c>
      <c r="B70" s="32" t="s">
        <v>160</v>
      </c>
      <c r="C70" s="32" t="s">
        <v>195</v>
      </c>
      <c r="D70" s="32" t="s">
        <v>389</v>
      </c>
      <c r="E70" s="32" t="s">
        <v>652</v>
      </c>
      <c r="F70" s="33">
        <v>1</v>
      </c>
      <c r="G70" s="33">
        <f>J70/F70</f>
        <v>0</v>
      </c>
      <c r="H70" s="61">
        <v>0</v>
      </c>
      <c r="I70" s="61">
        <v>0</v>
      </c>
      <c r="J70" s="33">
        <f>H70+I70</f>
        <v>0</v>
      </c>
      <c r="K70" s="33">
        <v>0</v>
      </c>
      <c r="L70" s="33">
        <f>F70*K70</f>
        <v>0</v>
      </c>
      <c r="M70" s="34" t="s">
        <v>680</v>
      </c>
      <c r="N70" s="2"/>
      <c r="Z70" s="35">
        <f>IF(AQ70="5",BJ70,0)</f>
        <v>0</v>
      </c>
      <c r="AB70" s="35">
        <f>H70</f>
        <v>0</v>
      </c>
      <c r="AC70" s="35">
        <f>I70</f>
        <v>0</v>
      </c>
      <c r="AD70" s="35">
        <f>IF(AQ70="7",BH70,0)</f>
        <v>0</v>
      </c>
      <c r="AE70" s="35">
        <f>IF(AQ70="7",BI70,0)</f>
        <v>0</v>
      </c>
      <c r="AF70" s="35">
        <f>IF(AQ70="2",BH70,0)</f>
        <v>0</v>
      </c>
      <c r="AG70" s="35">
        <f>IF(AQ70="2",BI70,0)</f>
        <v>0</v>
      </c>
      <c r="AH70" s="35">
        <f>IF(AQ70="0",BJ70,0)</f>
        <v>0</v>
      </c>
      <c r="AI70" s="10" t="s">
        <v>160</v>
      </c>
      <c r="AJ70" s="33">
        <f>IF(AN70=0,J70,0)</f>
        <v>0</v>
      </c>
      <c r="AK70" s="33">
        <f>IF(AN70=15,J70,0)</f>
        <v>0</v>
      </c>
      <c r="AL70" s="33">
        <f>IF(AN70=21,J70,0)</f>
        <v>0</v>
      </c>
      <c r="AN70" s="35">
        <v>21</v>
      </c>
      <c r="AO70" s="35">
        <f>G70*0</f>
        <v>0</v>
      </c>
      <c r="AP70" s="35">
        <f>G70*(1-0)</f>
        <v>0</v>
      </c>
      <c r="AQ70" s="36" t="s">
        <v>6</v>
      </c>
      <c r="AV70" s="35">
        <f>AW70+AX70</f>
        <v>0</v>
      </c>
      <c r="AW70" s="35">
        <f>F70*AO70</f>
        <v>0</v>
      </c>
      <c r="AX70" s="35">
        <f>F70*AP70</f>
        <v>0</v>
      </c>
      <c r="AY70" s="37" t="s">
        <v>696</v>
      </c>
      <c r="AZ70" s="37" t="s">
        <v>711</v>
      </c>
      <c r="BA70" s="10" t="s">
        <v>720</v>
      </c>
      <c r="BC70" s="35">
        <f>AW70+AX70</f>
        <v>0</v>
      </c>
      <c r="BD70" s="35">
        <f>G70/(100-BE70)*100</f>
        <v>0</v>
      </c>
      <c r="BE70" s="35">
        <v>0</v>
      </c>
      <c r="BF70" s="35">
        <f>L70</f>
        <v>0</v>
      </c>
      <c r="BH70" s="33">
        <f>F70*AO70</f>
        <v>0</v>
      </c>
      <c r="BI70" s="33">
        <f>F70*AP70</f>
        <v>0</v>
      </c>
      <c r="BJ70" s="33">
        <f>F70*G70</f>
        <v>0</v>
      </c>
      <c r="BK70" s="33" t="s">
        <v>728</v>
      </c>
      <c r="BL70" s="35">
        <v>96</v>
      </c>
    </row>
    <row r="71" spans="1:14" ht="12.75">
      <c r="A71" s="2"/>
      <c r="D71" s="38" t="s">
        <v>390</v>
      </c>
      <c r="F71" s="39">
        <v>1</v>
      </c>
      <c r="M71" s="40"/>
      <c r="N71" s="2"/>
    </row>
    <row r="72" spans="1:64" ht="12.75">
      <c r="A72" s="31" t="s">
        <v>32</v>
      </c>
      <c r="B72" s="32" t="s">
        <v>160</v>
      </c>
      <c r="C72" s="32" t="s">
        <v>196</v>
      </c>
      <c r="D72" s="32" t="s">
        <v>391</v>
      </c>
      <c r="E72" s="32" t="s">
        <v>652</v>
      </c>
      <c r="F72" s="33">
        <v>16</v>
      </c>
      <c r="G72" s="33">
        <f>J72/F72</f>
        <v>0</v>
      </c>
      <c r="H72" s="61">
        <v>0</v>
      </c>
      <c r="I72" s="61">
        <v>0</v>
      </c>
      <c r="J72" s="33">
        <f>H72+I72</f>
        <v>0</v>
      </c>
      <c r="K72" s="33">
        <v>0</v>
      </c>
      <c r="L72" s="33">
        <f>F72*K72</f>
        <v>0</v>
      </c>
      <c r="M72" s="34" t="s">
        <v>680</v>
      </c>
      <c r="N72" s="2"/>
      <c r="Z72" s="35">
        <f>IF(AQ72="5",BJ72,0)</f>
        <v>0</v>
      </c>
      <c r="AB72" s="35">
        <f>H72</f>
        <v>0</v>
      </c>
      <c r="AC72" s="35">
        <f>I72</f>
        <v>0</v>
      </c>
      <c r="AD72" s="35">
        <f>IF(AQ72="7",BH72,0)</f>
        <v>0</v>
      </c>
      <c r="AE72" s="35">
        <f>IF(AQ72="7",BI72,0)</f>
        <v>0</v>
      </c>
      <c r="AF72" s="35">
        <f>IF(AQ72="2",BH72,0)</f>
        <v>0</v>
      </c>
      <c r="AG72" s="35">
        <f>IF(AQ72="2",BI72,0)</f>
        <v>0</v>
      </c>
      <c r="AH72" s="35">
        <f>IF(AQ72="0",BJ72,0)</f>
        <v>0</v>
      </c>
      <c r="AI72" s="10" t="s">
        <v>160</v>
      </c>
      <c r="AJ72" s="33">
        <f>IF(AN72=0,J72,0)</f>
        <v>0</v>
      </c>
      <c r="AK72" s="33">
        <f>IF(AN72=15,J72,0)</f>
        <v>0</v>
      </c>
      <c r="AL72" s="33">
        <f>IF(AN72=21,J72,0)</f>
        <v>0</v>
      </c>
      <c r="AN72" s="35">
        <v>21</v>
      </c>
      <c r="AO72" s="35">
        <f>G72*0</f>
        <v>0</v>
      </c>
      <c r="AP72" s="35">
        <f>G72*(1-0)</f>
        <v>0</v>
      </c>
      <c r="AQ72" s="36" t="s">
        <v>6</v>
      </c>
      <c r="AV72" s="35">
        <f>AW72+AX72</f>
        <v>0</v>
      </c>
      <c r="AW72" s="35">
        <f>F72*AO72</f>
        <v>0</v>
      </c>
      <c r="AX72" s="35">
        <f>F72*AP72</f>
        <v>0</v>
      </c>
      <c r="AY72" s="37" t="s">
        <v>696</v>
      </c>
      <c r="AZ72" s="37" t="s">
        <v>711</v>
      </c>
      <c r="BA72" s="10" t="s">
        <v>720</v>
      </c>
      <c r="BC72" s="35">
        <f>AW72+AX72</f>
        <v>0</v>
      </c>
      <c r="BD72" s="35">
        <f>G72/(100-BE72)*100</f>
        <v>0</v>
      </c>
      <c r="BE72" s="35">
        <v>0</v>
      </c>
      <c r="BF72" s="35">
        <f>L72</f>
        <v>0</v>
      </c>
      <c r="BH72" s="33">
        <f>F72*AO72</f>
        <v>0</v>
      </c>
      <c r="BI72" s="33">
        <f>F72*AP72</f>
        <v>0</v>
      </c>
      <c r="BJ72" s="33">
        <f>F72*G72</f>
        <v>0</v>
      </c>
      <c r="BK72" s="33" t="s">
        <v>728</v>
      </c>
      <c r="BL72" s="35">
        <v>96</v>
      </c>
    </row>
    <row r="73" spans="1:14" ht="12.75">
      <c r="A73" s="2"/>
      <c r="D73" s="38" t="s">
        <v>392</v>
      </c>
      <c r="F73" s="39">
        <v>16</v>
      </c>
      <c r="M73" s="40"/>
      <c r="N73" s="2"/>
    </row>
    <row r="74" spans="1:64" ht="12.75">
      <c r="A74" s="31" t="s">
        <v>33</v>
      </c>
      <c r="B74" s="32" t="s">
        <v>160</v>
      </c>
      <c r="C74" s="32" t="s">
        <v>197</v>
      </c>
      <c r="D74" s="32" t="s">
        <v>393</v>
      </c>
      <c r="E74" s="32" t="s">
        <v>649</v>
      </c>
      <c r="F74" s="33">
        <v>11</v>
      </c>
      <c r="G74" s="33">
        <f>J74/F74</f>
        <v>0</v>
      </c>
      <c r="H74" s="61">
        <v>0</v>
      </c>
      <c r="I74" s="61">
        <v>0</v>
      </c>
      <c r="J74" s="33">
        <f>H74+I74</f>
        <v>0</v>
      </c>
      <c r="K74" s="33">
        <v>0.07717</v>
      </c>
      <c r="L74" s="33">
        <f>F74*K74</f>
        <v>0.84887</v>
      </c>
      <c r="M74" s="34" t="s">
        <v>680</v>
      </c>
      <c r="N74" s="2"/>
      <c r="Z74" s="35">
        <f>IF(AQ74="5",BJ74,0)</f>
        <v>0</v>
      </c>
      <c r="AB74" s="35">
        <f>H74</f>
        <v>0</v>
      </c>
      <c r="AC74" s="35">
        <f>I74</f>
        <v>0</v>
      </c>
      <c r="AD74" s="35">
        <f>IF(AQ74="7",BH74,0)</f>
        <v>0</v>
      </c>
      <c r="AE74" s="35">
        <f>IF(AQ74="7",BI74,0)</f>
        <v>0</v>
      </c>
      <c r="AF74" s="35">
        <f>IF(AQ74="2",BH74,0)</f>
        <v>0</v>
      </c>
      <c r="AG74" s="35">
        <f>IF(AQ74="2",BI74,0)</f>
        <v>0</v>
      </c>
      <c r="AH74" s="35">
        <f>IF(AQ74="0",BJ74,0)</f>
        <v>0</v>
      </c>
      <c r="AI74" s="10" t="s">
        <v>160</v>
      </c>
      <c r="AJ74" s="33">
        <f>IF(AN74=0,J74,0)</f>
        <v>0</v>
      </c>
      <c r="AK74" s="33">
        <f>IF(AN74=15,J74,0)</f>
        <v>0</v>
      </c>
      <c r="AL74" s="33">
        <f>IF(AN74=21,J74,0)</f>
        <v>0</v>
      </c>
      <c r="AN74" s="35">
        <v>21</v>
      </c>
      <c r="AO74" s="35">
        <f>G74*0.0714456455339832</f>
        <v>0</v>
      </c>
      <c r="AP74" s="35">
        <f>G74*(1-0.0714456455339832)</f>
        <v>0</v>
      </c>
      <c r="AQ74" s="36" t="s">
        <v>6</v>
      </c>
      <c r="AV74" s="35">
        <f>AW74+AX74</f>
        <v>0</v>
      </c>
      <c r="AW74" s="35">
        <f>F74*AO74</f>
        <v>0</v>
      </c>
      <c r="AX74" s="35">
        <f>F74*AP74</f>
        <v>0</v>
      </c>
      <c r="AY74" s="37" t="s">
        <v>696</v>
      </c>
      <c r="AZ74" s="37" t="s">
        <v>711</v>
      </c>
      <c r="BA74" s="10" t="s">
        <v>720</v>
      </c>
      <c r="BC74" s="35">
        <f>AW74+AX74</f>
        <v>0</v>
      </c>
      <c r="BD74" s="35">
        <f>G74/(100-BE74)*100</f>
        <v>0</v>
      </c>
      <c r="BE74" s="35">
        <v>0</v>
      </c>
      <c r="BF74" s="35">
        <f>L74</f>
        <v>0.84887</v>
      </c>
      <c r="BH74" s="33">
        <f>F74*AO74</f>
        <v>0</v>
      </c>
      <c r="BI74" s="33">
        <f>F74*AP74</f>
        <v>0</v>
      </c>
      <c r="BJ74" s="33">
        <f>F74*G74</f>
        <v>0</v>
      </c>
      <c r="BK74" s="33" t="s">
        <v>728</v>
      </c>
      <c r="BL74" s="35">
        <v>96</v>
      </c>
    </row>
    <row r="75" spans="1:14" ht="12.75">
      <c r="A75" s="2"/>
      <c r="D75" s="38" t="s">
        <v>394</v>
      </c>
      <c r="F75" s="39">
        <v>11</v>
      </c>
      <c r="M75" s="40"/>
      <c r="N75" s="2"/>
    </row>
    <row r="76" spans="1:64" ht="12.75">
      <c r="A76" s="31" t="s">
        <v>34</v>
      </c>
      <c r="B76" s="32" t="s">
        <v>160</v>
      </c>
      <c r="C76" s="32" t="s">
        <v>198</v>
      </c>
      <c r="D76" s="32" t="s">
        <v>395</v>
      </c>
      <c r="E76" s="32" t="s">
        <v>649</v>
      </c>
      <c r="F76" s="33">
        <v>6</v>
      </c>
      <c r="G76" s="33">
        <f>J76/F76</f>
        <v>0</v>
      </c>
      <c r="H76" s="61">
        <v>0</v>
      </c>
      <c r="I76" s="61">
        <v>0</v>
      </c>
      <c r="J76" s="33">
        <f>H76+I76</f>
        <v>0</v>
      </c>
      <c r="K76" s="33">
        <v>0.064</v>
      </c>
      <c r="L76" s="33">
        <f>F76*K76</f>
        <v>0.384</v>
      </c>
      <c r="M76" s="34" t="s">
        <v>680</v>
      </c>
      <c r="N76" s="2"/>
      <c r="Z76" s="35">
        <f>IF(AQ76="5",BJ76,0)</f>
        <v>0</v>
      </c>
      <c r="AB76" s="35">
        <f>H76</f>
        <v>0</v>
      </c>
      <c r="AC76" s="35">
        <f>I76</f>
        <v>0</v>
      </c>
      <c r="AD76" s="35">
        <f>IF(AQ76="7",BH76,0)</f>
        <v>0</v>
      </c>
      <c r="AE76" s="35">
        <f>IF(AQ76="7",BI76,0)</f>
        <v>0</v>
      </c>
      <c r="AF76" s="35">
        <f>IF(AQ76="2",BH76,0)</f>
        <v>0</v>
      </c>
      <c r="AG76" s="35">
        <f>IF(AQ76="2",BI76,0)</f>
        <v>0</v>
      </c>
      <c r="AH76" s="35">
        <f>IF(AQ76="0",BJ76,0)</f>
        <v>0</v>
      </c>
      <c r="AI76" s="10" t="s">
        <v>160</v>
      </c>
      <c r="AJ76" s="33">
        <f>IF(AN76=0,J76,0)</f>
        <v>0</v>
      </c>
      <c r="AK76" s="33">
        <f>IF(AN76=15,J76,0)</f>
        <v>0</v>
      </c>
      <c r="AL76" s="33">
        <f>IF(AN76=21,J76,0)</f>
        <v>0</v>
      </c>
      <c r="AN76" s="35">
        <v>21</v>
      </c>
      <c r="AO76" s="35">
        <f>G76*0.0790378006872852</f>
        <v>0</v>
      </c>
      <c r="AP76" s="35">
        <f>G76*(1-0.0790378006872852)</f>
        <v>0</v>
      </c>
      <c r="AQ76" s="36" t="s">
        <v>6</v>
      </c>
      <c r="AV76" s="35">
        <f>AW76+AX76</f>
        <v>0</v>
      </c>
      <c r="AW76" s="35">
        <f>F76*AO76</f>
        <v>0</v>
      </c>
      <c r="AX76" s="35">
        <f>F76*AP76</f>
        <v>0</v>
      </c>
      <c r="AY76" s="37" t="s">
        <v>696</v>
      </c>
      <c r="AZ76" s="37" t="s">
        <v>711</v>
      </c>
      <c r="BA76" s="10" t="s">
        <v>720</v>
      </c>
      <c r="BC76" s="35">
        <f>AW76+AX76</f>
        <v>0</v>
      </c>
      <c r="BD76" s="35">
        <f>G76/(100-BE76)*100</f>
        <v>0</v>
      </c>
      <c r="BE76" s="35">
        <v>0</v>
      </c>
      <c r="BF76" s="35">
        <f>L76</f>
        <v>0.384</v>
      </c>
      <c r="BH76" s="33">
        <f>F76*AO76</f>
        <v>0</v>
      </c>
      <c r="BI76" s="33">
        <f>F76*AP76</f>
        <v>0</v>
      </c>
      <c r="BJ76" s="33">
        <f>F76*G76</f>
        <v>0</v>
      </c>
      <c r="BK76" s="33" t="s">
        <v>728</v>
      </c>
      <c r="BL76" s="35">
        <v>96</v>
      </c>
    </row>
    <row r="77" spans="1:14" ht="12.75">
      <c r="A77" s="2"/>
      <c r="D77" s="38" t="s">
        <v>396</v>
      </c>
      <c r="F77" s="39">
        <v>6</v>
      </c>
      <c r="M77" s="40"/>
      <c r="N77" s="2"/>
    </row>
    <row r="78" spans="1:64" ht="12.75">
      <c r="A78" s="31" t="s">
        <v>35</v>
      </c>
      <c r="B78" s="32" t="s">
        <v>160</v>
      </c>
      <c r="C78" s="32" t="s">
        <v>199</v>
      </c>
      <c r="D78" s="32" t="s">
        <v>397</v>
      </c>
      <c r="E78" s="32" t="s">
        <v>649</v>
      </c>
      <c r="F78" s="33">
        <v>33.6</v>
      </c>
      <c r="G78" s="33">
        <f>J78/F78</f>
        <v>0</v>
      </c>
      <c r="H78" s="61">
        <v>0</v>
      </c>
      <c r="I78" s="61">
        <v>0</v>
      </c>
      <c r="J78" s="33">
        <f>H78+I78</f>
        <v>0</v>
      </c>
      <c r="K78" s="33">
        <v>0.05567</v>
      </c>
      <c r="L78" s="33">
        <f>F78*K78</f>
        <v>1.870512</v>
      </c>
      <c r="M78" s="34" t="s">
        <v>680</v>
      </c>
      <c r="N78" s="2"/>
      <c r="Z78" s="35">
        <f>IF(AQ78="5",BJ78,0)</f>
        <v>0</v>
      </c>
      <c r="AB78" s="35">
        <f>H78</f>
        <v>0</v>
      </c>
      <c r="AC78" s="35">
        <f>I78</f>
        <v>0</v>
      </c>
      <c r="AD78" s="35">
        <f>IF(AQ78="7",BH78,0)</f>
        <v>0</v>
      </c>
      <c r="AE78" s="35">
        <f>IF(AQ78="7",BI78,0)</f>
        <v>0</v>
      </c>
      <c r="AF78" s="35">
        <f>IF(AQ78="2",BH78,0)</f>
        <v>0</v>
      </c>
      <c r="AG78" s="35">
        <f>IF(AQ78="2",BI78,0)</f>
        <v>0</v>
      </c>
      <c r="AH78" s="35">
        <f>IF(AQ78="0",BJ78,0)</f>
        <v>0</v>
      </c>
      <c r="AI78" s="10" t="s">
        <v>160</v>
      </c>
      <c r="AJ78" s="33">
        <f>IF(AN78=0,J78,0)</f>
        <v>0</v>
      </c>
      <c r="AK78" s="33">
        <f>IF(AN78=15,J78,0)</f>
        <v>0</v>
      </c>
      <c r="AL78" s="33">
        <f>IF(AN78=21,J78,0)</f>
        <v>0</v>
      </c>
      <c r="AN78" s="35">
        <v>21</v>
      </c>
      <c r="AO78" s="35">
        <f>G78*0.0968354430379747</f>
        <v>0</v>
      </c>
      <c r="AP78" s="35">
        <f>G78*(1-0.0968354430379747)</f>
        <v>0</v>
      </c>
      <c r="AQ78" s="36" t="s">
        <v>6</v>
      </c>
      <c r="AV78" s="35">
        <f>AW78+AX78</f>
        <v>0</v>
      </c>
      <c r="AW78" s="35">
        <f>F78*AO78</f>
        <v>0</v>
      </c>
      <c r="AX78" s="35">
        <f>F78*AP78</f>
        <v>0</v>
      </c>
      <c r="AY78" s="37" t="s">
        <v>696</v>
      </c>
      <c r="AZ78" s="37" t="s">
        <v>711</v>
      </c>
      <c r="BA78" s="10" t="s">
        <v>720</v>
      </c>
      <c r="BC78" s="35">
        <f>AW78+AX78</f>
        <v>0</v>
      </c>
      <c r="BD78" s="35">
        <f>G78/(100-BE78)*100</f>
        <v>0</v>
      </c>
      <c r="BE78" s="35">
        <v>0</v>
      </c>
      <c r="BF78" s="35">
        <f>L78</f>
        <v>1.870512</v>
      </c>
      <c r="BH78" s="33">
        <f>F78*AO78</f>
        <v>0</v>
      </c>
      <c r="BI78" s="33">
        <f>F78*AP78</f>
        <v>0</v>
      </c>
      <c r="BJ78" s="33">
        <f>F78*G78</f>
        <v>0</v>
      </c>
      <c r="BK78" s="33" t="s">
        <v>728</v>
      </c>
      <c r="BL78" s="35">
        <v>96</v>
      </c>
    </row>
    <row r="79" spans="1:14" ht="12.75">
      <c r="A79" s="2"/>
      <c r="D79" s="38" t="s">
        <v>398</v>
      </c>
      <c r="F79" s="39">
        <v>33.6</v>
      </c>
      <c r="M79" s="40"/>
      <c r="N79" s="2"/>
    </row>
    <row r="80" spans="1:64" ht="12.75">
      <c r="A80" s="31" t="s">
        <v>36</v>
      </c>
      <c r="B80" s="32" t="s">
        <v>160</v>
      </c>
      <c r="C80" s="32" t="s">
        <v>200</v>
      </c>
      <c r="D80" s="32" t="s">
        <v>399</v>
      </c>
      <c r="E80" s="32" t="s">
        <v>649</v>
      </c>
      <c r="F80" s="33">
        <v>37.5</v>
      </c>
      <c r="G80" s="33">
        <f>J80/F80</f>
        <v>0</v>
      </c>
      <c r="H80" s="61">
        <v>0</v>
      </c>
      <c r="I80" s="61">
        <v>0</v>
      </c>
      <c r="J80" s="33">
        <f>H80+I80</f>
        <v>0</v>
      </c>
      <c r="K80" s="33">
        <v>0</v>
      </c>
      <c r="L80" s="33">
        <f>F80*K80</f>
        <v>0</v>
      </c>
      <c r="M80" s="34" t="s">
        <v>680</v>
      </c>
      <c r="N80" s="2"/>
      <c r="Z80" s="35">
        <f>IF(AQ80="5",BJ80,0)</f>
        <v>0</v>
      </c>
      <c r="AB80" s="35">
        <f>H80</f>
        <v>0</v>
      </c>
      <c r="AC80" s="35">
        <f>I80</f>
        <v>0</v>
      </c>
      <c r="AD80" s="35">
        <f>IF(AQ80="7",BH80,0)</f>
        <v>0</v>
      </c>
      <c r="AE80" s="35">
        <f>IF(AQ80="7",BI80,0)</f>
        <v>0</v>
      </c>
      <c r="AF80" s="35">
        <f>IF(AQ80="2",BH80,0)</f>
        <v>0</v>
      </c>
      <c r="AG80" s="35">
        <f>IF(AQ80="2",BI80,0)</f>
        <v>0</v>
      </c>
      <c r="AH80" s="35">
        <f>IF(AQ80="0",BJ80,0)</f>
        <v>0</v>
      </c>
      <c r="AI80" s="10" t="s">
        <v>160</v>
      </c>
      <c r="AJ80" s="33">
        <f>IF(AN80=0,J80,0)</f>
        <v>0</v>
      </c>
      <c r="AK80" s="33">
        <f>IF(AN80=15,J80,0)</f>
        <v>0</v>
      </c>
      <c r="AL80" s="33">
        <f>IF(AN80=21,J80,0)</f>
        <v>0</v>
      </c>
      <c r="AN80" s="35">
        <v>21</v>
      </c>
      <c r="AO80" s="35">
        <f>G80*0</f>
        <v>0</v>
      </c>
      <c r="AP80" s="35">
        <f>G80*(1-0)</f>
        <v>0</v>
      </c>
      <c r="AQ80" s="36" t="s">
        <v>6</v>
      </c>
      <c r="AV80" s="35">
        <f>AW80+AX80</f>
        <v>0</v>
      </c>
      <c r="AW80" s="35">
        <f>F80*AO80</f>
        <v>0</v>
      </c>
      <c r="AX80" s="35">
        <f>F80*AP80</f>
        <v>0</v>
      </c>
      <c r="AY80" s="37" t="s">
        <v>696</v>
      </c>
      <c r="AZ80" s="37" t="s">
        <v>711</v>
      </c>
      <c r="BA80" s="10" t="s">
        <v>720</v>
      </c>
      <c r="BC80" s="35">
        <f>AW80+AX80</f>
        <v>0</v>
      </c>
      <c r="BD80" s="35">
        <f>G80/(100-BE80)*100</f>
        <v>0</v>
      </c>
      <c r="BE80" s="35">
        <v>0</v>
      </c>
      <c r="BF80" s="35">
        <f>L80</f>
        <v>0</v>
      </c>
      <c r="BH80" s="33">
        <f>F80*AO80</f>
        <v>0</v>
      </c>
      <c r="BI80" s="33">
        <f>F80*AP80</f>
        <v>0</v>
      </c>
      <c r="BJ80" s="33">
        <f>F80*G80</f>
        <v>0</v>
      </c>
      <c r="BK80" s="33" t="s">
        <v>728</v>
      </c>
      <c r="BL80" s="35">
        <v>96</v>
      </c>
    </row>
    <row r="81" spans="1:14" ht="12.75">
      <c r="A81" s="2"/>
      <c r="D81" s="38" t="s">
        <v>400</v>
      </c>
      <c r="F81" s="39">
        <v>37.5</v>
      </c>
      <c r="M81" s="40"/>
      <c r="N81" s="2"/>
    </row>
    <row r="82" spans="1:47" ht="12.75">
      <c r="A82" s="26"/>
      <c r="B82" s="27" t="s">
        <v>160</v>
      </c>
      <c r="C82" s="27" t="s">
        <v>201</v>
      </c>
      <c r="D82" s="27" t="s">
        <v>401</v>
      </c>
      <c r="E82" s="28" t="s">
        <v>5</v>
      </c>
      <c r="F82" s="28" t="s">
        <v>5</v>
      </c>
      <c r="G82" s="28" t="s">
        <v>5</v>
      </c>
      <c r="H82" s="29">
        <f>SUM(H83:H83)</f>
        <v>0</v>
      </c>
      <c r="I82" s="29">
        <f>SUM(I83:I83)</f>
        <v>0</v>
      </c>
      <c r="J82" s="29">
        <f>SUM(J83:J83)</f>
        <v>0</v>
      </c>
      <c r="K82" s="10"/>
      <c r="L82" s="29">
        <f>SUM(L83:L83)</f>
        <v>0.13985999999999998</v>
      </c>
      <c r="M82" s="30"/>
      <c r="N82" s="2"/>
      <c r="AI82" s="10" t="s">
        <v>160</v>
      </c>
      <c r="AS82" s="29">
        <f>SUM(AJ83:AJ83)</f>
        <v>0</v>
      </c>
      <c r="AT82" s="29">
        <f>SUM(AK83:AK83)</f>
        <v>0</v>
      </c>
      <c r="AU82" s="29">
        <f>SUM(AL83:AL83)</f>
        <v>0</v>
      </c>
    </row>
    <row r="83" spans="1:64" ht="12.75">
      <c r="A83" s="31" t="s">
        <v>37</v>
      </c>
      <c r="B83" s="32" t="s">
        <v>160</v>
      </c>
      <c r="C83" s="32" t="s">
        <v>202</v>
      </c>
      <c r="D83" s="32" t="s">
        <v>402</v>
      </c>
      <c r="E83" s="32" t="s">
        <v>653</v>
      </c>
      <c r="F83" s="33">
        <v>9.324</v>
      </c>
      <c r="G83" s="33">
        <f>J83/F83</f>
        <v>0</v>
      </c>
      <c r="H83" s="61">
        <v>0</v>
      </c>
      <c r="I83" s="61">
        <v>0</v>
      </c>
      <c r="J83" s="33">
        <f>H83+I83</f>
        <v>0</v>
      </c>
      <c r="K83" s="33">
        <v>0.015</v>
      </c>
      <c r="L83" s="33">
        <f>F83*K83</f>
        <v>0.13985999999999998</v>
      </c>
      <c r="M83" s="34" t="s">
        <v>681</v>
      </c>
      <c r="N83" s="2"/>
      <c r="Z83" s="35">
        <f>IF(AQ83="5",BJ83,0)</f>
        <v>0</v>
      </c>
      <c r="AB83" s="35">
        <f>H83</f>
        <v>0</v>
      </c>
      <c r="AC83" s="35">
        <f>I83</f>
        <v>0</v>
      </c>
      <c r="AD83" s="35">
        <f>IF(AQ83="7",BH83,0)</f>
        <v>0</v>
      </c>
      <c r="AE83" s="35">
        <f>IF(AQ83="7",BI83,0)</f>
        <v>0</v>
      </c>
      <c r="AF83" s="35">
        <f>IF(AQ83="2",BH83,0)</f>
        <v>0</v>
      </c>
      <c r="AG83" s="35">
        <f>IF(AQ83="2",BI83,0)</f>
        <v>0</v>
      </c>
      <c r="AH83" s="35">
        <f>IF(AQ83="0",BJ83,0)</f>
        <v>0</v>
      </c>
      <c r="AI83" s="10" t="s">
        <v>160</v>
      </c>
      <c r="AJ83" s="33">
        <f>IF(AN83=0,J83,0)</f>
        <v>0</v>
      </c>
      <c r="AK83" s="33">
        <f>IF(AN83=15,J83,0)</f>
        <v>0</v>
      </c>
      <c r="AL83" s="33">
        <f>IF(AN83=21,J83,0)</f>
        <v>0</v>
      </c>
      <c r="AN83" s="35">
        <v>21</v>
      </c>
      <c r="AO83" s="35">
        <f>G83*0.081967069000378</f>
        <v>0</v>
      </c>
      <c r="AP83" s="35">
        <f>G83*(1-0.081967069000378)</f>
        <v>0</v>
      </c>
      <c r="AQ83" s="36" t="s">
        <v>6</v>
      </c>
      <c r="AV83" s="35">
        <f>AW83+AX83</f>
        <v>0</v>
      </c>
      <c r="AW83" s="35">
        <f>F83*AO83</f>
        <v>0</v>
      </c>
      <c r="AX83" s="35">
        <f>F83*AP83</f>
        <v>0</v>
      </c>
      <c r="AY83" s="37" t="s">
        <v>697</v>
      </c>
      <c r="AZ83" s="37" t="s">
        <v>711</v>
      </c>
      <c r="BA83" s="10" t="s">
        <v>720</v>
      </c>
      <c r="BC83" s="35">
        <f>AW83+AX83</f>
        <v>0</v>
      </c>
      <c r="BD83" s="35">
        <f>G83/(100-BE83)*100</f>
        <v>0</v>
      </c>
      <c r="BE83" s="35">
        <v>0</v>
      </c>
      <c r="BF83" s="35">
        <f>L83</f>
        <v>0.13985999999999998</v>
      </c>
      <c r="BH83" s="33">
        <f>F83*AO83</f>
        <v>0</v>
      </c>
      <c r="BI83" s="33">
        <f>F83*AP83</f>
        <v>0</v>
      </c>
      <c r="BJ83" s="33">
        <f>F83*G83</f>
        <v>0</v>
      </c>
      <c r="BK83" s="33" t="s">
        <v>728</v>
      </c>
      <c r="BL83" s="35" t="s">
        <v>201</v>
      </c>
    </row>
    <row r="84" spans="1:14" ht="12.75">
      <c r="A84" s="2"/>
      <c r="D84" s="38" t="s">
        <v>403</v>
      </c>
      <c r="F84" s="39">
        <v>9.324</v>
      </c>
      <c r="M84" s="40"/>
      <c r="N84" s="2"/>
    </row>
    <row r="85" spans="1:47" ht="12.75">
      <c r="A85" s="26"/>
      <c r="B85" s="27" t="s">
        <v>160</v>
      </c>
      <c r="C85" s="27" t="s">
        <v>203</v>
      </c>
      <c r="D85" s="27" t="s">
        <v>404</v>
      </c>
      <c r="E85" s="28" t="s">
        <v>5</v>
      </c>
      <c r="F85" s="28" t="s">
        <v>5</v>
      </c>
      <c r="G85" s="28" t="s">
        <v>5</v>
      </c>
      <c r="H85" s="29">
        <f>SUM(H86:H102)</f>
        <v>0</v>
      </c>
      <c r="I85" s="29">
        <f>SUM(I86:I102)</f>
        <v>0</v>
      </c>
      <c r="J85" s="29">
        <f>SUM(J86:J102)</f>
        <v>0</v>
      </c>
      <c r="K85" s="10"/>
      <c r="L85" s="29">
        <f>SUM(L86:L102)</f>
        <v>0</v>
      </c>
      <c r="M85" s="30"/>
      <c r="N85" s="2"/>
      <c r="AI85" s="10" t="s">
        <v>160</v>
      </c>
      <c r="AS85" s="29">
        <f>SUM(AJ86:AJ102)</f>
        <v>0</v>
      </c>
      <c r="AT85" s="29">
        <f>SUM(AK86:AK102)</f>
        <v>0</v>
      </c>
      <c r="AU85" s="29">
        <f>SUM(AL86:AL102)</f>
        <v>0</v>
      </c>
    </row>
    <row r="86" spans="1:64" ht="12.75">
      <c r="A86" s="31" t="s">
        <v>38</v>
      </c>
      <c r="B86" s="32" t="s">
        <v>160</v>
      </c>
      <c r="C86" s="32" t="s">
        <v>204</v>
      </c>
      <c r="D86" s="32" t="s">
        <v>405</v>
      </c>
      <c r="E86" s="32" t="s">
        <v>650</v>
      </c>
      <c r="F86" s="33">
        <v>657.88</v>
      </c>
      <c r="G86" s="33">
        <f>J86/F86</f>
        <v>0</v>
      </c>
      <c r="H86" s="61">
        <v>0</v>
      </c>
      <c r="I86" s="61">
        <v>0</v>
      </c>
      <c r="J86" s="33">
        <f>H86+I86</f>
        <v>0</v>
      </c>
      <c r="K86" s="33">
        <v>0</v>
      </c>
      <c r="L86" s="33">
        <f>F86*K86</f>
        <v>0</v>
      </c>
      <c r="M86" s="34" t="s">
        <v>680</v>
      </c>
      <c r="N86" s="2"/>
      <c r="Z86" s="35">
        <f>IF(AQ86="5",BJ86,0)</f>
        <v>0</v>
      </c>
      <c r="AB86" s="35">
        <f>IF(AQ86="1",BH86,0)</f>
        <v>0</v>
      </c>
      <c r="AC86" s="35">
        <f>IF(AQ86="1",BI86,0)</f>
        <v>0</v>
      </c>
      <c r="AD86" s="35">
        <f>IF(AQ86="7",BH86,0)</f>
        <v>0</v>
      </c>
      <c r="AE86" s="35">
        <f>IF(AQ86="7",BI86,0)</f>
        <v>0</v>
      </c>
      <c r="AF86" s="35">
        <f>H86</f>
        <v>0</v>
      </c>
      <c r="AG86" s="35">
        <f>I86</f>
        <v>0</v>
      </c>
      <c r="AH86" s="35">
        <f>IF(AQ86="0",BJ86,0)</f>
        <v>0</v>
      </c>
      <c r="AI86" s="10" t="s">
        <v>160</v>
      </c>
      <c r="AJ86" s="33">
        <f>IF(AN86=0,J86,0)</f>
        <v>0</v>
      </c>
      <c r="AK86" s="33">
        <f>IF(AN86=15,J86,0)</f>
        <v>0</v>
      </c>
      <c r="AL86" s="33">
        <f>IF(AN86=21,J86,0)</f>
        <v>0</v>
      </c>
      <c r="AN86" s="35">
        <v>21</v>
      </c>
      <c r="AO86" s="35">
        <f>G86*0</f>
        <v>0</v>
      </c>
      <c r="AP86" s="35">
        <f>G86*(1-0)</f>
        <v>0</v>
      </c>
      <c r="AQ86" s="36" t="s">
        <v>7</v>
      </c>
      <c r="AV86" s="35">
        <f>AW86+AX86</f>
        <v>0</v>
      </c>
      <c r="AW86" s="35">
        <f>F86*AO86</f>
        <v>0</v>
      </c>
      <c r="AX86" s="35">
        <f>F86*AP86</f>
        <v>0</v>
      </c>
      <c r="AY86" s="37" t="s">
        <v>698</v>
      </c>
      <c r="AZ86" s="37" t="s">
        <v>711</v>
      </c>
      <c r="BA86" s="10" t="s">
        <v>720</v>
      </c>
      <c r="BC86" s="35">
        <f>AW86+AX86</f>
        <v>0</v>
      </c>
      <c r="BD86" s="35">
        <f>G86/(100-BE86)*100</f>
        <v>0</v>
      </c>
      <c r="BE86" s="35">
        <v>0</v>
      </c>
      <c r="BF86" s="35">
        <f>L86</f>
        <v>0</v>
      </c>
      <c r="BH86" s="33">
        <f>F86*AO86</f>
        <v>0</v>
      </c>
      <c r="BI86" s="33">
        <f>F86*AP86</f>
        <v>0</v>
      </c>
      <c r="BJ86" s="33">
        <f>F86*G86</f>
        <v>0</v>
      </c>
      <c r="BK86" s="33" t="s">
        <v>728</v>
      </c>
      <c r="BL86" s="35" t="s">
        <v>203</v>
      </c>
    </row>
    <row r="87" spans="1:14" ht="12.75">
      <c r="A87" s="2"/>
      <c r="D87" s="38" t="s">
        <v>406</v>
      </c>
      <c r="F87" s="39">
        <v>146.4</v>
      </c>
      <c r="M87" s="40"/>
      <c r="N87" s="2"/>
    </row>
    <row r="88" spans="1:14" ht="12.75">
      <c r="A88" s="2"/>
      <c r="D88" s="38" t="s">
        <v>407</v>
      </c>
      <c r="F88" s="39">
        <v>184.08</v>
      </c>
      <c r="M88" s="40"/>
      <c r="N88" s="2"/>
    </row>
    <row r="89" spans="1:14" ht="12.75">
      <c r="A89" s="2"/>
      <c r="D89" s="38" t="s">
        <v>408</v>
      </c>
      <c r="F89" s="39">
        <v>327.4</v>
      </c>
      <c r="M89" s="40"/>
      <c r="N89" s="2"/>
    </row>
    <row r="90" spans="1:64" ht="12.75">
      <c r="A90" s="31" t="s">
        <v>39</v>
      </c>
      <c r="B90" s="32" t="s">
        <v>160</v>
      </c>
      <c r="C90" s="32" t="s">
        <v>205</v>
      </c>
      <c r="D90" s="32" t="s">
        <v>409</v>
      </c>
      <c r="E90" s="32" t="s">
        <v>650</v>
      </c>
      <c r="F90" s="33">
        <v>24</v>
      </c>
      <c r="G90" s="33">
        <f>J90/F90</f>
        <v>0</v>
      </c>
      <c r="H90" s="61">
        <v>0</v>
      </c>
      <c r="I90" s="61">
        <v>0</v>
      </c>
      <c r="J90" s="33">
        <f>H90+I90</f>
        <v>0</v>
      </c>
      <c r="K90" s="33">
        <v>0</v>
      </c>
      <c r="L90" s="33">
        <f>F90*K90</f>
        <v>0</v>
      </c>
      <c r="M90" s="34" t="s">
        <v>680</v>
      </c>
      <c r="N90" s="2"/>
      <c r="Z90" s="35">
        <f>IF(AQ90="5",BJ90,0)</f>
        <v>0</v>
      </c>
      <c r="AB90" s="35">
        <f>IF(AQ90="1",BH90,0)</f>
        <v>0</v>
      </c>
      <c r="AC90" s="35">
        <f>IF(AQ90="1",BI90,0)</f>
        <v>0</v>
      </c>
      <c r="AD90" s="35">
        <f>IF(AQ90="7",BH90,0)</f>
        <v>0</v>
      </c>
      <c r="AE90" s="35">
        <f>IF(AQ90="7",BI90,0)</f>
        <v>0</v>
      </c>
      <c r="AF90" s="35">
        <f>H90</f>
        <v>0</v>
      </c>
      <c r="AG90" s="35">
        <f>I90</f>
        <v>0</v>
      </c>
      <c r="AH90" s="35">
        <f>IF(AQ90="0",BJ90,0)</f>
        <v>0</v>
      </c>
      <c r="AI90" s="10" t="s">
        <v>160</v>
      </c>
      <c r="AJ90" s="33">
        <f>IF(AN90=0,J90,0)</f>
        <v>0</v>
      </c>
      <c r="AK90" s="33">
        <f>IF(AN90=15,J90,0)</f>
        <v>0</v>
      </c>
      <c r="AL90" s="33">
        <f>IF(AN90=21,J90,0)</f>
        <v>0</v>
      </c>
      <c r="AN90" s="35">
        <v>21</v>
      </c>
      <c r="AO90" s="35">
        <f>G90*0</f>
        <v>0</v>
      </c>
      <c r="AP90" s="35">
        <f>G90*(1-0)</f>
        <v>0</v>
      </c>
      <c r="AQ90" s="36" t="s">
        <v>7</v>
      </c>
      <c r="AV90" s="35">
        <f>AW90+AX90</f>
        <v>0</v>
      </c>
      <c r="AW90" s="35">
        <f>F90*AO90</f>
        <v>0</v>
      </c>
      <c r="AX90" s="35">
        <f>F90*AP90</f>
        <v>0</v>
      </c>
      <c r="AY90" s="37" t="s">
        <v>698</v>
      </c>
      <c r="AZ90" s="37" t="s">
        <v>711</v>
      </c>
      <c r="BA90" s="10" t="s">
        <v>720</v>
      </c>
      <c r="BC90" s="35">
        <f>AW90+AX90</f>
        <v>0</v>
      </c>
      <c r="BD90" s="35">
        <f>G90/(100-BE90)*100</f>
        <v>0</v>
      </c>
      <c r="BE90" s="35">
        <v>0</v>
      </c>
      <c r="BF90" s="35">
        <f>L90</f>
        <v>0</v>
      </c>
      <c r="BH90" s="33">
        <f>F90*AO90</f>
        <v>0</v>
      </c>
      <c r="BI90" s="33">
        <f>F90*AP90</f>
        <v>0</v>
      </c>
      <c r="BJ90" s="33">
        <f>F90*G90</f>
        <v>0</v>
      </c>
      <c r="BK90" s="33" t="s">
        <v>728</v>
      </c>
      <c r="BL90" s="35" t="s">
        <v>203</v>
      </c>
    </row>
    <row r="91" spans="1:14" ht="12.75">
      <c r="A91" s="2"/>
      <c r="D91" s="38" t="s">
        <v>410</v>
      </c>
      <c r="F91" s="39">
        <v>24</v>
      </c>
      <c r="M91" s="40"/>
      <c r="N91" s="2"/>
    </row>
    <row r="92" spans="1:64" ht="12.75">
      <c r="A92" s="31" t="s">
        <v>40</v>
      </c>
      <c r="B92" s="32" t="s">
        <v>160</v>
      </c>
      <c r="C92" s="32" t="s">
        <v>206</v>
      </c>
      <c r="D92" s="32" t="s">
        <v>411</v>
      </c>
      <c r="E92" s="32" t="s">
        <v>652</v>
      </c>
      <c r="F92" s="33">
        <v>24</v>
      </c>
      <c r="G92" s="33">
        <f>J92/F92</f>
        <v>0</v>
      </c>
      <c r="H92" s="61">
        <v>0</v>
      </c>
      <c r="I92" s="61">
        <v>0</v>
      </c>
      <c r="J92" s="33">
        <f>H92+I92</f>
        <v>0</v>
      </c>
      <c r="K92" s="33">
        <v>0</v>
      </c>
      <c r="L92" s="33">
        <f>F92*K92</f>
        <v>0</v>
      </c>
      <c r="M92" s="34" t="s">
        <v>680</v>
      </c>
      <c r="N92" s="2"/>
      <c r="Z92" s="35">
        <f>IF(AQ92="5",BJ92,0)</f>
        <v>0</v>
      </c>
      <c r="AB92" s="35">
        <f>IF(AQ92="1",BH92,0)</f>
        <v>0</v>
      </c>
      <c r="AC92" s="35">
        <f>IF(AQ92="1",BI92,0)</f>
        <v>0</v>
      </c>
      <c r="AD92" s="35">
        <f>IF(AQ92="7",BH92,0)</f>
        <v>0</v>
      </c>
      <c r="AE92" s="35">
        <f>IF(AQ92="7",BI92,0)</f>
        <v>0</v>
      </c>
      <c r="AF92" s="35">
        <f>H92</f>
        <v>0</v>
      </c>
      <c r="AG92" s="35">
        <f>I92</f>
        <v>0</v>
      </c>
      <c r="AH92" s="35">
        <f>IF(AQ92="0",BJ92,0)</f>
        <v>0</v>
      </c>
      <c r="AI92" s="10" t="s">
        <v>160</v>
      </c>
      <c r="AJ92" s="33">
        <f>IF(AN92=0,J92,0)</f>
        <v>0</v>
      </c>
      <c r="AK92" s="33">
        <f>IF(AN92=15,J92,0)</f>
        <v>0</v>
      </c>
      <c r="AL92" s="33">
        <f>IF(AN92=21,J92,0)</f>
        <v>0</v>
      </c>
      <c r="AN92" s="35">
        <v>21</v>
      </c>
      <c r="AO92" s="35">
        <f>G92*0</f>
        <v>0</v>
      </c>
      <c r="AP92" s="35">
        <f>G92*(1-0)</f>
        <v>0</v>
      </c>
      <c r="AQ92" s="36" t="s">
        <v>7</v>
      </c>
      <c r="AV92" s="35">
        <f>AW92+AX92</f>
        <v>0</v>
      </c>
      <c r="AW92" s="35">
        <f>F92*AO92</f>
        <v>0</v>
      </c>
      <c r="AX92" s="35">
        <f>F92*AP92</f>
        <v>0</v>
      </c>
      <c r="AY92" s="37" t="s">
        <v>698</v>
      </c>
      <c r="AZ92" s="37" t="s">
        <v>711</v>
      </c>
      <c r="BA92" s="10" t="s">
        <v>720</v>
      </c>
      <c r="BC92" s="35">
        <f>AW92+AX92</f>
        <v>0</v>
      </c>
      <c r="BD92" s="35">
        <f>G92/(100-BE92)*100</f>
        <v>0</v>
      </c>
      <c r="BE92" s="35">
        <v>0</v>
      </c>
      <c r="BF92" s="35">
        <f>L92</f>
        <v>0</v>
      </c>
      <c r="BH92" s="33">
        <f>F92*AO92</f>
        <v>0</v>
      </c>
      <c r="BI92" s="33">
        <f>F92*AP92</f>
        <v>0</v>
      </c>
      <c r="BJ92" s="33">
        <f>F92*G92</f>
        <v>0</v>
      </c>
      <c r="BK92" s="33" t="s">
        <v>728</v>
      </c>
      <c r="BL92" s="35" t="s">
        <v>203</v>
      </c>
    </row>
    <row r="93" spans="1:14" ht="12.75">
      <c r="A93" s="2"/>
      <c r="D93" s="38" t="s">
        <v>410</v>
      </c>
      <c r="F93" s="39">
        <v>24</v>
      </c>
      <c r="M93" s="40"/>
      <c r="N93" s="2"/>
    </row>
    <row r="94" spans="1:64" ht="12.75">
      <c r="A94" s="31" t="s">
        <v>41</v>
      </c>
      <c r="B94" s="32" t="s">
        <v>160</v>
      </c>
      <c r="C94" s="32" t="s">
        <v>207</v>
      </c>
      <c r="D94" s="32" t="s">
        <v>412</v>
      </c>
      <c r="E94" s="32" t="s">
        <v>652</v>
      </c>
      <c r="F94" s="33">
        <v>12</v>
      </c>
      <c r="G94" s="33">
        <f>J94/F94</f>
        <v>0</v>
      </c>
      <c r="H94" s="61">
        <v>0</v>
      </c>
      <c r="I94" s="61">
        <v>0</v>
      </c>
      <c r="J94" s="33">
        <f>H94+I94</f>
        <v>0</v>
      </c>
      <c r="K94" s="33">
        <v>0</v>
      </c>
      <c r="L94" s="33">
        <f>F94*K94</f>
        <v>0</v>
      </c>
      <c r="M94" s="34" t="s">
        <v>680</v>
      </c>
      <c r="N94" s="2"/>
      <c r="Z94" s="35">
        <f>IF(AQ94="5",BJ94,0)</f>
        <v>0</v>
      </c>
      <c r="AB94" s="35">
        <f>IF(AQ94="1",BH94,0)</f>
        <v>0</v>
      </c>
      <c r="AC94" s="35">
        <f>IF(AQ94="1",BI94,0)</f>
        <v>0</v>
      </c>
      <c r="AD94" s="35">
        <f>IF(AQ94="7",BH94,0)</f>
        <v>0</v>
      </c>
      <c r="AE94" s="35">
        <f>IF(AQ94="7",BI94,0)</f>
        <v>0</v>
      </c>
      <c r="AF94" s="35">
        <f>H94</f>
        <v>0</v>
      </c>
      <c r="AG94" s="35">
        <f>I94</f>
        <v>0</v>
      </c>
      <c r="AH94" s="35">
        <f>IF(AQ94="0",BJ94,0)</f>
        <v>0</v>
      </c>
      <c r="AI94" s="10" t="s">
        <v>160</v>
      </c>
      <c r="AJ94" s="33">
        <f>IF(AN94=0,J94,0)</f>
        <v>0</v>
      </c>
      <c r="AK94" s="33">
        <f>IF(AN94=15,J94,0)</f>
        <v>0</v>
      </c>
      <c r="AL94" s="33">
        <f>IF(AN94=21,J94,0)</f>
        <v>0</v>
      </c>
      <c r="AN94" s="35">
        <v>21</v>
      </c>
      <c r="AO94" s="35">
        <f>G94*0</f>
        <v>0</v>
      </c>
      <c r="AP94" s="35">
        <f>G94*(1-0)</f>
        <v>0</v>
      </c>
      <c r="AQ94" s="36" t="s">
        <v>7</v>
      </c>
      <c r="AV94" s="35">
        <f>AW94+AX94</f>
        <v>0</v>
      </c>
      <c r="AW94" s="35">
        <f>F94*AO94</f>
        <v>0</v>
      </c>
      <c r="AX94" s="35">
        <f>F94*AP94</f>
        <v>0</v>
      </c>
      <c r="AY94" s="37" t="s">
        <v>698</v>
      </c>
      <c r="AZ94" s="37" t="s">
        <v>711</v>
      </c>
      <c r="BA94" s="10" t="s">
        <v>720</v>
      </c>
      <c r="BC94" s="35">
        <f>AW94+AX94</f>
        <v>0</v>
      </c>
      <c r="BD94" s="35">
        <f>G94/(100-BE94)*100</f>
        <v>0</v>
      </c>
      <c r="BE94" s="35">
        <v>0</v>
      </c>
      <c r="BF94" s="35">
        <f>L94</f>
        <v>0</v>
      </c>
      <c r="BH94" s="33">
        <f>F94*AO94</f>
        <v>0</v>
      </c>
      <c r="BI94" s="33">
        <f>F94*AP94</f>
        <v>0</v>
      </c>
      <c r="BJ94" s="33">
        <f>F94*G94</f>
        <v>0</v>
      </c>
      <c r="BK94" s="33" t="s">
        <v>728</v>
      </c>
      <c r="BL94" s="35" t="s">
        <v>203</v>
      </c>
    </row>
    <row r="95" spans="1:14" ht="12.75">
      <c r="A95" s="2"/>
      <c r="D95" s="38" t="s">
        <v>413</v>
      </c>
      <c r="F95" s="39">
        <v>12</v>
      </c>
      <c r="M95" s="40"/>
      <c r="N95" s="2"/>
    </row>
    <row r="96" spans="1:64" ht="12.75">
      <c r="A96" s="31" t="s">
        <v>42</v>
      </c>
      <c r="B96" s="32" t="s">
        <v>160</v>
      </c>
      <c r="C96" s="32" t="s">
        <v>208</v>
      </c>
      <c r="D96" s="32" t="s">
        <v>414</v>
      </c>
      <c r="E96" s="32" t="s">
        <v>652</v>
      </c>
      <c r="F96" s="33">
        <v>6</v>
      </c>
      <c r="G96" s="33">
        <f>J96/F96</f>
        <v>0</v>
      </c>
      <c r="H96" s="61">
        <v>0</v>
      </c>
      <c r="I96" s="61">
        <v>0</v>
      </c>
      <c r="J96" s="33">
        <f>H96+I96</f>
        <v>0</v>
      </c>
      <c r="K96" s="33">
        <v>0</v>
      </c>
      <c r="L96" s="33">
        <f>F96*K96</f>
        <v>0</v>
      </c>
      <c r="M96" s="34" t="s">
        <v>680</v>
      </c>
      <c r="N96" s="2"/>
      <c r="Z96" s="35">
        <f>IF(AQ96="5",BJ96,0)</f>
        <v>0</v>
      </c>
      <c r="AB96" s="35">
        <f>IF(AQ96="1",BH96,0)</f>
        <v>0</v>
      </c>
      <c r="AC96" s="35">
        <f>IF(AQ96="1",BI96,0)</f>
        <v>0</v>
      </c>
      <c r="AD96" s="35">
        <f>IF(AQ96="7",BH96,0)</f>
        <v>0</v>
      </c>
      <c r="AE96" s="35">
        <f>IF(AQ96="7",BI96,0)</f>
        <v>0</v>
      </c>
      <c r="AF96" s="35">
        <f>H96</f>
        <v>0</v>
      </c>
      <c r="AG96" s="35">
        <f>I96</f>
        <v>0</v>
      </c>
      <c r="AH96" s="35">
        <f>IF(AQ96="0",BJ96,0)</f>
        <v>0</v>
      </c>
      <c r="AI96" s="10" t="s">
        <v>160</v>
      </c>
      <c r="AJ96" s="33">
        <f>IF(AN96=0,J96,0)</f>
        <v>0</v>
      </c>
      <c r="AK96" s="33">
        <f>IF(AN96=15,J96,0)</f>
        <v>0</v>
      </c>
      <c r="AL96" s="33">
        <f>IF(AN96=21,J96,0)</f>
        <v>0</v>
      </c>
      <c r="AN96" s="35">
        <v>21</v>
      </c>
      <c r="AO96" s="35">
        <f>G96*0</f>
        <v>0</v>
      </c>
      <c r="AP96" s="35">
        <f>G96*(1-0)</f>
        <v>0</v>
      </c>
      <c r="AQ96" s="36" t="s">
        <v>7</v>
      </c>
      <c r="AV96" s="35">
        <f>AW96+AX96</f>
        <v>0</v>
      </c>
      <c r="AW96" s="35">
        <f>F96*AO96</f>
        <v>0</v>
      </c>
      <c r="AX96" s="35">
        <f>F96*AP96</f>
        <v>0</v>
      </c>
      <c r="AY96" s="37" t="s">
        <v>698</v>
      </c>
      <c r="AZ96" s="37" t="s">
        <v>711</v>
      </c>
      <c r="BA96" s="10" t="s">
        <v>720</v>
      </c>
      <c r="BC96" s="35">
        <f>AW96+AX96</f>
        <v>0</v>
      </c>
      <c r="BD96" s="35">
        <f>G96/(100-BE96)*100</f>
        <v>0</v>
      </c>
      <c r="BE96" s="35">
        <v>0</v>
      </c>
      <c r="BF96" s="35">
        <f>L96</f>
        <v>0</v>
      </c>
      <c r="BH96" s="33">
        <f>F96*AO96</f>
        <v>0</v>
      </c>
      <c r="BI96" s="33">
        <f>F96*AP96</f>
        <v>0</v>
      </c>
      <c r="BJ96" s="33">
        <f>F96*G96</f>
        <v>0</v>
      </c>
      <c r="BK96" s="33" t="s">
        <v>728</v>
      </c>
      <c r="BL96" s="35" t="s">
        <v>203</v>
      </c>
    </row>
    <row r="97" spans="1:14" ht="12.75">
      <c r="A97" s="2"/>
      <c r="D97" s="38" t="s">
        <v>415</v>
      </c>
      <c r="F97" s="39">
        <v>6</v>
      </c>
      <c r="M97" s="40"/>
      <c r="N97" s="2"/>
    </row>
    <row r="98" spans="1:64" ht="12.75">
      <c r="A98" s="31" t="s">
        <v>43</v>
      </c>
      <c r="B98" s="32" t="s">
        <v>160</v>
      </c>
      <c r="C98" s="32" t="s">
        <v>209</v>
      </c>
      <c r="D98" s="32" t="s">
        <v>416</v>
      </c>
      <c r="E98" s="32" t="s">
        <v>652</v>
      </c>
      <c r="F98" s="33">
        <v>85</v>
      </c>
      <c r="G98" s="33">
        <f>J98/F98</f>
        <v>0</v>
      </c>
      <c r="H98" s="61">
        <v>0</v>
      </c>
      <c r="I98" s="61">
        <v>0</v>
      </c>
      <c r="J98" s="33">
        <f>H98+I98</f>
        <v>0</v>
      </c>
      <c r="K98" s="33">
        <v>0</v>
      </c>
      <c r="L98" s="33">
        <f>F98*K98</f>
        <v>0</v>
      </c>
      <c r="M98" s="34" t="s">
        <v>680</v>
      </c>
      <c r="N98" s="2"/>
      <c r="Z98" s="35">
        <f>IF(AQ98="5",BJ98,0)</f>
        <v>0</v>
      </c>
      <c r="AB98" s="35">
        <f>IF(AQ98="1",BH98,0)</f>
        <v>0</v>
      </c>
      <c r="AC98" s="35">
        <f>IF(AQ98="1",BI98,0)</f>
        <v>0</v>
      </c>
      <c r="AD98" s="35">
        <f>IF(AQ98="7",BH98,0)</f>
        <v>0</v>
      </c>
      <c r="AE98" s="35">
        <f>IF(AQ98="7",BI98,0)</f>
        <v>0</v>
      </c>
      <c r="AF98" s="35">
        <f>H98</f>
        <v>0</v>
      </c>
      <c r="AG98" s="35">
        <f>I98</f>
        <v>0</v>
      </c>
      <c r="AH98" s="35">
        <f>IF(AQ98="0",BJ98,0)</f>
        <v>0</v>
      </c>
      <c r="AI98" s="10" t="s">
        <v>160</v>
      </c>
      <c r="AJ98" s="33">
        <f>IF(AN98=0,J98,0)</f>
        <v>0</v>
      </c>
      <c r="AK98" s="33">
        <f>IF(AN98=15,J98,0)</f>
        <v>0</v>
      </c>
      <c r="AL98" s="33">
        <f>IF(AN98=21,J98,0)</f>
        <v>0</v>
      </c>
      <c r="AN98" s="35">
        <v>21</v>
      </c>
      <c r="AO98" s="35">
        <f>G98*0</f>
        <v>0</v>
      </c>
      <c r="AP98" s="35">
        <f>G98*(1-0)</f>
        <v>0</v>
      </c>
      <c r="AQ98" s="36" t="s">
        <v>7</v>
      </c>
      <c r="AV98" s="35">
        <f>AW98+AX98</f>
        <v>0</v>
      </c>
      <c r="AW98" s="35">
        <f>F98*AO98</f>
        <v>0</v>
      </c>
      <c r="AX98" s="35">
        <f>F98*AP98</f>
        <v>0</v>
      </c>
      <c r="AY98" s="37" t="s">
        <v>698</v>
      </c>
      <c r="AZ98" s="37" t="s">
        <v>711</v>
      </c>
      <c r="BA98" s="10" t="s">
        <v>720</v>
      </c>
      <c r="BC98" s="35">
        <f>AW98+AX98</f>
        <v>0</v>
      </c>
      <c r="BD98" s="35">
        <f>G98/(100-BE98)*100</f>
        <v>0</v>
      </c>
      <c r="BE98" s="35">
        <v>0</v>
      </c>
      <c r="BF98" s="35">
        <f>L98</f>
        <v>0</v>
      </c>
      <c r="BH98" s="33">
        <f>F98*AO98</f>
        <v>0</v>
      </c>
      <c r="BI98" s="33">
        <f>F98*AP98</f>
        <v>0</v>
      </c>
      <c r="BJ98" s="33">
        <f>F98*G98</f>
        <v>0</v>
      </c>
      <c r="BK98" s="33" t="s">
        <v>728</v>
      </c>
      <c r="BL98" s="35" t="s">
        <v>203</v>
      </c>
    </row>
    <row r="99" spans="1:14" ht="12.75">
      <c r="A99" s="2"/>
      <c r="D99" s="38" t="s">
        <v>417</v>
      </c>
      <c r="F99" s="39">
        <v>85</v>
      </c>
      <c r="M99" s="40"/>
      <c r="N99" s="2"/>
    </row>
    <row r="100" spans="1:64" ht="12.75">
      <c r="A100" s="31" t="s">
        <v>44</v>
      </c>
      <c r="B100" s="32" t="s">
        <v>160</v>
      </c>
      <c r="C100" s="32" t="s">
        <v>210</v>
      </c>
      <c r="D100" s="32" t="s">
        <v>418</v>
      </c>
      <c r="E100" s="32" t="s">
        <v>652</v>
      </c>
      <c r="F100" s="33">
        <v>55</v>
      </c>
      <c r="G100" s="33">
        <f>J100/F100</f>
        <v>0</v>
      </c>
      <c r="H100" s="61">
        <v>0</v>
      </c>
      <c r="I100" s="61">
        <v>0</v>
      </c>
      <c r="J100" s="33">
        <f>H100+I100</f>
        <v>0</v>
      </c>
      <c r="K100" s="33">
        <v>0</v>
      </c>
      <c r="L100" s="33">
        <f>F100*K100</f>
        <v>0</v>
      </c>
      <c r="M100" s="34" t="s">
        <v>680</v>
      </c>
      <c r="N100" s="2"/>
      <c r="Z100" s="35">
        <f>IF(AQ100="5",BJ100,0)</f>
        <v>0</v>
      </c>
      <c r="AB100" s="35">
        <f>IF(AQ100="1",BH100,0)</f>
        <v>0</v>
      </c>
      <c r="AC100" s="35">
        <f>IF(AQ100="1",BI100,0)</f>
        <v>0</v>
      </c>
      <c r="AD100" s="35">
        <f>IF(AQ100="7",BH100,0)</f>
        <v>0</v>
      </c>
      <c r="AE100" s="35">
        <f>IF(AQ100="7",BI100,0)</f>
        <v>0</v>
      </c>
      <c r="AF100" s="35">
        <f>H100</f>
        <v>0</v>
      </c>
      <c r="AG100" s="35">
        <f>I100</f>
        <v>0</v>
      </c>
      <c r="AH100" s="35">
        <f>IF(AQ100="0",BJ100,0)</f>
        <v>0</v>
      </c>
      <c r="AI100" s="10" t="s">
        <v>160</v>
      </c>
      <c r="AJ100" s="33">
        <f>IF(AN100=0,J100,0)</f>
        <v>0</v>
      </c>
      <c r="AK100" s="33">
        <f>IF(AN100=15,J100,0)</f>
        <v>0</v>
      </c>
      <c r="AL100" s="33">
        <f>IF(AN100=21,J100,0)</f>
        <v>0</v>
      </c>
      <c r="AN100" s="35">
        <v>21</v>
      </c>
      <c r="AO100" s="35">
        <f>G100*0</f>
        <v>0</v>
      </c>
      <c r="AP100" s="35">
        <f>G100*(1-0)</f>
        <v>0</v>
      </c>
      <c r="AQ100" s="36" t="s">
        <v>7</v>
      </c>
      <c r="AV100" s="35">
        <f>AW100+AX100</f>
        <v>0</v>
      </c>
      <c r="AW100" s="35">
        <f>F100*AO100</f>
        <v>0</v>
      </c>
      <c r="AX100" s="35">
        <f>F100*AP100</f>
        <v>0</v>
      </c>
      <c r="AY100" s="37" t="s">
        <v>698</v>
      </c>
      <c r="AZ100" s="37" t="s">
        <v>711</v>
      </c>
      <c r="BA100" s="10" t="s">
        <v>720</v>
      </c>
      <c r="BC100" s="35">
        <f>AW100+AX100</f>
        <v>0</v>
      </c>
      <c r="BD100" s="35">
        <f>G100/(100-BE100)*100</f>
        <v>0</v>
      </c>
      <c r="BE100" s="35">
        <v>0</v>
      </c>
      <c r="BF100" s="35">
        <f>L100</f>
        <v>0</v>
      </c>
      <c r="BH100" s="33">
        <f>F100*AO100</f>
        <v>0</v>
      </c>
      <c r="BI100" s="33">
        <f>F100*AP100</f>
        <v>0</v>
      </c>
      <c r="BJ100" s="33">
        <f>F100*G100</f>
        <v>0</v>
      </c>
      <c r="BK100" s="33" t="s">
        <v>728</v>
      </c>
      <c r="BL100" s="35" t="s">
        <v>203</v>
      </c>
    </row>
    <row r="101" spans="1:14" ht="12.75">
      <c r="A101" s="2"/>
      <c r="D101" s="38" t="s">
        <v>419</v>
      </c>
      <c r="F101" s="39">
        <v>55</v>
      </c>
      <c r="M101" s="40"/>
      <c r="N101" s="2"/>
    </row>
    <row r="102" spans="1:64" ht="12.75">
      <c r="A102" s="31" t="s">
        <v>45</v>
      </c>
      <c r="B102" s="32" t="s">
        <v>160</v>
      </c>
      <c r="C102" s="32" t="s">
        <v>211</v>
      </c>
      <c r="D102" s="32" t="s">
        <v>420</v>
      </c>
      <c r="E102" s="32" t="s">
        <v>652</v>
      </c>
      <c r="F102" s="33">
        <v>30</v>
      </c>
      <c r="G102" s="33">
        <f>J102/F102</f>
        <v>0</v>
      </c>
      <c r="H102" s="61">
        <v>0</v>
      </c>
      <c r="I102" s="61">
        <v>0</v>
      </c>
      <c r="J102" s="33">
        <f>H102+I102</f>
        <v>0</v>
      </c>
      <c r="K102" s="33">
        <v>0</v>
      </c>
      <c r="L102" s="33">
        <f>F102*K102</f>
        <v>0</v>
      </c>
      <c r="M102" s="34" t="s">
        <v>680</v>
      </c>
      <c r="N102" s="2"/>
      <c r="Z102" s="35">
        <f>IF(AQ102="5",BJ102,0)</f>
        <v>0</v>
      </c>
      <c r="AB102" s="35">
        <f>IF(AQ102="1",BH102,0)</f>
        <v>0</v>
      </c>
      <c r="AC102" s="35">
        <f>IF(AQ102="1",BI102,0)</f>
        <v>0</v>
      </c>
      <c r="AD102" s="35">
        <f>IF(AQ102="7",BH102,0)</f>
        <v>0</v>
      </c>
      <c r="AE102" s="35">
        <f>IF(AQ102="7",BI102,0)</f>
        <v>0</v>
      </c>
      <c r="AF102" s="35">
        <f>H102</f>
        <v>0</v>
      </c>
      <c r="AG102" s="35">
        <f>I102</f>
        <v>0</v>
      </c>
      <c r="AH102" s="35">
        <f>IF(AQ102="0",BJ102,0)</f>
        <v>0</v>
      </c>
      <c r="AI102" s="10" t="s">
        <v>160</v>
      </c>
      <c r="AJ102" s="33">
        <f>IF(AN102=0,J102,0)</f>
        <v>0</v>
      </c>
      <c r="AK102" s="33">
        <f>IF(AN102=15,J102,0)</f>
        <v>0</v>
      </c>
      <c r="AL102" s="33">
        <f>IF(AN102=21,J102,0)</f>
        <v>0</v>
      </c>
      <c r="AN102" s="35">
        <v>21</v>
      </c>
      <c r="AO102" s="35">
        <f>G102*0</f>
        <v>0</v>
      </c>
      <c r="AP102" s="35">
        <f>G102*(1-0)</f>
        <v>0</v>
      </c>
      <c r="AQ102" s="36" t="s">
        <v>7</v>
      </c>
      <c r="AV102" s="35">
        <f>AW102+AX102</f>
        <v>0</v>
      </c>
      <c r="AW102" s="35">
        <f>F102*AO102</f>
        <v>0</v>
      </c>
      <c r="AX102" s="35">
        <f>F102*AP102</f>
        <v>0</v>
      </c>
      <c r="AY102" s="37" t="s">
        <v>698</v>
      </c>
      <c r="AZ102" s="37" t="s">
        <v>711</v>
      </c>
      <c r="BA102" s="10" t="s">
        <v>720</v>
      </c>
      <c r="BC102" s="35">
        <f>AW102+AX102</f>
        <v>0</v>
      </c>
      <c r="BD102" s="35">
        <f>G102/(100-BE102)*100</f>
        <v>0</v>
      </c>
      <c r="BE102" s="35">
        <v>0</v>
      </c>
      <c r="BF102" s="35">
        <f>L102</f>
        <v>0</v>
      </c>
      <c r="BH102" s="33">
        <f>F102*AO102</f>
        <v>0</v>
      </c>
      <c r="BI102" s="33">
        <f>F102*AP102</f>
        <v>0</v>
      </c>
      <c r="BJ102" s="33">
        <f>F102*G102</f>
        <v>0</v>
      </c>
      <c r="BK102" s="33" t="s">
        <v>728</v>
      </c>
      <c r="BL102" s="35" t="s">
        <v>203</v>
      </c>
    </row>
    <row r="103" spans="1:14" ht="12.75">
      <c r="A103" s="2"/>
      <c r="D103" s="38" t="s">
        <v>421</v>
      </c>
      <c r="F103" s="39">
        <v>30</v>
      </c>
      <c r="M103" s="40"/>
      <c r="N103" s="2"/>
    </row>
    <row r="104" spans="1:47" ht="12.75">
      <c r="A104" s="26"/>
      <c r="B104" s="27" t="s">
        <v>160</v>
      </c>
      <c r="C104" s="27" t="s">
        <v>212</v>
      </c>
      <c r="D104" s="27" t="s">
        <v>422</v>
      </c>
      <c r="E104" s="28" t="s">
        <v>5</v>
      </c>
      <c r="F104" s="28" t="s">
        <v>5</v>
      </c>
      <c r="G104" s="28" t="s">
        <v>5</v>
      </c>
      <c r="H104" s="29">
        <f>SUM(H105:H121)</f>
        <v>0</v>
      </c>
      <c r="I104" s="29">
        <f>SUM(I105:I121)</f>
        <v>0</v>
      </c>
      <c r="J104" s="29">
        <f>SUM(J105:J121)</f>
        <v>0</v>
      </c>
      <c r="K104" s="10"/>
      <c r="L104" s="29">
        <f>SUM(L105:L121)</f>
        <v>0</v>
      </c>
      <c r="M104" s="30"/>
      <c r="N104" s="2"/>
      <c r="AI104" s="10" t="s">
        <v>160</v>
      </c>
      <c r="AS104" s="29">
        <f>SUM(AJ105:AJ121)</f>
        <v>0</v>
      </c>
      <c r="AT104" s="29">
        <f>SUM(AK105:AK121)</f>
        <v>0</v>
      </c>
      <c r="AU104" s="29">
        <f>SUM(AL105:AL121)</f>
        <v>0</v>
      </c>
    </row>
    <row r="105" spans="1:64" ht="12.75">
      <c r="A105" s="31" t="s">
        <v>46</v>
      </c>
      <c r="B105" s="32" t="s">
        <v>160</v>
      </c>
      <c r="C105" s="32" t="s">
        <v>213</v>
      </c>
      <c r="D105" s="32" t="s">
        <v>423</v>
      </c>
      <c r="E105" s="32" t="s">
        <v>654</v>
      </c>
      <c r="F105" s="33">
        <v>63.5677</v>
      </c>
      <c r="G105" s="33">
        <f>J105/F105</f>
        <v>0</v>
      </c>
      <c r="H105" s="61">
        <v>0</v>
      </c>
      <c r="I105" s="61">
        <v>0</v>
      </c>
      <c r="J105" s="33">
        <f>H105+I105</f>
        <v>0</v>
      </c>
      <c r="K105" s="33">
        <v>0</v>
      </c>
      <c r="L105" s="33">
        <f>F105*K105</f>
        <v>0</v>
      </c>
      <c r="M105" s="34" t="s">
        <v>680</v>
      </c>
      <c r="N105" s="2"/>
      <c r="Z105" s="35">
        <f>H105+I105</f>
        <v>0</v>
      </c>
      <c r="AB105" s="35">
        <f>IF(AQ105="1",BH105,0)</f>
        <v>0</v>
      </c>
      <c r="AC105" s="35">
        <f>IF(AQ105="1",BI105,0)</f>
        <v>0</v>
      </c>
      <c r="AD105" s="35">
        <f>IF(AQ105="7",BH105,0)</f>
        <v>0</v>
      </c>
      <c r="AE105" s="35">
        <f>IF(AQ105="7",BI105,0)</f>
        <v>0</v>
      </c>
      <c r="AF105" s="35">
        <f>IF(AQ105="2",BH105,0)</f>
        <v>0</v>
      </c>
      <c r="AG105" s="35">
        <f>IF(AQ105="2",BI105,0)</f>
        <v>0</v>
      </c>
      <c r="AH105" s="35">
        <f>IF(AQ105="0",BJ105,0)</f>
        <v>0</v>
      </c>
      <c r="AI105" s="10" t="s">
        <v>160</v>
      </c>
      <c r="AJ105" s="33">
        <f>IF(AN105=0,J105,0)</f>
        <v>0</v>
      </c>
      <c r="AK105" s="33">
        <f>IF(AN105=15,J105,0)</f>
        <v>0</v>
      </c>
      <c r="AL105" s="33">
        <f>IF(AN105=21,J105,0)</f>
        <v>0</v>
      </c>
      <c r="AN105" s="35">
        <v>21</v>
      </c>
      <c r="AO105" s="35">
        <f>G105*0</f>
        <v>0</v>
      </c>
      <c r="AP105" s="35">
        <f>G105*(1-0)</f>
        <v>0</v>
      </c>
      <c r="AQ105" s="36" t="s">
        <v>10</v>
      </c>
      <c r="AV105" s="35">
        <f>AW105+AX105</f>
        <v>0</v>
      </c>
      <c r="AW105" s="35">
        <f>F105*AO105</f>
        <v>0</v>
      </c>
      <c r="AX105" s="35">
        <f>F105*AP105</f>
        <v>0</v>
      </c>
      <c r="AY105" s="37" t="s">
        <v>699</v>
      </c>
      <c r="AZ105" s="37" t="s">
        <v>711</v>
      </c>
      <c r="BA105" s="10" t="s">
        <v>720</v>
      </c>
      <c r="BC105" s="35">
        <f>AW105+AX105</f>
        <v>0</v>
      </c>
      <c r="BD105" s="35">
        <f>G105/(100-BE105)*100</f>
        <v>0</v>
      </c>
      <c r="BE105" s="35">
        <v>0</v>
      </c>
      <c r="BF105" s="35">
        <f>L105</f>
        <v>0</v>
      </c>
      <c r="BH105" s="33">
        <f>F105*AO105</f>
        <v>0</v>
      </c>
      <c r="BI105" s="33">
        <f>F105*AP105</f>
        <v>0</v>
      </c>
      <c r="BJ105" s="33">
        <f>F105*G105</f>
        <v>0</v>
      </c>
      <c r="BK105" s="33" t="s">
        <v>728</v>
      </c>
      <c r="BL105" s="35" t="s">
        <v>212</v>
      </c>
    </row>
    <row r="106" spans="1:64" ht="12.75">
      <c r="A106" s="31" t="s">
        <v>47</v>
      </c>
      <c r="B106" s="32" t="s">
        <v>160</v>
      </c>
      <c r="C106" s="32" t="s">
        <v>214</v>
      </c>
      <c r="D106" s="32" t="s">
        <v>424</v>
      </c>
      <c r="E106" s="32" t="s">
        <v>654</v>
      </c>
      <c r="F106" s="33">
        <v>0.0316</v>
      </c>
      <c r="G106" s="33">
        <f>J106/F106</f>
        <v>0</v>
      </c>
      <c r="H106" s="61">
        <v>0</v>
      </c>
      <c r="I106" s="61">
        <v>0</v>
      </c>
      <c r="J106" s="33">
        <f>H106+I106</f>
        <v>0</v>
      </c>
      <c r="K106" s="33">
        <v>0</v>
      </c>
      <c r="L106" s="33">
        <f>F106*K106</f>
        <v>0</v>
      </c>
      <c r="M106" s="34" t="s">
        <v>680</v>
      </c>
      <c r="N106" s="2"/>
      <c r="Z106" s="35">
        <f>H106+I106</f>
        <v>0</v>
      </c>
      <c r="AB106" s="35">
        <f>IF(AQ106="1",BH106,0)</f>
        <v>0</v>
      </c>
      <c r="AC106" s="35">
        <f>IF(AQ106="1",BI106,0)</f>
        <v>0</v>
      </c>
      <c r="AD106" s="35">
        <f>IF(AQ106="7",BH106,0)</f>
        <v>0</v>
      </c>
      <c r="AE106" s="35">
        <f>IF(AQ106="7",BI106,0)</f>
        <v>0</v>
      </c>
      <c r="AF106" s="35">
        <f>IF(AQ106="2",BH106,0)</f>
        <v>0</v>
      </c>
      <c r="AG106" s="35">
        <f>IF(AQ106="2",BI106,0)</f>
        <v>0</v>
      </c>
      <c r="AH106" s="35">
        <f>IF(AQ106="0",BJ106,0)</f>
        <v>0</v>
      </c>
      <c r="AI106" s="10" t="s">
        <v>160</v>
      </c>
      <c r="AJ106" s="33">
        <f>IF(AN106=0,J106,0)</f>
        <v>0</v>
      </c>
      <c r="AK106" s="33">
        <f>IF(AN106=15,J106,0)</f>
        <v>0</v>
      </c>
      <c r="AL106" s="33">
        <f>IF(AN106=21,J106,0)</f>
        <v>0</v>
      </c>
      <c r="AN106" s="35">
        <v>21</v>
      </c>
      <c r="AO106" s="35">
        <f>G106*0</f>
        <v>0</v>
      </c>
      <c r="AP106" s="35">
        <f>G106*(1-0)</f>
        <v>0</v>
      </c>
      <c r="AQ106" s="36" t="s">
        <v>10</v>
      </c>
      <c r="AV106" s="35">
        <f>AW106+AX106</f>
        <v>0</v>
      </c>
      <c r="AW106" s="35">
        <f>F106*AO106</f>
        <v>0</v>
      </c>
      <c r="AX106" s="35">
        <f>F106*AP106</f>
        <v>0</v>
      </c>
      <c r="AY106" s="37" t="s">
        <v>699</v>
      </c>
      <c r="AZ106" s="37" t="s">
        <v>711</v>
      </c>
      <c r="BA106" s="10" t="s">
        <v>720</v>
      </c>
      <c r="BC106" s="35">
        <f>AW106+AX106</f>
        <v>0</v>
      </c>
      <c r="BD106" s="35">
        <f>G106/(100-BE106)*100</f>
        <v>0</v>
      </c>
      <c r="BE106" s="35">
        <v>0</v>
      </c>
      <c r="BF106" s="35">
        <f>L106</f>
        <v>0</v>
      </c>
      <c r="BH106" s="33">
        <f>F106*AO106</f>
        <v>0</v>
      </c>
      <c r="BI106" s="33">
        <f>F106*AP106</f>
        <v>0</v>
      </c>
      <c r="BJ106" s="33">
        <f>F106*G106</f>
        <v>0</v>
      </c>
      <c r="BK106" s="33" t="s">
        <v>728</v>
      </c>
      <c r="BL106" s="35" t="s">
        <v>212</v>
      </c>
    </row>
    <row r="107" spans="1:14" ht="12.75">
      <c r="A107" s="2"/>
      <c r="D107" s="38" t="s">
        <v>425</v>
      </c>
      <c r="F107" s="39">
        <v>0.0316</v>
      </c>
      <c r="H107" s="41"/>
      <c r="I107" s="41"/>
      <c r="M107" s="40"/>
      <c r="N107" s="2"/>
    </row>
    <row r="108" spans="1:64" ht="12.75">
      <c r="A108" s="31" t="s">
        <v>48</v>
      </c>
      <c r="B108" s="32" t="s">
        <v>160</v>
      </c>
      <c r="C108" s="32" t="s">
        <v>215</v>
      </c>
      <c r="D108" s="32" t="s">
        <v>426</v>
      </c>
      <c r="E108" s="32" t="s">
        <v>654</v>
      </c>
      <c r="F108" s="33">
        <v>63.5677</v>
      </c>
      <c r="G108" s="33">
        <f>J108/F108</f>
        <v>0</v>
      </c>
      <c r="H108" s="61">
        <v>0</v>
      </c>
      <c r="I108" s="61">
        <v>0</v>
      </c>
      <c r="J108" s="33">
        <f>H108+I108</f>
        <v>0</v>
      </c>
      <c r="K108" s="33">
        <v>0</v>
      </c>
      <c r="L108" s="33">
        <f>F108*K108</f>
        <v>0</v>
      </c>
      <c r="M108" s="34" t="s">
        <v>680</v>
      </c>
      <c r="N108" s="2"/>
      <c r="Z108" s="35">
        <f>H108+I108</f>
        <v>0</v>
      </c>
      <c r="AB108" s="35">
        <f>IF(AQ108="1",BH108,0)</f>
        <v>0</v>
      </c>
      <c r="AC108" s="35">
        <f>IF(AQ108="1",BI108,0)</f>
        <v>0</v>
      </c>
      <c r="AD108" s="35">
        <f>IF(AQ108="7",BH108,0)</f>
        <v>0</v>
      </c>
      <c r="AE108" s="35">
        <f>IF(AQ108="7",BI108,0)</f>
        <v>0</v>
      </c>
      <c r="AF108" s="35">
        <f>IF(AQ108="2",BH108,0)</f>
        <v>0</v>
      </c>
      <c r="AG108" s="35">
        <f>IF(AQ108="2",BI108,0)</f>
        <v>0</v>
      </c>
      <c r="AH108" s="35">
        <f>IF(AQ108="0",BJ108,0)</f>
        <v>0</v>
      </c>
      <c r="AI108" s="10" t="s">
        <v>160</v>
      </c>
      <c r="AJ108" s="33">
        <f>IF(AN108=0,J108,0)</f>
        <v>0</v>
      </c>
      <c r="AK108" s="33">
        <f>IF(AN108=15,J108,0)</f>
        <v>0</v>
      </c>
      <c r="AL108" s="33">
        <f>IF(AN108=21,J108,0)</f>
        <v>0</v>
      </c>
      <c r="AN108" s="35">
        <v>21</v>
      </c>
      <c r="AO108" s="35">
        <f>G108*0</f>
        <v>0</v>
      </c>
      <c r="AP108" s="35">
        <f>G108*(1-0)</f>
        <v>0</v>
      </c>
      <c r="AQ108" s="36" t="s">
        <v>10</v>
      </c>
      <c r="AV108" s="35">
        <f>AW108+AX108</f>
        <v>0</v>
      </c>
      <c r="AW108" s="35">
        <f>F108*AO108</f>
        <v>0</v>
      </c>
      <c r="AX108" s="35">
        <f>F108*AP108</f>
        <v>0</v>
      </c>
      <c r="AY108" s="37" t="s">
        <v>699</v>
      </c>
      <c r="AZ108" s="37" t="s">
        <v>711</v>
      </c>
      <c r="BA108" s="10" t="s">
        <v>720</v>
      </c>
      <c r="BC108" s="35">
        <f>AW108+AX108</f>
        <v>0</v>
      </c>
      <c r="BD108" s="35">
        <f>G108/(100-BE108)*100</f>
        <v>0</v>
      </c>
      <c r="BE108" s="35">
        <v>0</v>
      </c>
      <c r="BF108" s="35">
        <f>L108</f>
        <v>0</v>
      </c>
      <c r="BH108" s="33">
        <f>F108*AO108</f>
        <v>0</v>
      </c>
      <c r="BI108" s="33">
        <f>F108*AP108</f>
        <v>0</v>
      </c>
      <c r="BJ108" s="33">
        <f>F108*G108</f>
        <v>0</v>
      </c>
      <c r="BK108" s="33" t="s">
        <v>728</v>
      </c>
      <c r="BL108" s="35" t="s">
        <v>212</v>
      </c>
    </row>
    <row r="109" spans="1:14" ht="12.75">
      <c r="A109" s="2"/>
      <c r="D109" s="38" t="s">
        <v>427</v>
      </c>
      <c r="F109" s="39">
        <v>63.5677</v>
      </c>
      <c r="H109" s="41"/>
      <c r="I109" s="41"/>
      <c r="M109" s="40"/>
      <c r="N109" s="2"/>
    </row>
    <row r="110" spans="1:64" ht="12.75">
      <c r="A110" s="31" t="s">
        <v>49</v>
      </c>
      <c r="B110" s="32" t="s">
        <v>160</v>
      </c>
      <c r="C110" s="32" t="s">
        <v>216</v>
      </c>
      <c r="D110" s="32" t="s">
        <v>428</v>
      </c>
      <c r="E110" s="32" t="s">
        <v>654</v>
      </c>
      <c r="F110" s="33">
        <v>63.5677</v>
      </c>
      <c r="G110" s="33">
        <f>J110/F110</f>
        <v>0</v>
      </c>
      <c r="H110" s="61">
        <v>0</v>
      </c>
      <c r="I110" s="61">
        <v>0</v>
      </c>
      <c r="J110" s="33">
        <f>H110+I110</f>
        <v>0</v>
      </c>
      <c r="K110" s="33">
        <v>0</v>
      </c>
      <c r="L110" s="33">
        <f>F110*K110</f>
        <v>0</v>
      </c>
      <c r="M110" s="34" t="s">
        <v>680</v>
      </c>
      <c r="N110" s="2"/>
      <c r="Z110" s="35">
        <f>H110+I110</f>
        <v>0</v>
      </c>
      <c r="AB110" s="35">
        <f>IF(AQ110="1",BH110,0)</f>
        <v>0</v>
      </c>
      <c r="AC110" s="35">
        <f>IF(AQ110="1",BI110,0)</f>
        <v>0</v>
      </c>
      <c r="AD110" s="35">
        <f>IF(AQ110="7",BH110,0)</f>
        <v>0</v>
      </c>
      <c r="AE110" s="35">
        <f>IF(AQ110="7",BI110,0)</f>
        <v>0</v>
      </c>
      <c r="AF110" s="35">
        <f>IF(AQ110="2",BH110,0)</f>
        <v>0</v>
      </c>
      <c r="AG110" s="35">
        <f>IF(AQ110="2",BI110,0)</f>
        <v>0</v>
      </c>
      <c r="AH110" s="35">
        <f>IF(AQ110="0",BJ110,0)</f>
        <v>0</v>
      </c>
      <c r="AI110" s="10" t="s">
        <v>160</v>
      </c>
      <c r="AJ110" s="33">
        <f>IF(AN110=0,J110,0)</f>
        <v>0</v>
      </c>
      <c r="AK110" s="33">
        <f>IF(AN110=15,J110,0)</f>
        <v>0</v>
      </c>
      <c r="AL110" s="33">
        <f>IF(AN110=21,J110,0)</f>
        <v>0</v>
      </c>
      <c r="AN110" s="35">
        <v>21</v>
      </c>
      <c r="AO110" s="35">
        <f>G110*0</f>
        <v>0</v>
      </c>
      <c r="AP110" s="35">
        <f>G110*(1-0)</f>
        <v>0</v>
      </c>
      <c r="AQ110" s="36" t="s">
        <v>10</v>
      </c>
      <c r="AV110" s="35">
        <f>AW110+AX110</f>
        <v>0</v>
      </c>
      <c r="AW110" s="35">
        <f>F110*AO110</f>
        <v>0</v>
      </c>
      <c r="AX110" s="35">
        <f>F110*AP110</f>
        <v>0</v>
      </c>
      <c r="AY110" s="37" t="s">
        <v>699</v>
      </c>
      <c r="AZ110" s="37" t="s">
        <v>711</v>
      </c>
      <c r="BA110" s="10" t="s">
        <v>720</v>
      </c>
      <c r="BC110" s="35">
        <f>AW110+AX110</f>
        <v>0</v>
      </c>
      <c r="BD110" s="35">
        <f>G110/(100-BE110)*100</f>
        <v>0</v>
      </c>
      <c r="BE110" s="35">
        <v>0</v>
      </c>
      <c r="BF110" s="35">
        <f>L110</f>
        <v>0</v>
      </c>
      <c r="BH110" s="33">
        <f>F110*AO110</f>
        <v>0</v>
      </c>
      <c r="BI110" s="33">
        <f>F110*AP110</f>
        <v>0</v>
      </c>
      <c r="BJ110" s="33">
        <f>F110*G110</f>
        <v>0</v>
      </c>
      <c r="BK110" s="33" t="s">
        <v>728</v>
      </c>
      <c r="BL110" s="35" t="s">
        <v>212</v>
      </c>
    </row>
    <row r="111" spans="1:14" ht="12.75">
      <c r="A111" s="2"/>
      <c r="D111" s="38" t="s">
        <v>427</v>
      </c>
      <c r="F111" s="39">
        <v>63.5677</v>
      </c>
      <c r="H111" s="41"/>
      <c r="I111" s="41"/>
      <c r="M111" s="40"/>
      <c r="N111" s="2"/>
    </row>
    <row r="112" spans="1:64" ht="12.75">
      <c r="A112" s="31" t="s">
        <v>50</v>
      </c>
      <c r="B112" s="32" t="s">
        <v>160</v>
      </c>
      <c r="C112" s="32" t="s">
        <v>217</v>
      </c>
      <c r="D112" s="32" t="s">
        <v>429</v>
      </c>
      <c r="E112" s="32" t="s">
        <v>654</v>
      </c>
      <c r="F112" s="33">
        <v>63.5677</v>
      </c>
      <c r="G112" s="33">
        <f>J112/F112</f>
        <v>0</v>
      </c>
      <c r="H112" s="61">
        <v>0</v>
      </c>
      <c r="I112" s="61">
        <v>0</v>
      </c>
      <c r="J112" s="33">
        <f>H112+I112</f>
        <v>0</v>
      </c>
      <c r="K112" s="33">
        <v>0</v>
      </c>
      <c r="L112" s="33">
        <f>F112*K112</f>
        <v>0</v>
      </c>
      <c r="M112" s="34" t="s">
        <v>680</v>
      </c>
      <c r="N112" s="2"/>
      <c r="Z112" s="35">
        <f>H112+I112</f>
        <v>0</v>
      </c>
      <c r="AB112" s="35">
        <f>IF(AQ112="1",BH112,0)</f>
        <v>0</v>
      </c>
      <c r="AC112" s="35">
        <f>IF(AQ112="1",BI112,0)</f>
        <v>0</v>
      </c>
      <c r="AD112" s="35">
        <f>IF(AQ112="7",BH112,0)</f>
        <v>0</v>
      </c>
      <c r="AE112" s="35">
        <f>IF(AQ112="7",BI112,0)</f>
        <v>0</v>
      </c>
      <c r="AF112" s="35">
        <f>IF(AQ112="2",BH112,0)</f>
        <v>0</v>
      </c>
      <c r="AG112" s="35">
        <f>IF(AQ112="2",BI112,0)</f>
        <v>0</v>
      </c>
      <c r="AH112" s="35">
        <f>IF(AQ112="0",BJ112,0)</f>
        <v>0</v>
      </c>
      <c r="AI112" s="10" t="s">
        <v>160</v>
      </c>
      <c r="AJ112" s="33">
        <f>IF(AN112=0,J112,0)</f>
        <v>0</v>
      </c>
      <c r="AK112" s="33">
        <f>IF(AN112=15,J112,0)</f>
        <v>0</v>
      </c>
      <c r="AL112" s="33">
        <f>IF(AN112=21,J112,0)</f>
        <v>0</v>
      </c>
      <c r="AN112" s="35">
        <v>21</v>
      </c>
      <c r="AO112" s="35">
        <f>G112*0</f>
        <v>0</v>
      </c>
      <c r="AP112" s="35">
        <f>G112*(1-0)</f>
        <v>0</v>
      </c>
      <c r="AQ112" s="36" t="s">
        <v>10</v>
      </c>
      <c r="AV112" s="35">
        <f>AW112+AX112</f>
        <v>0</v>
      </c>
      <c r="AW112" s="35">
        <f>F112*AO112</f>
        <v>0</v>
      </c>
      <c r="AX112" s="35">
        <f>F112*AP112</f>
        <v>0</v>
      </c>
      <c r="AY112" s="37" t="s">
        <v>699</v>
      </c>
      <c r="AZ112" s="37" t="s">
        <v>711</v>
      </c>
      <c r="BA112" s="10" t="s">
        <v>720</v>
      </c>
      <c r="BC112" s="35">
        <f>AW112+AX112</f>
        <v>0</v>
      </c>
      <c r="BD112" s="35">
        <f>G112/(100-BE112)*100</f>
        <v>0</v>
      </c>
      <c r="BE112" s="35">
        <v>0</v>
      </c>
      <c r="BF112" s="35">
        <f>L112</f>
        <v>0</v>
      </c>
      <c r="BH112" s="33">
        <f>F112*AO112</f>
        <v>0</v>
      </c>
      <c r="BI112" s="33">
        <f>F112*AP112</f>
        <v>0</v>
      </c>
      <c r="BJ112" s="33">
        <f>F112*G112</f>
        <v>0</v>
      </c>
      <c r="BK112" s="33" t="s">
        <v>728</v>
      </c>
      <c r="BL112" s="35" t="s">
        <v>212</v>
      </c>
    </row>
    <row r="113" spans="1:14" ht="12.75">
      <c r="A113" s="2"/>
      <c r="D113" s="38" t="s">
        <v>427</v>
      </c>
      <c r="F113" s="39">
        <v>63.5677</v>
      </c>
      <c r="H113" s="41"/>
      <c r="I113" s="41"/>
      <c r="M113" s="40"/>
      <c r="N113" s="2"/>
    </row>
    <row r="114" spans="1:64" ht="12.75">
      <c r="A114" s="31" t="s">
        <v>51</v>
      </c>
      <c r="B114" s="32" t="s">
        <v>160</v>
      </c>
      <c r="C114" s="32" t="s">
        <v>218</v>
      </c>
      <c r="D114" s="32" t="s">
        <v>430</v>
      </c>
      <c r="E114" s="32" t="s">
        <v>654</v>
      </c>
      <c r="F114" s="33">
        <v>953.5155</v>
      </c>
      <c r="G114" s="33">
        <f>J114/F114</f>
        <v>0</v>
      </c>
      <c r="H114" s="61">
        <v>0</v>
      </c>
      <c r="I114" s="61">
        <v>0</v>
      </c>
      <c r="J114" s="33">
        <f>H114+I114</f>
        <v>0</v>
      </c>
      <c r="K114" s="33">
        <v>0</v>
      </c>
      <c r="L114" s="33">
        <f>F114*K114</f>
        <v>0</v>
      </c>
      <c r="M114" s="34" t="s">
        <v>680</v>
      </c>
      <c r="N114" s="2"/>
      <c r="Z114" s="35">
        <f>H114+I114</f>
        <v>0</v>
      </c>
      <c r="AB114" s="35">
        <f>IF(AQ114="1",BH114,0)</f>
        <v>0</v>
      </c>
      <c r="AC114" s="35">
        <f>IF(AQ114="1",BI114,0)</f>
        <v>0</v>
      </c>
      <c r="AD114" s="35">
        <f>IF(AQ114="7",BH114,0)</f>
        <v>0</v>
      </c>
      <c r="AE114" s="35">
        <f>IF(AQ114="7",BI114,0)</f>
        <v>0</v>
      </c>
      <c r="AF114" s="35">
        <f>IF(AQ114="2",BH114,0)</f>
        <v>0</v>
      </c>
      <c r="AG114" s="35">
        <f>IF(AQ114="2",BI114,0)</f>
        <v>0</v>
      </c>
      <c r="AH114" s="35">
        <f>IF(AQ114="0",BJ114,0)</f>
        <v>0</v>
      </c>
      <c r="AI114" s="10" t="s">
        <v>160</v>
      </c>
      <c r="AJ114" s="33">
        <f>IF(AN114=0,J114,0)</f>
        <v>0</v>
      </c>
      <c r="AK114" s="33">
        <f>IF(AN114=15,J114,0)</f>
        <v>0</v>
      </c>
      <c r="AL114" s="33">
        <f>IF(AN114=21,J114,0)</f>
        <v>0</v>
      </c>
      <c r="AN114" s="35">
        <v>21</v>
      </c>
      <c r="AO114" s="35">
        <f>G114*0</f>
        <v>0</v>
      </c>
      <c r="AP114" s="35">
        <f>G114*(1-0)</f>
        <v>0</v>
      </c>
      <c r="AQ114" s="36" t="s">
        <v>10</v>
      </c>
      <c r="AV114" s="35">
        <f>AW114+AX114</f>
        <v>0</v>
      </c>
      <c r="AW114" s="35">
        <f>F114*AO114</f>
        <v>0</v>
      </c>
      <c r="AX114" s="35">
        <f>F114*AP114</f>
        <v>0</v>
      </c>
      <c r="AY114" s="37" t="s">
        <v>699</v>
      </c>
      <c r="AZ114" s="37" t="s">
        <v>711</v>
      </c>
      <c r="BA114" s="10" t="s">
        <v>720</v>
      </c>
      <c r="BC114" s="35">
        <f>AW114+AX114</f>
        <v>0</v>
      </c>
      <c r="BD114" s="35">
        <f>G114/(100-BE114)*100</f>
        <v>0</v>
      </c>
      <c r="BE114" s="35">
        <v>0</v>
      </c>
      <c r="BF114" s="35">
        <f>L114</f>
        <v>0</v>
      </c>
      <c r="BH114" s="33">
        <f>F114*AO114</f>
        <v>0</v>
      </c>
      <c r="BI114" s="33">
        <f>F114*AP114</f>
        <v>0</v>
      </c>
      <c r="BJ114" s="33">
        <f>F114*G114</f>
        <v>0</v>
      </c>
      <c r="BK114" s="33" t="s">
        <v>728</v>
      </c>
      <c r="BL114" s="35" t="s">
        <v>212</v>
      </c>
    </row>
    <row r="115" spans="1:14" ht="12.75">
      <c r="A115" s="2"/>
      <c r="D115" s="38" t="s">
        <v>431</v>
      </c>
      <c r="F115" s="39">
        <v>953.5155</v>
      </c>
      <c r="H115" s="41"/>
      <c r="I115" s="41"/>
      <c r="M115" s="40"/>
      <c r="N115" s="2"/>
    </row>
    <row r="116" spans="1:64" ht="12.75">
      <c r="A116" s="31" t="s">
        <v>52</v>
      </c>
      <c r="B116" s="32" t="s">
        <v>160</v>
      </c>
      <c r="C116" s="32" t="s">
        <v>219</v>
      </c>
      <c r="D116" s="32" t="s">
        <v>432</v>
      </c>
      <c r="E116" s="32" t="s">
        <v>654</v>
      </c>
      <c r="F116" s="33">
        <v>28.90447</v>
      </c>
      <c r="G116" s="33">
        <f>J116/F116</f>
        <v>0</v>
      </c>
      <c r="H116" s="61">
        <v>0</v>
      </c>
      <c r="I116" s="61">
        <v>0</v>
      </c>
      <c r="J116" s="33">
        <f>-H116-I116</f>
        <v>0</v>
      </c>
      <c r="K116" s="33">
        <v>0</v>
      </c>
      <c r="L116" s="33">
        <f>F116*K116</f>
        <v>0</v>
      </c>
      <c r="M116" s="34" t="s">
        <v>680</v>
      </c>
      <c r="N116" s="2"/>
      <c r="Z116" s="35">
        <f>H116+I116</f>
        <v>0</v>
      </c>
      <c r="AB116" s="35">
        <f>IF(AQ116="1",BH116,0)</f>
        <v>0</v>
      </c>
      <c r="AC116" s="35">
        <f>IF(AQ116="1",BI116,0)</f>
        <v>0</v>
      </c>
      <c r="AD116" s="35">
        <f>IF(AQ116="7",BH116,0)</f>
        <v>0</v>
      </c>
      <c r="AE116" s="35">
        <f>IF(AQ116="7",BI116,0)</f>
        <v>0</v>
      </c>
      <c r="AF116" s="35">
        <f>IF(AQ116="2",BH116,0)</f>
        <v>0</v>
      </c>
      <c r="AG116" s="35">
        <f>IF(AQ116="2",BI116,0)</f>
        <v>0</v>
      </c>
      <c r="AH116" s="35">
        <f>IF(AQ116="0",BJ116,0)</f>
        <v>0</v>
      </c>
      <c r="AI116" s="10" t="s">
        <v>160</v>
      </c>
      <c r="AJ116" s="33">
        <f>IF(AN116=0,J116,0)</f>
        <v>0</v>
      </c>
      <c r="AK116" s="33">
        <f>IF(AN116=15,J116,0)</f>
        <v>0</v>
      </c>
      <c r="AL116" s="33">
        <f>IF(AN116=21,J116,0)</f>
        <v>0</v>
      </c>
      <c r="AN116" s="35">
        <v>21</v>
      </c>
      <c r="AO116" s="35">
        <f>G116*0</f>
        <v>0</v>
      </c>
      <c r="AP116" s="35">
        <f>G116*(1-0)</f>
        <v>0</v>
      </c>
      <c r="AQ116" s="36" t="s">
        <v>10</v>
      </c>
      <c r="AV116" s="35">
        <f>AW116+AX116</f>
        <v>0</v>
      </c>
      <c r="AW116" s="35">
        <f>F116*AO116</f>
        <v>0</v>
      </c>
      <c r="AX116" s="35">
        <f>F116*AP116</f>
        <v>0</v>
      </c>
      <c r="AY116" s="37" t="s">
        <v>699</v>
      </c>
      <c r="AZ116" s="37" t="s">
        <v>711</v>
      </c>
      <c r="BA116" s="10" t="s">
        <v>720</v>
      </c>
      <c r="BC116" s="35">
        <f>AW116+AX116</f>
        <v>0</v>
      </c>
      <c r="BD116" s="35">
        <f>G116/(100-BE116)*100</f>
        <v>0</v>
      </c>
      <c r="BE116" s="35">
        <v>0</v>
      </c>
      <c r="BF116" s="35">
        <f>L116</f>
        <v>0</v>
      </c>
      <c r="BH116" s="33">
        <f>F116*AO116</f>
        <v>0</v>
      </c>
      <c r="BI116" s="33">
        <f>F116*AP116</f>
        <v>0</v>
      </c>
      <c r="BJ116" s="33">
        <f>F116*G116</f>
        <v>0</v>
      </c>
      <c r="BK116" s="33" t="s">
        <v>728</v>
      </c>
      <c r="BL116" s="35" t="s">
        <v>212</v>
      </c>
    </row>
    <row r="117" spans="1:64" ht="12.75">
      <c r="A117" s="31" t="s">
        <v>53</v>
      </c>
      <c r="B117" s="32" t="s">
        <v>160</v>
      </c>
      <c r="C117" s="32" t="s">
        <v>220</v>
      </c>
      <c r="D117" s="32" t="s">
        <v>433</v>
      </c>
      <c r="E117" s="32" t="s">
        <v>654</v>
      </c>
      <c r="F117" s="33">
        <v>0.68578</v>
      </c>
      <c r="G117" s="33">
        <f>J117/F117</f>
        <v>0</v>
      </c>
      <c r="H117" s="61">
        <v>0</v>
      </c>
      <c r="I117" s="61">
        <v>0</v>
      </c>
      <c r="J117" s="33">
        <f>H117+I117</f>
        <v>0</v>
      </c>
      <c r="K117" s="33">
        <v>0</v>
      </c>
      <c r="L117" s="33">
        <f>F117*K117</f>
        <v>0</v>
      </c>
      <c r="M117" s="34" t="s">
        <v>680</v>
      </c>
      <c r="N117" s="2"/>
      <c r="Z117" s="35">
        <f>H117+I117</f>
        <v>0</v>
      </c>
      <c r="AB117" s="35">
        <f>IF(AQ117="1",BH117,0)</f>
        <v>0</v>
      </c>
      <c r="AC117" s="35">
        <f>IF(AQ117="1",BI117,0)</f>
        <v>0</v>
      </c>
      <c r="AD117" s="35">
        <f>IF(AQ117="7",BH117,0)</f>
        <v>0</v>
      </c>
      <c r="AE117" s="35">
        <f>IF(AQ117="7",BI117,0)</f>
        <v>0</v>
      </c>
      <c r="AF117" s="35">
        <f>IF(AQ117="2",BH117,0)</f>
        <v>0</v>
      </c>
      <c r="AG117" s="35">
        <f>IF(AQ117="2",BI117,0)</f>
        <v>0</v>
      </c>
      <c r="AH117" s="35">
        <f>IF(AQ117="0",BJ117,0)</f>
        <v>0</v>
      </c>
      <c r="AI117" s="10" t="s">
        <v>160</v>
      </c>
      <c r="AJ117" s="33">
        <f>IF(AN117=0,J117,0)</f>
        <v>0</v>
      </c>
      <c r="AK117" s="33">
        <f>IF(AN117=15,J117,0)</f>
        <v>0</v>
      </c>
      <c r="AL117" s="33">
        <f>IF(AN117=21,J117,0)</f>
        <v>0</v>
      </c>
      <c r="AN117" s="35">
        <v>21</v>
      </c>
      <c r="AO117" s="35">
        <f>G117*0</f>
        <v>0</v>
      </c>
      <c r="AP117" s="35">
        <f>G117*(1-0)</f>
        <v>0</v>
      </c>
      <c r="AQ117" s="36" t="s">
        <v>10</v>
      </c>
      <c r="AV117" s="35">
        <f>AW117+AX117</f>
        <v>0</v>
      </c>
      <c r="AW117" s="35">
        <f>F117*AO117</f>
        <v>0</v>
      </c>
      <c r="AX117" s="35">
        <f>F117*AP117</f>
        <v>0</v>
      </c>
      <c r="AY117" s="37" t="s">
        <v>699</v>
      </c>
      <c r="AZ117" s="37" t="s">
        <v>711</v>
      </c>
      <c r="BA117" s="10" t="s">
        <v>720</v>
      </c>
      <c r="BC117" s="35">
        <f>AW117+AX117</f>
        <v>0</v>
      </c>
      <c r="BD117" s="35">
        <f>G117/(100-BE117)*100</f>
        <v>0</v>
      </c>
      <c r="BE117" s="35">
        <v>0</v>
      </c>
      <c r="BF117" s="35">
        <f>L117</f>
        <v>0</v>
      </c>
      <c r="BH117" s="33">
        <f>F117*AO117</f>
        <v>0</v>
      </c>
      <c r="BI117" s="33">
        <f>F117*AP117</f>
        <v>0</v>
      </c>
      <c r="BJ117" s="33">
        <f>F117*G117</f>
        <v>0</v>
      </c>
      <c r="BK117" s="33" t="s">
        <v>728</v>
      </c>
      <c r="BL117" s="35" t="s">
        <v>212</v>
      </c>
    </row>
    <row r="118" spans="1:64" ht="12.75">
      <c r="A118" s="31" t="s">
        <v>54</v>
      </c>
      <c r="B118" s="32" t="s">
        <v>160</v>
      </c>
      <c r="C118" s="32" t="s">
        <v>221</v>
      </c>
      <c r="D118" s="32" t="s">
        <v>434</v>
      </c>
      <c r="E118" s="32" t="s">
        <v>654</v>
      </c>
      <c r="F118" s="33">
        <v>30.3601</v>
      </c>
      <c r="G118" s="33">
        <f>J118/F118</f>
        <v>0</v>
      </c>
      <c r="H118" s="61">
        <v>0</v>
      </c>
      <c r="I118" s="61">
        <v>0</v>
      </c>
      <c r="J118" s="33">
        <f>H118+I118</f>
        <v>0</v>
      </c>
      <c r="K118" s="33">
        <v>0</v>
      </c>
      <c r="L118" s="33">
        <f>F118*K118</f>
        <v>0</v>
      </c>
      <c r="M118" s="34" t="s">
        <v>680</v>
      </c>
      <c r="N118" s="2"/>
      <c r="Z118" s="35">
        <f>H118+I118</f>
        <v>0</v>
      </c>
      <c r="AB118" s="35">
        <f>IF(AQ118="1",BH118,0)</f>
        <v>0</v>
      </c>
      <c r="AC118" s="35">
        <f>IF(AQ118="1",BI118,0)</f>
        <v>0</v>
      </c>
      <c r="AD118" s="35">
        <f>IF(AQ118="7",BH118,0)</f>
        <v>0</v>
      </c>
      <c r="AE118" s="35">
        <f>IF(AQ118="7",BI118,0)</f>
        <v>0</v>
      </c>
      <c r="AF118" s="35">
        <f>IF(AQ118="2",BH118,0)</f>
        <v>0</v>
      </c>
      <c r="AG118" s="35">
        <f>IF(AQ118="2",BI118,0)</f>
        <v>0</v>
      </c>
      <c r="AH118" s="35">
        <f>IF(AQ118="0",BJ118,0)</f>
        <v>0</v>
      </c>
      <c r="AI118" s="10" t="s">
        <v>160</v>
      </c>
      <c r="AJ118" s="33">
        <f>IF(AN118=0,J118,0)</f>
        <v>0</v>
      </c>
      <c r="AK118" s="33">
        <f>IF(AN118=15,J118,0)</f>
        <v>0</v>
      </c>
      <c r="AL118" s="33">
        <f>IF(AN118=21,J118,0)</f>
        <v>0</v>
      </c>
      <c r="AN118" s="35">
        <v>21</v>
      </c>
      <c r="AO118" s="35">
        <f>G118*0</f>
        <v>0</v>
      </c>
      <c r="AP118" s="35">
        <f>G118*(1-0)</f>
        <v>0</v>
      </c>
      <c r="AQ118" s="36" t="s">
        <v>10</v>
      </c>
      <c r="AV118" s="35">
        <f>AW118+AX118</f>
        <v>0</v>
      </c>
      <c r="AW118" s="35">
        <f>F118*AO118</f>
        <v>0</v>
      </c>
      <c r="AX118" s="35">
        <f>F118*AP118</f>
        <v>0</v>
      </c>
      <c r="AY118" s="37" t="s">
        <v>699</v>
      </c>
      <c r="AZ118" s="37" t="s">
        <v>711</v>
      </c>
      <c r="BA118" s="10" t="s">
        <v>720</v>
      </c>
      <c r="BC118" s="35">
        <f>AW118+AX118</f>
        <v>0</v>
      </c>
      <c r="BD118" s="35">
        <f>G118/(100-BE118)*100</f>
        <v>0</v>
      </c>
      <c r="BE118" s="35">
        <v>0</v>
      </c>
      <c r="BF118" s="35">
        <f>L118</f>
        <v>0</v>
      </c>
      <c r="BH118" s="33">
        <f>F118*AO118</f>
        <v>0</v>
      </c>
      <c r="BI118" s="33">
        <f>F118*AP118</f>
        <v>0</v>
      </c>
      <c r="BJ118" s="33">
        <f>F118*G118</f>
        <v>0</v>
      </c>
      <c r="BK118" s="33" t="s">
        <v>728</v>
      </c>
      <c r="BL118" s="35" t="s">
        <v>212</v>
      </c>
    </row>
    <row r="119" spans="1:64" ht="12.75">
      <c r="A119" s="31" t="s">
        <v>55</v>
      </c>
      <c r="B119" s="32" t="s">
        <v>160</v>
      </c>
      <c r="C119" s="32" t="s">
        <v>222</v>
      </c>
      <c r="D119" s="32" t="s">
        <v>435</v>
      </c>
      <c r="E119" s="32" t="s">
        <v>654</v>
      </c>
      <c r="F119" s="33">
        <v>3.61373</v>
      </c>
      <c r="G119" s="33">
        <f>J119/F119</f>
        <v>0</v>
      </c>
      <c r="H119" s="61">
        <v>0</v>
      </c>
      <c r="I119" s="61">
        <v>0</v>
      </c>
      <c r="J119" s="33">
        <f>H119+I119</f>
        <v>0</v>
      </c>
      <c r="K119" s="33">
        <v>0</v>
      </c>
      <c r="L119" s="33">
        <f>F119*K119</f>
        <v>0</v>
      </c>
      <c r="M119" s="34" t="s">
        <v>680</v>
      </c>
      <c r="N119" s="2"/>
      <c r="Z119" s="35">
        <f>H119+I119</f>
        <v>0</v>
      </c>
      <c r="AB119" s="35">
        <f>IF(AQ119="1",BH119,0)</f>
        <v>0</v>
      </c>
      <c r="AC119" s="35">
        <f>IF(AQ119="1",BI119,0)</f>
        <v>0</v>
      </c>
      <c r="AD119" s="35">
        <f>IF(AQ119="7",BH119,0)</f>
        <v>0</v>
      </c>
      <c r="AE119" s="35">
        <f>IF(AQ119="7",BI119,0)</f>
        <v>0</v>
      </c>
      <c r="AF119" s="35">
        <f>IF(AQ119="2",BH119,0)</f>
        <v>0</v>
      </c>
      <c r="AG119" s="35">
        <f>IF(AQ119="2",BI119,0)</f>
        <v>0</v>
      </c>
      <c r="AH119" s="35">
        <f>IF(AQ119="0",BJ119,0)</f>
        <v>0</v>
      </c>
      <c r="AI119" s="10" t="s">
        <v>160</v>
      </c>
      <c r="AJ119" s="33">
        <f>IF(AN119=0,J119,0)</f>
        <v>0</v>
      </c>
      <c r="AK119" s="33">
        <f>IF(AN119=15,J119,0)</f>
        <v>0</v>
      </c>
      <c r="AL119" s="33">
        <f>IF(AN119=21,J119,0)</f>
        <v>0</v>
      </c>
      <c r="AN119" s="35">
        <v>21</v>
      </c>
      <c r="AO119" s="35">
        <f>G119*0</f>
        <v>0</v>
      </c>
      <c r="AP119" s="35">
        <f>G119*(1-0)</f>
        <v>0</v>
      </c>
      <c r="AQ119" s="36" t="s">
        <v>10</v>
      </c>
      <c r="AV119" s="35">
        <f>AW119+AX119</f>
        <v>0</v>
      </c>
      <c r="AW119" s="35">
        <f>F119*AO119</f>
        <v>0</v>
      </c>
      <c r="AX119" s="35">
        <f>F119*AP119</f>
        <v>0</v>
      </c>
      <c r="AY119" s="37" t="s">
        <v>699</v>
      </c>
      <c r="AZ119" s="37" t="s">
        <v>711</v>
      </c>
      <c r="BA119" s="10" t="s">
        <v>720</v>
      </c>
      <c r="BC119" s="35">
        <f>AW119+AX119</f>
        <v>0</v>
      </c>
      <c r="BD119" s="35">
        <f>G119/(100-BE119)*100</f>
        <v>0</v>
      </c>
      <c r="BE119" s="35">
        <v>0</v>
      </c>
      <c r="BF119" s="35">
        <f>L119</f>
        <v>0</v>
      </c>
      <c r="BH119" s="33">
        <f>F119*AO119</f>
        <v>0</v>
      </c>
      <c r="BI119" s="33">
        <f>F119*AP119</f>
        <v>0</v>
      </c>
      <c r="BJ119" s="33">
        <f>F119*G119</f>
        <v>0</v>
      </c>
      <c r="BK119" s="33" t="s">
        <v>728</v>
      </c>
      <c r="BL119" s="35" t="s">
        <v>212</v>
      </c>
    </row>
    <row r="120" spans="1:14" ht="12.75">
      <c r="A120" s="2"/>
      <c r="D120" s="38" t="s">
        <v>436</v>
      </c>
      <c r="F120" s="39">
        <v>3.61373</v>
      </c>
      <c r="H120" s="41"/>
      <c r="I120" s="41"/>
      <c r="M120" s="40"/>
      <c r="N120" s="2"/>
    </row>
    <row r="121" spans="1:64" ht="12.75">
      <c r="A121" s="31" t="s">
        <v>56</v>
      </c>
      <c r="B121" s="32" t="s">
        <v>160</v>
      </c>
      <c r="C121" s="32" t="s">
        <v>223</v>
      </c>
      <c r="D121" s="32" t="s">
        <v>437</v>
      </c>
      <c r="E121" s="32" t="s">
        <v>654</v>
      </c>
      <c r="F121" s="33">
        <v>0.0316</v>
      </c>
      <c r="G121" s="33">
        <f>J121/F121</f>
        <v>0</v>
      </c>
      <c r="H121" s="61">
        <v>0</v>
      </c>
      <c r="I121" s="61">
        <v>0</v>
      </c>
      <c r="J121" s="33">
        <f>H121+I121</f>
        <v>0</v>
      </c>
      <c r="K121" s="33">
        <v>0</v>
      </c>
      <c r="L121" s="33">
        <f>F121*K121</f>
        <v>0</v>
      </c>
      <c r="M121" s="34" t="s">
        <v>680</v>
      </c>
      <c r="N121" s="2"/>
      <c r="Z121" s="35">
        <f>H121+I121</f>
        <v>0</v>
      </c>
      <c r="AB121" s="35">
        <f>IF(AQ121="1",BH121,0)</f>
        <v>0</v>
      </c>
      <c r="AC121" s="35">
        <f>IF(AQ121="1",BI121,0)</f>
        <v>0</v>
      </c>
      <c r="AD121" s="35">
        <f>IF(AQ121="7",BH121,0)</f>
        <v>0</v>
      </c>
      <c r="AE121" s="35">
        <f>IF(AQ121="7",BI121,0)</f>
        <v>0</v>
      </c>
      <c r="AF121" s="35">
        <f>IF(AQ121="2",BH121,0)</f>
        <v>0</v>
      </c>
      <c r="AG121" s="35">
        <f>IF(AQ121="2",BI121,0)</f>
        <v>0</v>
      </c>
      <c r="AH121" s="35">
        <f>IF(AQ121="0",BJ121,0)</f>
        <v>0</v>
      </c>
      <c r="AI121" s="10" t="s">
        <v>160</v>
      </c>
      <c r="AJ121" s="33">
        <f>IF(AN121=0,J121,0)</f>
        <v>0</v>
      </c>
      <c r="AK121" s="33">
        <f>IF(AN121=15,J121,0)</f>
        <v>0</v>
      </c>
      <c r="AL121" s="33">
        <f>IF(AN121=21,J121,0)</f>
        <v>0</v>
      </c>
      <c r="AN121" s="35">
        <v>21</v>
      </c>
      <c r="AO121" s="35">
        <f>G121*0</f>
        <v>0</v>
      </c>
      <c r="AP121" s="35">
        <f>G121*(1-0)</f>
        <v>0</v>
      </c>
      <c r="AQ121" s="36" t="s">
        <v>10</v>
      </c>
      <c r="AV121" s="35">
        <f>AW121+AX121</f>
        <v>0</v>
      </c>
      <c r="AW121" s="35">
        <f>F121*AO121</f>
        <v>0</v>
      </c>
      <c r="AX121" s="35">
        <f>F121*AP121</f>
        <v>0</v>
      </c>
      <c r="AY121" s="37" t="s">
        <v>699</v>
      </c>
      <c r="AZ121" s="37" t="s">
        <v>711</v>
      </c>
      <c r="BA121" s="10" t="s">
        <v>720</v>
      </c>
      <c r="BC121" s="35">
        <f>AW121+AX121</f>
        <v>0</v>
      </c>
      <c r="BD121" s="35">
        <f>G121/(100-BE121)*100</f>
        <v>0</v>
      </c>
      <c r="BE121" s="35">
        <v>0</v>
      </c>
      <c r="BF121" s="35">
        <f>L121</f>
        <v>0</v>
      </c>
      <c r="BH121" s="33">
        <f>F121*AO121</f>
        <v>0</v>
      </c>
      <c r="BI121" s="33">
        <f>F121*AP121</f>
        <v>0</v>
      </c>
      <c r="BJ121" s="33">
        <f>F121*G121</f>
        <v>0</v>
      </c>
      <c r="BK121" s="33" t="s">
        <v>728</v>
      </c>
      <c r="BL121" s="35" t="s">
        <v>212</v>
      </c>
    </row>
    <row r="122" spans="1:14" ht="12.75">
      <c r="A122" s="2"/>
      <c r="D122" s="38" t="s">
        <v>438</v>
      </c>
      <c r="F122" s="39">
        <v>0.0316</v>
      </c>
      <c r="M122" s="40"/>
      <c r="N122" s="2"/>
    </row>
    <row r="123" spans="1:14" ht="12.75">
      <c r="A123" s="42"/>
      <c r="B123" s="43" t="s">
        <v>161</v>
      </c>
      <c r="C123" s="43"/>
      <c r="D123" s="43" t="s">
        <v>439</v>
      </c>
      <c r="E123" s="44" t="s">
        <v>5</v>
      </c>
      <c r="F123" s="44" t="s">
        <v>5</v>
      </c>
      <c r="G123" s="44" t="s">
        <v>5</v>
      </c>
      <c r="H123" s="45">
        <f>H124+H137+H152+H168+H177+H232+H263</f>
        <v>0</v>
      </c>
      <c r="I123" s="45">
        <f>I124+I137+I152+I168+I177+I232+I263</f>
        <v>0</v>
      </c>
      <c r="J123" s="45">
        <f>J124+J137+J152+J168+J177+J232+J263</f>
        <v>0</v>
      </c>
      <c r="K123" s="46"/>
      <c r="L123" s="45">
        <f>L124+L137+L152+L168+L177+L232+L263</f>
        <v>58.17061890309999</v>
      </c>
      <c r="M123" s="47"/>
      <c r="N123" s="2"/>
    </row>
    <row r="124" spans="1:47" ht="12.75">
      <c r="A124" s="26"/>
      <c r="B124" s="27" t="s">
        <v>161</v>
      </c>
      <c r="C124" s="27" t="s">
        <v>36</v>
      </c>
      <c r="D124" s="27" t="s">
        <v>440</v>
      </c>
      <c r="E124" s="28" t="s">
        <v>5</v>
      </c>
      <c r="F124" s="28" t="s">
        <v>5</v>
      </c>
      <c r="G124" s="28" t="s">
        <v>5</v>
      </c>
      <c r="H124" s="29">
        <f>SUM(H125:H135)</f>
        <v>0</v>
      </c>
      <c r="I124" s="29">
        <f>SUM(I125:I135)</f>
        <v>0</v>
      </c>
      <c r="J124" s="29">
        <f>SUM(J125:J135)</f>
        <v>0</v>
      </c>
      <c r="K124" s="10"/>
      <c r="L124" s="29">
        <f>SUM(L125:L135)</f>
        <v>2.635411446</v>
      </c>
      <c r="M124" s="30"/>
      <c r="N124" s="2"/>
      <c r="AI124" s="10" t="s">
        <v>161</v>
      </c>
      <c r="AS124" s="29">
        <f>SUM(AJ125:AJ135)</f>
        <v>0</v>
      </c>
      <c r="AT124" s="29">
        <f>SUM(AK125:AK135)</f>
        <v>0</v>
      </c>
      <c r="AU124" s="29">
        <f>SUM(AL125:AL135)</f>
        <v>0</v>
      </c>
    </row>
    <row r="125" spans="1:64" ht="12.75">
      <c r="A125" s="31" t="s">
        <v>57</v>
      </c>
      <c r="B125" s="32" t="s">
        <v>161</v>
      </c>
      <c r="C125" s="32" t="s">
        <v>224</v>
      </c>
      <c r="D125" s="32" t="s">
        <v>441</v>
      </c>
      <c r="E125" s="32" t="s">
        <v>649</v>
      </c>
      <c r="F125" s="33">
        <v>1.35</v>
      </c>
      <c r="G125" s="33">
        <f>J125/F125</f>
        <v>0</v>
      </c>
      <c r="H125" s="61">
        <v>0</v>
      </c>
      <c r="I125" s="61">
        <v>0</v>
      </c>
      <c r="J125" s="33">
        <f>H125+I125</f>
        <v>0</v>
      </c>
      <c r="K125" s="33">
        <v>0.5921</v>
      </c>
      <c r="L125" s="33">
        <f>F125*K125</f>
        <v>0.799335</v>
      </c>
      <c r="M125" s="34" t="s">
        <v>680</v>
      </c>
      <c r="N125" s="2"/>
      <c r="Z125" s="35">
        <f>IF(AQ125="5",BJ125,0)</f>
        <v>0</v>
      </c>
      <c r="AB125" s="35">
        <f>H125</f>
        <v>0</v>
      </c>
      <c r="AC125" s="35">
        <f>I125</f>
        <v>0</v>
      </c>
      <c r="AD125" s="35">
        <f>IF(AQ125="7",BH125,0)</f>
        <v>0</v>
      </c>
      <c r="AE125" s="35">
        <f>IF(AQ125="7",BI125,0)</f>
        <v>0</v>
      </c>
      <c r="AF125" s="35">
        <f>IF(AQ125="2",BH125,0)</f>
        <v>0</v>
      </c>
      <c r="AG125" s="35">
        <f>IF(AQ125="2",BI125,0)</f>
        <v>0</v>
      </c>
      <c r="AH125" s="35">
        <f>IF(AQ125="0",BJ125,0)</f>
        <v>0</v>
      </c>
      <c r="AI125" s="10" t="s">
        <v>161</v>
      </c>
      <c r="AJ125" s="33">
        <f>IF(AN125=0,J125,0)</f>
        <v>0</v>
      </c>
      <c r="AK125" s="33">
        <f>IF(AN125=15,J125,0)</f>
        <v>0</v>
      </c>
      <c r="AL125" s="33">
        <f>IF(AN125=21,J125,0)</f>
        <v>0</v>
      </c>
      <c r="AN125" s="35">
        <v>21</v>
      </c>
      <c r="AO125" s="35">
        <f>G125*0.678998397435897</f>
        <v>0</v>
      </c>
      <c r="AP125" s="35">
        <f>G125*(1-0.678998397435897)</f>
        <v>0</v>
      </c>
      <c r="AQ125" s="36" t="s">
        <v>6</v>
      </c>
      <c r="AV125" s="35">
        <f>AW125+AX125</f>
        <v>0</v>
      </c>
      <c r="AW125" s="35">
        <f>F125*AO125</f>
        <v>0</v>
      </c>
      <c r="AX125" s="35">
        <f>F125*AP125</f>
        <v>0</v>
      </c>
      <c r="AY125" s="37" t="s">
        <v>700</v>
      </c>
      <c r="AZ125" s="37" t="s">
        <v>712</v>
      </c>
      <c r="BA125" s="10" t="s">
        <v>721</v>
      </c>
      <c r="BC125" s="35">
        <f>AW125+AX125</f>
        <v>0</v>
      </c>
      <c r="BD125" s="35">
        <f>G125/(100-BE125)*100</f>
        <v>0</v>
      </c>
      <c r="BE125" s="35">
        <v>0</v>
      </c>
      <c r="BF125" s="35">
        <f>L125</f>
        <v>0.799335</v>
      </c>
      <c r="BH125" s="33">
        <f>F125*AO125</f>
        <v>0</v>
      </c>
      <c r="BI125" s="33">
        <f>F125*AP125</f>
        <v>0</v>
      </c>
      <c r="BJ125" s="33">
        <f>F125*G125</f>
        <v>0</v>
      </c>
      <c r="BK125" s="33" t="s">
        <v>728</v>
      </c>
      <c r="BL125" s="35">
        <v>31</v>
      </c>
    </row>
    <row r="126" spans="1:14" ht="12.75">
      <c r="A126" s="2"/>
      <c r="D126" s="38" t="s">
        <v>442</v>
      </c>
      <c r="F126" s="39">
        <v>1.35</v>
      </c>
      <c r="M126" s="40"/>
      <c r="N126" s="2"/>
    </row>
    <row r="127" spans="1:64" ht="12.75">
      <c r="A127" s="31" t="s">
        <v>58</v>
      </c>
      <c r="B127" s="32" t="s">
        <v>161</v>
      </c>
      <c r="C127" s="32" t="s">
        <v>225</v>
      </c>
      <c r="D127" s="32" t="s">
        <v>443</v>
      </c>
      <c r="E127" s="32" t="s">
        <v>654</v>
      </c>
      <c r="F127" s="33">
        <v>0.0294</v>
      </c>
      <c r="G127" s="33">
        <f>J127/F127</f>
        <v>0</v>
      </c>
      <c r="H127" s="61">
        <v>0</v>
      </c>
      <c r="I127" s="61">
        <v>0</v>
      </c>
      <c r="J127" s="33">
        <f>H127+I127</f>
        <v>0</v>
      </c>
      <c r="K127" s="33">
        <v>1.02029</v>
      </c>
      <c r="L127" s="33">
        <f>F127*K127</f>
        <v>0.029996525999999996</v>
      </c>
      <c r="M127" s="34" t="s">
        <v>680</v>
      </c>
      <c r="N127" s="2"/>
      <c r="Z127" s="35">
        <f>IF(AQ127="5",BJ127,0)</f>
        <v>0</v>
      </c>
      <c r="AB127" s="35">
        <f>H127</f>
        <v>0</v>
      </c>
      <c r="AC127" s="35">
        <f>I127</f>
        <v>0</v>
      </c>
      <c r="AD127" s="35">
        <f>IF(AQ127="7",BH127,0)</f>
        <v>0</v>
      </c>
      <c r="AE127" s="35">
        <f>IF(AQ127="7",BI127,0)</f>
        <v>0</v>
      </c>
      <c r="AF127" s="35">
        <f>IF(AQ127="2",BH127,0)</f>
        <v>0</v>
      </c>
      <c r="AG127" s="35">
        <f>IF(AQ127="2",BI127,0)</f>
        <v>0</v>
      </c>
      <c r="AH127" s="35">
        <f>IF(AQ127="0",BJ127,0)</f>
        <v>0</v>
      </c>
      <c r="AI127" s="10" t="s">
        <v>161</v>
      </c>
      <c r="AJ127" s="33">
        <f>IF(AN127=0,J127,0)</f>
        <v>0</v>
      </c>
      <c r="AK127" s="33">
        <f>IF(AN127=15,J127,0)</f>
        <v>0</v>
      </c>
      <c r="AL127" s="33">
        <f>IF(AN127=21,J127,0)</f>
        <v>0</v>
      </c>
      <c r="AN127" s="35">
        <v>21</v>
      </c>
      <c r="AO127" s="35">
        <f>G127*0.663409719964501</f>
        <v>0</v>
      </c>
      <c r="AP127" s="35">
        <f>G127*(1-0.663409719964501)</f>
        <v>0</v>
      </c>
      <c r="AQ127" s="36" t="s">
        <v>6</v>
      </c>
      <c r="AV127" s="35">
        <f>AW127+AX127</f>
        <v>0</v>
      </c>
      <c r="AW127" s="35">
        <f>F127*AO127</f>
        <v>0</v>
      </c>
      <c r="AX127" s="35">
        <f>F127*AP127</f>
        <v>0</v>
      </c>
      <c r="AY127" s="37" t="s">
        <v>700</v>
      </c>
      <c r="AZ127" s="37" t="s">
        <v>712</v>
      </c>
      <c r="BA127" s="10" t="s">
        <v>721</v>
      </c>
      <c r="BC127" s="35">
        <f>AW127+AX127</f>
        <v>0</v>
      </c>
      <c r="BD127" s="35">
        <f>G127/(100-BE127)*100</f>
        <v>0</v>
      </c>
      <c r="BE127" s="35">
        <v>0</v>
      </c>
      <c r="BF127" s="35">
        <f>L127</f>
        <v>0.029996525999999996</v>
      </c>
      <c r="BH127" s="33">
        <f>F127*AO127</f>
        <v>0</v>
      </c>
      <c r="BI127" s="33">
        <f>F127*AP127</f>
        <v>0</v>
      </c>
      <c r="BJ127" s="33">
        <f>F127*G127</f>
        <v>0</v>
      </c>
      <c r="BK127" s="33" t="s">
        <v>728</v>
      </c>
      <c r="BL127" s="35">
        <v>31</v>
      </c>
    </row>
    <row r="128" spans="1:14" ht="12.75">
      <c r="A128" s="2"/>
      <c r="D128" s="38" t="s">
        <v>444</v>
      </c>
      <c r="F128" s="39">
        <v>0.0294</v>
      </c>
      <c r="M128" s="40"/>
      <c r="N128" s="2"/>
    </row>
    <row r="129" spans="1:64" ht="12.75">
      <c r="A129" s="31" t="s">
        <v>59</v>
      </c>
      <c r="B129" s="32" t="s">
        <v>161</v>
      </c>
      <c r="C129" s="32" t="s">
        <v>226</v>
      </c>
      <c r="D129" s="32" t="s">
        <v>445</v>
      </c>
      <c r="E129" s="32" t="s">
        <v>652</v>
      </c>
      <c r="F129" s="33">
        <v>15</v>
      </c>
      <c r="G129" s="33">
        <f>J129/F129</f>
        <v>0</v>
      </c>
      <c r="H129" s="61">
        <v>0</v>
      </c>
      <c r="I129" s="61">
        <v>0</v>
      </c>
      <c r="J129" s="33">
        <f>H129+I129</f>
        <v>0</v>
      </c>
      <c r="K129" s="33">
        <v>0</v>
      </c>
      <c r="L129" s="33">
        <f>F129*K129</f>
        <v>0</v>
      </c>
      <c r="M129" s="34" t="s">
        <v>680</v>
      </c>
      <c r="N129" s="2"/>
      <c r="Z129" s="35">
        <f>IF(AQ129="5",BJ129,0)</f>
        <v>0</v>
      </c>
      <c r="AB129" s="35">
        <f>IF(AQ129="1",BH129,0)</f>
        <v>0</v>
      </c>
      <c r="AC129" s="35">
        <f>IF(AQ129="1",BI129,0)</f>
        <v>0</v>
      </c>
      <c r="AD129" s="35">
        <f>IF(AQ129="7",BH129,0)</f>
        <v>0</v>
      </c>
      <c r="AE129" s="35">
        <f>IF(AQ129="7",BI129,0)</f>
        <v>0</v>
      </c>
      <c r="AF129" s="35">
        <f>H129</f>
        <v>0</v>
      </c>
      <c r="AG129" s="35">
        <f>I129</f>
        <v>0</v>
      </c>
      <c r="AH129" s="35">
        <f>IF(AQ129="0",BJ129,0)</f>
        <v>0</v>
      </c>
      <c r="AI129" s="10" t="s">
        <v>161</v>
      </c>
      <c r="AJ129" s="33">
        <f>IF(AN129=0,J129,0)</f>
        <v>0</v>
      </c>
      <c r="AK129" s="33">
        <f>IF(AN129=15,J129,0)</f>
        <v>0</v>
      </c>
      <c r="AL129" s="33">
        <f>IF(AN129=21,J129,0)</f>
        <v>0</v>
      </c>
      <c r="AN129" s="35">
        <v>21</v>
      </c>
      <c r="AO129" s="35">
        <f>G129*0</f>
        <v>0</v>
      </c>
      <c r="AP129" s="35">
        <f>G129*(1-0)</f>
        <v>0</v>
      </c>
      <c r="AQ129" s="36" t="s">
        <v>7</v>
      </c>
      <c r="AV129" s="35">
        <f>AW129+AX129</f>
        <v>0</v>
      </c>
      <c r="AW129" s="35">
        <f>F129*AO129</f>
        <v>0</v>
      </c>
      <c r="AX129" s="35">
        <f>F129*AP129</f>
        <v>0</v>
      </c>
      <c r="AY129" s="37" t="s">
        <v>700</v>
      </c>
      <c r="AZ129" s="37" t="s">
        <v>712</v>
      </c>
      <c r="BA129" s="10" t="s">
        <v>721</v>
      </c>
      <c r="BC129" s="35">
        <f>AW129+AX129</f>
        <v>0</v>
      </c>
      <c r="BD129" s="35">
        <f>G129/(100-BE129)*100</f>
        <v>0</v>
      </c>
      <c r="BE129" s="35">
        <v>0</v>
      </c>
      <c r="BF129" s="35">
        <f>L129</f>
        <v>0</v>
      </c>
      <c r="BH129" s="33">
        <f>F129*AO129</f>
        <v>0</v>
      </c>
      <c r="BI129" s="33">
        <f>F129*AP129</f>
        <v>0</v>
      </c>
      <c r="BJ129" s="33">
        <f>F129*G129</f>
        <v>0</v>
      </c>
      <c r="BK129" s="33" t="s">
        <v>728</v>
      </c>
      <c r="BL129" s="35">
        <v>31</v>
      </c>
    </row>
    <row r="130" spans="1:14" ht="12.75">
      <c r="A130" s="2"/>
      <c r="D130" s="38" t="s">
        <v>446</v>
      </c>
      <c r="F130" s="39">
        <v>15</v>
      </c>
      <c r="M130" s="40"/>
      <c r="N130" s="2"/>
    </row>
    <row r="131" spans="1:64" ht="12.75">
      <c r="A131" s="31" t="s">
        <v>60</v>
      </c>
      <c r="B131" s="32" t="s">
        <v>161</v>
      </c>
      <c r="C131" s="32" t="s">
        <v>227</v>
      </c>
      <c r="D131" s="32" t="s">
        <v>447</v>
      </c>
      <c r="E131" s="32" t="s">
        <v>652</v>
      </c>
      <c r="F131" s="33">
        <v>12</v>
      </c>
      <c r="G131" s="33">
        <f>J131/F131</f>
        <v>0</v>
      </c>
      <c r="H131" s="61">
        <v>0</v>
      </c>
      <c r="I131" s="61">
        <v>0</v>
      </c>
      <c r="J131" s="33">
        <f>H131+I131</f>
        <v>0</v>
      </c>
      <c r="K131" s="33">
        <v>0.04363</v>
      </c>
      <c r="L131" s="33">
        <f>F131*K131</f>
        <v>0.52356</v>
      </c>
      <c r="M131" s="34" t="s">
        <v>680</v>
      </c>
      <c r="N131" s="2"/>
      <c r="Z131" s="35">
        <f>IF(AQ131="5",BJ131,0)</f>
        <v>0</v>
      </c>
      <c r="AB131" s="35">
        <f>H131</f>
        <v>0</v>
      </c>
      <c r="AC131" s="35">
        <f>I131</f>
        <v>0</v>
      </c>
      <c r="AD131" s="35">
        <f>IF(AQ131="7",BH131,0)</f>
        <v>0</v>
      </c>
      <c r="AE131" s="35">
        <f>IF(AQ131="7",BI131,0)</f>
        <v>0</v>
      </c>
      <c r="AF131" s="35">
        <f>IF(AQ131="2",BH131,0)</f>
        <v>0</v>
      </c>
      <c r="AG131" s="35">
        <f>IF(AQ131="2",BI131,0)</f>
        <v>0</v>
      </c>
      <c r="AH131" s="35">
        <f>IF(AQ131="0",BJ131,0)</f>
        <v>0</v>
      </c>
      <c r="AI131" s="10" t="s">
        <v>161</v>
      </c>
      <c r="AJ131" s="33">
        <f>IF(AN131=0,J131,0)</f>
        <v>0</v>
      </c>
      <c r="AK131" s="33">
        <f>IF(AN131=15,J131,0)</f>
        <v>0</v>
      </c>
      <c r="AL131" s="33">
        <f>IF(AN131=21,J131,0)</f>
        <v>0</v>
      </c>
      <c r="AN131" s="35">
        <v>21</v>
      </c>
      <c r="AO131" s="35">
        <f>G131*0.572577132486388</f>
        <v>0</v>
      </c>
      <c r="AP131" s="35">
        <f>G131*(1-0.572577132486388)</f>
        <v>0</v>
      </c>
      <c r="AQ131" s="36" t="s">
        <v>6</v>
      </c>
      <c r="AV131" s="35">
        <f>AW131+AX131</f>
        <v>0</v>
      </c>
      <c r="AW131" s="35">
        <f>F131*AO131</f>
        <v>0</v>
      </c>
      <c r="AX131" s="35">
        <f>F131*AP131</f>
        <v>0</v>
      </c>
      <c r="AY131" s="37" t="s">
        <v>700</v>
      </c>
      <c r="AZ131" s="37" t="s">
        <v>712</v>
      </c>
      <c r="BA131" s="10" t="s">
        <v>721</v>
      </c>
      <c r="BC131" s="35">
        <f>AW131+AX131</f>
        <v>0</v>
      </c>
      <c r="BD131" s="35">
        <f>G131/(100-BE131)*100</f>
        <v>0</v>
      </c>
      <c r="BE131" s="35">
        <v>0</v>
      </c>
      <c r="BF131" s="35">
        <f>L131</f>
        <v>0.52356</v>
      </c>
      <c r="BH131" s="33">
        <f>F131*AO131</f>
        <v>0</v>
      </c>
      <c r="BI131" s="33">
        <f>F131*AP131</f>
        <v>0</v>
      </c>
      <c r="BJ131" s="33">
        <f>F131*G131</f>
        <v>0</v>
      </c>
      <c r="BK131" s="33" t="s">
        <v>728</v>
      </c>
      <c r="BL131" s="35">
        <v>31</v>
      </c>
    </row>
    <row r="132" spans="1:14" ht="12.75">
      <c r="A132" s="2"/>
      <c r="D132" s="38" t="s">
        <v>448</v>
      </c>
      <c r="F132" s="39">
        <v>12</v>
      </c>
      <c r="M132" s="40"/>
      <c r="N132" s="2"/>
    </row>
    <row r="133" spans="1:64" ht="12.75">
      <c r="A133" s="31" t="s">
        <v>61</v>
      </c>
      <c r="B133" s="32" t="s">
        <v>161</v>
      </c>
      <c r="C133" s="32" t="s">
        <v>228</v>
      </c>
      <c r="D133" s="32" t="s">
        <v>449</v>
      </c>
      <c r="E133" s="32" t="s">
        <v>653</v>
      </c>
      <c r="F133" s="33">
        <v>0.606</v>
      </c>
      <c r="G133" s="33">
        <f>J133/F133</f>
        <v>0</v>
      </c>
      <c r="H133" s="61">
        <v>0</v>
      </c>
      <c r="I133" s="61">
        <v>0</v>
      </c>
      <c r="J133" s="33">
        <f>H133+I133</f>
        <v>0</v>
      </c>
      <c r="K133" s="33">
        <v>0.5818</v>
      </c>
      <c r="L133" s="33">
        <f>F133*K133</f>
        <v>0.35257079999999996</v>
      </c>
      <c r="M133" s="34" t="s">
        <v>680</v>
      </c>
      <c r="N133" s="2"/>
      <c r="Z133" s="35">
        <f>IF(AQ133="5",BJ133,0)</f>
        <v>0</v>
      </c>
      <c r="AB133" s="35">
        <f>H133</f>
        <v>0</v>
      </c>
      <c r="AC133" s="35">
        <f>I133</f>
        <v>0</v>
      </c>
      <c r="AD133" s="35">
        <f>IF(AQ133="7",BH133,0)</f>
        <v>0</v>
      </c>
      <c r="AE133" s="35">
        <f>IF(AQ133="7",BI133,0)</f>
        <v>0</v>
      </c>
      <c r="AF133" s="35">
        <f>IF(AQ133="2",BH133,0)</f>
        <v>0</v>
      </c>
      <c r="AG133" s="35">
        <f>IF(AQ133="2",BI133,0)</f>
        <v>0</v>
      </c>
      <c r="AH133" s="35">
        <f>IF(AQ133="0",BJ133,0)</f>
        <v>0</v>
      </c>
      <c r="AI133" s="10" t="s">
        <v>161</v>
      </c>
      <c r="AJ133" s="33">
        <f>IF(AN133=0,J133,0)</f>
        <v>0</v>
      </c>
      <c r="AK133" s="33">
        <f>IF(AN133=15,J133,0)</f>
        <v>0</v>
      </c>
      <c r="AL133" s="33">
        <f>IF(AN133=21,J133,0)</f>
        <v>0</v>
      </c>
      <c r="AN133" s="35">
        <v>21</v>
      </c>
      <c r="AO133" s="35">
        <f>G133*0.572882072256305</f>
        <v>0</v>
      </c>
      <c r="AP133" s="35">
        <f>G133*(1-0.572882072256305)</f>
        <v>0</v>
      </c>
      <c r="AQ133" s="36" t="s">
        <v>6</v>
      </c>
      <c r="AV133" s="35">
        <f>AW133+AX133</f>
        <v>0</v>
      </c>
      <c r="AW133" s="35">
        <f>F133*AO133</f>
        <v>0</v>
      </c>
      <c r="AX133" s="35">
        <f>F133*AP133</f>
        <v>0</v>
      </c>
      <c r="AY133" s="37" t="s">
        <v>700</v>
      </c>
      <c r="AZ133" s="37" t="s">
        <v>712</v>
      </c>
      <c r="BA133" s="10" t="s">
        <v>721</v>
      </c>
      <c r="BC133" s="35">
        <f>AW133+AX133</f>
        <v>0</v>
      </c>
      <c r="BD133" s="35">
        <f>G133/(100-BE133)*100</f>
        <v>0</v>
      </c>
      <c r="BE133" s="35">
        <v>0</v>
      </c>
      <c r="BF133" s="35">
        <f>L133</f>
        <v>0.35257079999999996</v>
      </c>
      <c r="BH133" s="33">
        <f>F133*AO133</f>
        <v>0</v>
      </c>
      <c r="BI133" s="33">
        <f>F133*AP133</f>
        <v>0</v>
      </c>
      <c r="BJ133" s="33">
        <f>F133*G133</f>
        <v>0</v>
      </c>
      <c r="BK133" s="33" t="s">
        <v>728</v>
      </c>
      <c r="BL133" s="35">
        <v>31</v>
      </c>
    </row>
    <row r="134" spans="1:14" ht="12.75">
      <c r="A134" s="2"/>
      <c r="D134" s="38" t="s">
        <v>450</v>
      </c>
      <c r="F134" s="39">
        <v>0.606</v>
      </c>
      <c r="M134" s="40"/>
      <c r="N134" s="2"/>
    </row>
    <row r="135" spans="1:64" ht="12.75">
      <c r="A135" s="31" t="s">
        <v>62</v>
      </c>
      <c r="B135" s="32" t="s">
        <v>161</v>
      </c>
      <c r="C135" s="32" t="s">
        <v>229</v>
      </c>
      <c r="D135" s="32" t="s">
        <v>451</v>
      </c>
      <c r="E135" s="32" t="s">
        <v>653</v>
      </c>
      <c r="F135" s="33">
        <v>1.5984</v>
      </c>
      <c r="G135" s="33">
        <f>J135/F135</f>
        <v>0</v>
      </c>
      <c r="H135" s="61">
        <v>0</v>
      </c>
      <c r="I135" s="61">
        <v>0</v>
      </c>
      <c r="J135" s="33">
        <f>H135+I135</f>
        <v>0</v>
      </c>
      <c r="K135" s="33">
        <v>0.5818</v>
      </c>
      <c r="L135" s="33">
        <f>F135*K135</f>
        <v>0.92994912</v>
      </c>
      <c r="M135" s="34" t="s">
        <v>680</v>
      </c>
      <c r="N135" s="2"/>
      <c r="Z135" s="35">
        <f>IF(AQ135="5",BJ135,0)</f>
        <v>0</v>
      </c>
      <c r="AB135" s="35">
        <f>H135</f>
        <v>0</v>
      </c>
      <c r="AC135" s="35">
        <f>I135</f>
        <v>0</v>
      </c>
      <c r="AD135" s="35">
        <f>IF(AQ135="7",BH135,0)</f>
        <v>0</v>
      </c>
      <c r="AE135" s="35">
        <f>IF(AQ135="7",BI135,0)</f>
        <v>0</v>
      </c>
      <c r="AF135" s="35">
        <f>IF(AQ135="2",BH135,0)</f>
        <v>0</v>
      </c>
      <c r="AG135" s="35">
        <f>IF(AQ135="2",BI135,0)</f>
        <v>0</v>
      </c>
      <c r="AH135" s="35">
        <f>IF(AQ135="0",BJ135,0)</f>
        <v>0</v>
      </c>
      <c r="AI135" s="10" t="s">
        <v>161</v>
      </c>
      <c r="AJ135" s="33">
        <f>IF(AN135=0,J135,0)</f>
        <v>0</v>
      </c>
      <c r="AK135" s="33">
        <f>IF(AN135=15,J135,0)</f>
        <v>0</v>
      </c>
      <c r="AL135" s="33">
        <f>IF(AN135=21,J135,0)</f>
        <v>0</v>
      </c>
      <c r="AN135" s="35">
        <v>21</v>
      </c>
      <c r="AO135" s="35">
        <f>G135*0.606406140346126</f>
        <v>0</v>
      </c>
      <c r="AP135" s="35">
        <f>G135*(1-0.606406140346126)</f>
        <v>0</v>
      </c>
      <c r="AQ135" s="36" t="s">
        <v>6</v>
      </c>
      <c r="AV135" s="35">
        <f>AW135+AX135</f>
        <v>0</v>
      </c>
      <c r="AW135" s="35">
        <f>F135*AO135</f>
        <v>0</v>
      </c>
      <c r="AX135" s="35">
        <f>F135*AP135</f>
        <v>0</v>
      </c>
      <c r="AY135" s="37" t="s">
        <v>700</v>
      </c>
      <c r="AZ135" s="37" t="s">
        <v>712</v>
      </c>
      <c r="BA135" s="10" t="s">
        <v>721</v>
      </c>
      <c r="BC135" s="35">
        <f>AW135+AX135</f>
        <v>0</v>
      </c>
      <c r="BD135" s="35">
        <f>G135/(100-BE135)*100</f>
        <v>0</v>
      </c>
      <c r="BE135" s="35">
        <v>0</v>
      </c>
      <c r="BF135" s="35">
        <f>L135</f>
        <v>0.92994912</v>
      </c>
      <c r="BH135" s="33">
        <f>F135*AO135</f>
        <v>0</v>
      </c>
      <c r="BI135" s="33">
        <f>F135*AP135</f>
        <v>0</v>
      </c>
      <c r="BJ135" s="33">
        <f>F135*G135</f>
        <v>0</v>
      </c>
      <c r="BK135" s="33" t="s">
        <v>728</v>
      </c>
      <c r="BL135" s="35">
        <v>31</v>
      </c>
    </row>
    <row r="136" spans="1:14" ht="12.75">
      <c r="A136" s="2"/>
      <c r="D136" s="38" t="s">
        <v>452</v>
      </c>
      <c r="F136" s="39">
        <v>1.5984</v>
      </c>
      <c r="M136" s="40"/>
      <c r="N136" s="2"/>
    </row>
    <row r="137" spans="1:47" ht="12.75">
      <c r="A137" s="26"/>
      <c r="B137" s="27" t="s">
        <v>161</v>
      </c>
      <c r="C137" s="27" t="s">
        <v>66</v>
      </c>
      <c r="D137" s="27" t="s">
        <v>453</v>
      </c>
      <c r="E137" s="28" t="s">
        <v>5</v>
      </c>
      <c r="F137" s="28" t="s">
        <v>5</v>
      </c>
      <c r="G137" s="28" t="s">
        <v>5</v>
      </c>
      <c r="H137" s="29">
        <f>SUM(H138:H150)</f>
        <v>0</v>
      </c>
      <c r="I137" s="29">
        <f>SUM(I138:I150)</f>
        <v>0</v>
      </c>
      <c r="J137" s="29">
        <f>SUM(J138:J150)</f>
        <v>0</v>
      </c>
      <c r="K137" s="10"/>
      <c r="L137" s="29">
        <f>SUM(L138:L150)</f>
        <v>9.19364102</v>
      </c>
      <c r="M137" s="30"/>
      <c r="N137" s="2"/>
      <c r="AI137" s="10" t="s">
        <v>161</v>
      </c>
      <c r="AS137" s="29">
        <f>SUM(AJ138:AJ150)</f>
        <v>0</v>
      </c>
      <c r="AT137" s="29">
        <f>SUM(AK138:AK150)</f>
        <v>0</v>
      </c>
      <c r="AU137" s="29">
        <f>SUM(AL138:AL150)</f>
        <v>0</v>
      </c>
    </row>
    <row r="138" spans="1:64" ht="12.75">
      <c r="A138" s="31" t="s">
        <v>63</v>
      </c>
      <c r="B138" s="32" t="s">
        <v>161</v>
      </c>
      <c r="C138" s="32" t="s">
        <v>230</v>
      </c>
      <c r="D138" s="32" t="s">
        <v>454</v>
      </c>
      <c r="E138" s="32" t="s">
        <v>649</v>
      </c>
      <c r="F138" s="33">
        <v>166.71</v>
      </c>
      <c r="G138" s="33">
        <f>J138/F138</f>
        <v>0</v>
      </c>
      <c r="H138" s="61">
        <v>0</v>
      </c>
      <c r="I138" s="61">
        <v>0</v>
      </c>
      <c r="J138" s="33">
        <f>H138+I138</f>
        <v>0</v>
      </c>
      <c r="K138" s="33">
        <v>0.03491</v>
      </c>
      <c r="L138" s="33">
        <f>F138*K138</f>
        <v>5.8198460999999995</v>
      </c>
      <c r="M138" s="34" t="s">
        <v>680</v>
      </c>
      <c r="N138" s="2"/>
      <c r="Z138" s="35">
        <f>IF(AQ138="5",BJ138,0)</f>
        <v>0</v>
      </c>
      <c r="AB138" s="35">
        <f>H138</f>
        <v>0</v>
      </c>
      <c r="AC138" s="35">
        <f>I138</f>
        <v>0</v>
      </c>
      <c r="AD138" s="35">
        <f>IF(AQ138="7",BH138,0)</f>
        <v>0</v>
      </c>
      <c r="AE138" s="35">
        <f>IF(AQ138="7",BI138,0)</f>
        <v>0</v>
      </c>
      <c r="AF138" s="35">
        <f>IF(AQ138="2",BH138,0)</f>
        <v>0</v>
      </c>
      <c r="AG138" s="35">
        <f>IF(AQ138="2",BI138,0)</f>
        <v>0</v>
      </c>
      <c r="AH138" s="35">
        <f>IF(AQ138="0",BJ138,0)</f>
        <v>0</v>
      </c>
      <c r="AI138" s="10" t="s">
        <v>161</v>
      </c>
      <c r="AJ138" s="33">
        <f>IF(AN138=0,J138,0)</f>
        <v>0</v>
      </c>
      <c r="AK138" s="33">
        <f>IF(AN138=15,J138,0)</f>
        <v>0</v>
      </c>
      <c r="AL138" s="33">
        <f>IF(AN138=21,J138,0)</f>
        <v>0</v>
      </c>
      <c r="AN138" s="35">
        <v>21</v>
      </c>
      <c r="AO138" s="35">
        <f>G138*0.222061994609164</f>
        <v>0</v>
      </c>
      <c r="AP138" s="35">
        <f>G138*(1-0.222061994609164)</f>
        <v>0</v>
      </c>
      <c r="AQ138" s="36" t="s">
        <v>6</v>
      </c>
      <c r="AV138" s="35">
        <f>AW138+AX138</f>
        <v>0</v>
      </c>
      <c r="AW138" s="35">
        <f>F138*AO138</f>
        <v>0</v>
      </c>
      <c r="AX138" s="35">
        <f>F138*AP138</f>
        <v>0</v>
      </c>
      <c r="AY138" s="37" t="s">
        <v>701</v>
      </c>
      <c r="AZ138" s="37" t="s">
        <v>713</v>
      </c>
      <c r="BA138" s="10" t="s">
        <v>721</v>
      </c>
      <c r="BC138" s="35">
        <f>AW138+AX138</f>
        <v>0</v>
      </c>
      <c r="BD138" s="35">
        <f>G138/(100-BE138)*100</f>
        <v>0</v>
      </c>
      <c r="BE138" s="35">
        <v>0</v>
      </c>
      <c r="BF138" s="35">
        <f>L138</f>
        <v>5.8198460999999995</v>
      </c>
      <c r="BH138" s="33">
        <f>F138*AO138</f>
        <v>0</v>
      </c>
      <c r="BI138" s="33">
        <f>F138*AP138</f>
        <v>0</v>
      </c>
      <c r="BJ138" s="33">
        <f>F138*G138</f>
        <v>0</v>
      </c>
      <c r="BK138" s="33" t="s">
        <v>728</v>
      </c>
      <c r="BL138" s="35">
        <v>61</v>
      </c>
    </row>
    <row r="139" spans="1:14" ht="12.75">
      <c r="A139" s="2"/>
      <c r="D139" s="38" t="s">
        <v>455</v>
      </c>
      <c r="F139" s="39">
        <v>64.59</v>
      </c>
      <c r="M139" s="40"/>
      <c r="N139" s="2"/>
    </row>
    <row r="140" spans="1:14" ht="12.75">
      <c r="A140" s="2"/>
      <c r="D140" s="38" t="s">
        <v>456</v>
      </c>
      <c r="F140" s="39">
        <v>70.08</v>
      </c>
      <c r="M140" s="40"/>
      <c r="N140" s="2"/>
    </row>
    <row r="141" spans="1:14" ht="12.75">
      <c r="A141" s="2"/>
      <c r="D141" s="38" t="s">
        <v>457</v>
      </c>
      <c r="F141" s="39">
        <v>21.24</v>
      </c>
      <c r="M141" s="40"/>
      <c r="N141" s="2"/>
    </row>
    <row r="142" spans="1:14" ht="12.75">
      <c r="A142" s="2"/>
      <c r="D142" s="38" t="s">
        <v>458</v>
      </c>
      <c r="F142" s="39">
        <v>10.8</v>
      </c>
      <c r="M142" s="40"/>
      <c r="N142" s="2"/>
    </row>
    <row r="143" spans="1:64" ht="12.75">
      <c r="A143" s="31" t="s">
        <v>64</v>
      </c>
      <c r="B143" s="32" t="s">
        <v>161</v>
      </c>
      <c r="C143" s="32" t="s">
        <v>231</v>
      </c>
      <c r="D143" s="32" t="s">
        <v>459</v>
      </c>
      <c r="E143" s="32" t="s">
        <v>649</v>
      </c>
      <c r="F143" s="33">
        <v>75.084</v>
      </c>
      <c r="G143" s="33">
        <f>J143/F143</f>
        <v>0</v>
      </c>
      <c r="H143" s="61">
        <v>0</v>
      </c>
      <c r="I143" s="61">
        <v>0</v>
      </c>
      <c r="J143" s="33">
        <f>H143+I143</f>
        <v>0</v>
      </c>
      <c r="K143" s="33">
        <v>0.03491</v>
      </c>
      <c r="L143" s="33">
        <f>F143*K143</f>
        <v>2.6211824399999997</v>
      </c>
      <c r="M143" s="34" t="s">
        <v>680</v>
      </c>
      <c r="N143" s="2"/>
      <c r="Z143" s="35">
        <f>IF(AQ143="5",BJ143,0)</f>
        <v>0</v>
      </c>
      <c r="AB143" s="35">
        <f>H143</f>
        <v>0</v>
      </c>
      <c r="AC143" s="35">
        <f>I143</f>
        <v>0</v>
      </c>
      <c r="AD143" s="35">
        <f>IF(AQ143="7",BH143,0)</f>
        <v>0</v>
      </c>
      <c r="AE143" s="35">
        <f>IF(AQ143="7",BI143,0)</f>
        <v>0</v>
      </c>
      <c r="AF143" s="35">
        <f>IF(AQ143="2",BH143,0)</f>
        <v>0</v>
      </c>
      <c r="AG143" s="35">
        <f>IF(AQ143="2",BI143,0)</f>
        <v>0</v>
      </c>
      <c r="AH143" s="35">
        <f>IF(AQ143="0",BJ143,0)</f>
        <v>0</v>
      </c>
      <c r="AI143" s="10" t="s">
        <v>161</v>
      </c>
      <c r="AJ143" s="33">
        <f>IF(AN143=0,J143,0)</f>
        <v>0</v>
      </c>
      <c r="AK143" s="33">
        <f>IF(AN143=15,J143,0)</f>
        <v>0</v>
      </c>
      <c r="AL143" s="33">
        <f>IF(AN143=21,J143,0)</f>
        <v>0</v>
      </c>
      <c r="AN143" s="35">
        <v>21</v>
      </c>
      <c r="AO143" s="35">
        <f>G143*0.222061986637428</f>
        <v>0</v>
      </c>
      <c r="AP143" s="35">
        <f>G143*(1-0.222061986637428)</f>
        <v>0</v>
      </c>
      <c r="AQ143" s="36" t="s">
        <v>6</v>
      </c>
      <c r="AV143" s="35">
        <f>AW143+AX143</f>
        <v>0</v>
      </c>
      <c r="AW143" s="35">
        <f>F143*AO143</f>
        <v>0</v>
      </c>
      <c r="AX143" s="35">
        <f>F143*AP143</f>
        <v>0</v>
      </c>
      <c r="AY143" s="37" t="s">
        <v>701</v>
      </c>
      <c r="AZ143" s="37" t="s">
        <v>713</v>
      </c>
      <c r="BA143" s="10" t="s">
        <v>721</v>
      </c>
      <c r="BC143" s="35">
        <f>AW143+AX143</f>
        <v>0</v>
      </c>
      <c r="BD143" s="35">
        <f>G143/(100-BE143)*100</f>
        <v>0</v>
      </c>
      <c r="BE143" s="35">
        <v>0</v>
      </c>
      <c r="BF143" s="35">
        <f>L143</f>
        <v>2.6211824399999997</v>
      </c>
      <c r="BH143" s="33">
        <f>F143*AO143</f>
        <v>0</v>
      </c>
      <c r="BI143" s="33">
        <f>F143*AP143</f>
        <v>0</v>
      </c>
      <c r="BJ143" s="33">
        <f>F143*G143</f>
        <v>0</v>
      </c>
      <c r="BK143" s="33" t="s">
        <v>728</v>
      </c>
      <c r="BL143" s="35">
        <v>61</v>
      </c>
    </row>
    <row r="144" spans="1:14" ht="12.75">
      <c r="A144" s="2"/>
      <c r="D144" s="38" t="s">
        <v>460</v>
      </c>
      <c r="F144" s="39">
        <v>34.245</v>
      </c>
      <c r="M144" s="40"/>
      <c r="N144" s="2"/>
    </row>
    <row r="145" spans="1:14" ht="12.75">
      <c r="A145" s="2"/>
      <c r="D145" s="38" t="s">
        <v>461</v>
      </c>
      <c r="F145" s="39">
        <v>29.91</v>
      </c>
      <c r="M145" s="40"/>
      <c r="N145" s="2"/>
    </row>
    <row r="146" spans="1:14" ht="12.75">
      <c r="A146" s="2"/>
      <c r="D146" s="38" t="s">
        <v>462</v>
      </c>
      <c r="F146" s="39">
        <v>5.58</v>
      </c>
      <c r="M146" s="40"/>
      <c r="N146" s="2"/>
    </row>
    <row r="147" spans="1:14" ht="12.75">
      <c r="A147" s="2"/>
      <c r="D147" s="38" t="s">
        <v>463</v>
      </c>
      <c r="F147" s="39">
        <v>5.349</v>
      </c>
      <c r="M147" s="40"/>
      <c r="N147" s="2"/>
    </row>
    <row r="148" spans="1:64" ht="12.75">
      <c r="A148" s="31" t="s">
        <v>65</v>
      </c>
      <c r="B148" s="32" t="s">
        <v>161</v>
      </c>
      <c r="C148" s="32" t="s">
        <v>232</v>
      </c>
      <c r="D148" s="32" t="s">
        <v>464</v>
      </c>
      <c r="E148" s="32" t="s">
        <v>652</v>
      </c>
      <c r="F148" s="33">
        <v>14</v>
      </c>
      <c r="G148" s="33">
        <f>J148/F148</f>
        <v>0</v>
      </c>
      <c r="H148" s="61">
        <v>0</v>
      </c>
      <c r="I148" s="61">
        <v>0</v>
      </c>
      <c r="J148" s="33">
        <f>H148+I148</f>
        <v>0</v>
      </c>
      <c r="K148" s="33">
        <v>0.03562</v>
      </c>
      <c r="L148" s="33">
        <f>F148*K148</f>
        <v>0.49868</v>
      </c>
      <c r="M148" s="34" t="s">
        <v>680</v>
      </c>
      <c r="N148" s="2"/>
      <c r="Z148" s="35">
        <f>IF(AQ148="5",BJ148,0)</f>
        <v>0</v>
      </c>
      <c r="AB148" s="35">
        <f>H148</f>
        <v>0</v>
      </c>
      <c r="AC148" s="35">
        <f>I148</f>
        <v>0</v>
      </c>
      <c r="AD148" s="35">
        <f>IF(AQ148="7",BH148,0)</f>
        <v>0</v>
      </c>
      <c r="AE148" s="35">
        <f>IF(AQ148="7",BI148,0)</f>
        <v>0</v>
      </c>
      <c r="AF148" s="35">
        <f>IF(AQ148="2",BH148,0)</f>
        <v>0</v>
      </c>
      <c r="AG148" s="35">
        <f>IF(AQ148="2",BI148,0)</f>
        <v>0</v>
      </c>
      <c r="AH148" s="35">
        <f>IF(AQ148="0",BJ148,0)</f>
        <v>0</v>
      </c>
      <c r="AI148" s="10" t="s">
        <v>161</v>
      </c>
      <c r="AJ148" s="33">
        <f>IF(AN148=0,J148,0)</f>
        <v>0</v>
      </c>
      <c r="AK148" s="33">
        <f>IF(AN148=15,J148,0)</f>
        <v>0</v>
      </c>
      <c r="AL148" s="33">
        <f>IF(AN148=21,J148,0)</f>
        <v>0</v>
      </c>
      <c r="AN148" s="35">
        <v>21</v>
      </c>
      <c r="AO148" s="35">
        <f>G148*0.277424242424242</f>
        <v>0</v>
      </c>
      <c r="AP148" s="35">
        <f>G148*(1-0.277424242424242)</f>
        <v>0</v>
      </c>
      <c r="AQ148" s="36" t="s">
        <v>6</v>
      </c>
      <c r="AV148" s="35">
        <f>AW148+AX148</f>
        <v>0</v>
      </c>
      <c r="AW148" s="35">
        <f>F148*AO148</f>
        <v>0</v>
      </c>
      <c r="AX148" s="35">
        <f>F148*AP148</f>
        <v>0</v>
      </c>
      <c r="AY148" s="37" t="s">
        <v>701</v>
      </c>
      <c r="AZ148" s="37" t="s">
        <v>713</v>
      </c>
      <c r="BA148" s="10" t="s">
        <v>721</v>
      </c>
      <c r="BC148" s="35">
        <f>AW148+AX148</f>
        <v>0</v>
      </c>
      <c r="BD148" s="35">
        <f>G148/(100-BE148)*100</f>
        <v>0</v>
      </c>
      <c r="BE148" s="35">
        <v>0</v>
      </c>
      <c r="BF148" s="35">
        <f>L148</f>
        <v>0.49868</v>
      </c>
      <c r="BH148" s="33">
        <f>F148*AO148</f>
        <v>0</v>
      </c>
      <c r="BI148" s="33">
        <f>F148*AP148</f>
        <v>0</v>
      </c>
      <c r="BJ148" s="33">
        <f>F148*G148</f>
        <v>0</v>
      </c>
      <c r="BK148" s="33" t="s">
        <v>728</v>
      </c>
      <c r="BL148" s="35">
        <v>61</v>
      </c>
    </row>
    <row r="149" spans="1:14" ht="12.75">
      <c r="A149" s="2"/>
      <c r="D149" s="38" t="s">
        <v>465</v>
      </c>
      <c r="F149" s="39">
        <v>14</v>
      </c>
      <c r="M149" s="40"/>
      <c r="N149" s="2"/>
    </row>
    <row r="150" spans="1:64" ht="12.75">
      <c r="A150" s="31" t="s">
        <v>66</v>
      </c>
      <c r="B150" s="32" t="s">
        <v>161</v>
      </c>
      <c r="C150" s="32" t="s">
        <v>233</v>
      </c>
      <c r="D150" s="32" t="s">
        <v>466</v>
      </c>
      <c r="E150" s="32" t="s">
        <v>649</v>
      </c>
      <c r="F150" s="33">
        <v>5.328</v>
      </c>
      <c r="G150" s="33">
        <f>J150/F150</f>
        <v>0</v>
      </c>
      <c r="H150" s="61">
        <v>0</v>
      </c>
      <c r="I150" s="61">
        <v>0</v>
      </c>
      <c r="J150" s="33">
        <f>H150+I150</f>
        <v>0</v>
      </c>
      <c r="K150" s="33">
        <v>0.04766</v>
      </c>
      <c r="L150" s="33">
        <f>F150*K150</f>
        <v>0.25393248</v>
      </c>
      <c r="M150" s="34" t="s">
        <v>680</v>
      </c>
      <c r="N150" s="2"/>
      <c r="Z150" s="35">
        <f>IF(AQ150="5",BJ150,0)</f>
        <v>0</v>
      </c>
      <c r="AB150" s="35">
        <f>H150</f>
        <v>0</v>
      </c>
      <c r="AC150" s="35">
        <f>I150</f>
        <v>0</v>
      </c>
      <c r="AD150" s="35">
        <f>IF(AQ150="7",BH150,0)</f>
        <v>0</v>
      </c>
      <c r="AE150" s="35">
        <f>IF(AQ150="7",BI150,0)</f>
        <v>0</v>
      </c>
      <c r="AF150" s="35">
        <f>IF(AQ150="2",BH150,0)</f>
        <v>0</v>
      </c>
      <c r="AG150" s="35">
        <f>IF(AQ150="2",BI150,0)</f>
        <v>0</v>
      </c>
      <c r="AH150" s="35">
        <f>IF(AQ150="0",BJ150,0)</f>
        <v>0</v>
      </c>
      <c r="AI150" s="10" t="s">
        <v>161</v>
      </c>
      <c r="AJ150" s="33">
        <f>IF(AN150=0,J150,0)</f>
        <v>0</v>
      </c>
      <c r="AK150" s="33">
        <f>IF(AN150=15,J150,0)</f>
        <v>0</v>
      </c>
      <c r="AL150" s="33">
        <f>IF(AN150=21,J150,0)</f>
        <v>0</v>
      </c>
      <c r="AN150" s="35">
        <v>21</v>
      </c>
      <c r="AO150" s="35">
        <f>G150*0.103421533051191</f>
        <v>0</v>
      </c>
      <c r="AP150" s="35">
        <f>G150*(1-0.103421533051191)</f>
        <v>0</v>
      </c>
      <c r="AQ150" s="36" t="s">
        <v>6</v>
      </c>
      <c r="AV150" s="35">
        <f>AW150+AX150</f>
        <v>0</v>
      </c>
      <c r="AW150" s="35">
        <f>F150*AO150</f>
        <v>0</v>
      </c>
      <c r="AX150" s="35">
        <f>F150*AP150</f>
        <v>0</v>
      </c>
      <c r="AY150" s="37" t="s">
        <v>701</v>
      </c>
      <c r="AZ150" s="37" t="s">
        <v>713</v>
      </c>
      <c r="BA150" s="10" t="s">
        <v>721</v>
      </c>
      <c r="BC150" s="35">
        <f>AW150+AX150</f>
        <v>0</v>
      </c>
      <c r="BD150" s="35">
        <f>G150/(100-BE150)*100</f>
        <v>0</v>
      </c>
      <c r="BE150" s="35">
        <v>0</v>
      </c>
      <c r="BF150" s="35">
        <f>L150</f>
        <v>0.25393248</v>
      </c>
      <c r="BH150" s="33">
        <f>F150*AO150</f>
        <v>0</v>
      </c>
      <c r="BI150" s="33">
        <f>F150*AP150</f>
        <v>0</v>
      </c>
      <c r="BJ150" s="33">
        <f>F150*G150</f>
        <v>0</v>
      </c>
      <c r="BK150" s="33" t="s">
        <v>728</v>
      </c>
      <c r="BL150" s="35">
        <v>61</v>
      </c>
    </row>
    <row r="151" spans="1:14" ht="12.75">
      <c r="A151" s="2"/>
      <c r="D151" s="38" t="s">
        <v>467</v>
      </c>
      <c r="F151" s="39">
        <v>5.328</v>
      </c>
      <c r="M151" s="40"/>
      <c r="N151" s="2"/>
    </row>
    <row r="152" spans="1:47" ht="12.75">
      <c r="A152" s="26"/>
      <c r="B152" s="27" t="s">
        <v>161</v>
      </c>
      <c r="C152" s="27" t="s">
        <v>67</v>
      </c>
      <c r="D152" s="27" t="s">
        <v>468</v>
      </c>
      <c r="E152" s="28" t="s">
        <v>5</v>
      </c>
      <c r="F152" s="28" t="s">
        <v>5</v>
      </c>
      <c r="G152" s="28" t="s">
        <v>5</v>
      </c>
      <c r="H152" s="29">
        <f>SUM(H153:H166)</f>
        <v>0</v>
      </c>
      <c r="I152" s="29">
        <f>SUM(I153:I166)</f>
        <v>0</v>
      </c>
      <c r="J152" s="29">
        <f>SUM(J153:J166)</f>
        <v>0</v>
      </c>
      <c r="K152" s="10"/>
      <c r="L152" s="29">
        <f>SUM(L153:L166)</f>
        <v>28.4362857425</v>
      </c>
      <c r="M152" s="30"/>
      <c r="N152" s="2"/>
      <c r="AI152" s="10" t="s">
        <v>161</v>
      </c>
      <c r="AS152" s="29">
        <f>SUM(AJ153:AJ166)</f>
        <v>0</v>
      </c>
      <c r="AT152" s="29">
        <f>SUM(AK153:AK166)</f>
        <v>0</v>
      </c>
      <c r="AU152" s="29">
        <f>SUM(AL153:AL166)</f>
        <v>0</v>
      </c>
    </row>
    <row r="153" spans="1:64" ht="12.75">
      <c r="A153" s="31" t="s">
        <v>67</v>
      </c>
      <c r="B153" s="32" t="s">
        <v>161</v>
      </c>
      <c r="C153" s="32" t="s">
        <v>234</v>
      </c>
      <c r="D153" s="32" t="s">
        <v>819</v>
      </c>
      <c r="E153" s="32" t="s">
        <v>649</v>
      </c>
      <c r="F153" s="33">
        <v>8.313</v>
      </c>
      <c r="G153" s="33">
        <f>J153/F153</f>
        <v>0</v>
      </c>
      <c r="H153" s="61">
        <v>0</v>
      </c>
      <c r="I153" s="61">
        <v>0</v>
      </c>
      <c r="J153" s="33">
        <f>H153+I153</f>
        <v>0</v>
      </c>
      <c r="K153" s="33">
        <v>0.03151</v>
      </c>
      <c r="L153" s="33">
        <f>F153*K153</f>
        <v>0.26194263000000007</v>
      </c>
      <c r="M153" s="34" t="s">
        <v>680</v>
      </c>
      <c r="N153" s="2"/>
      <c r="Z153" s="35">
        <f>IF(AQ153="5",BJ153,0)</f>
        <v>0</v>
      </c>
      <c r="AB153" s="35">
        <f>H153</f>
        <v>0</v>
      </c>
      <c r="AC153" s="35">
        <f>I153</f>
        <v>0</v>
      </c>
      <c r="AD153" s="35">
        <f>IF(AQ153="7",BH153,0)</f>
        <v>0</v>
      </c>
      <c r="AE153" s="35">
        <f>IF(AQ153="7",BI153,0)</f>
        <v>0</v>
      </c>
      <c r="AF153" s="35">
        <f>IF(AQ153="2",BH153,0)</f>
        <v>0</v>
      </c>
      <c r="AG153" s="35">
        <f>IF(AQ153="2",BI153,0)</f>
        <v>0</v>
      </c>
      <c r="AH153" s="35">
        <f>IF(AQ153="0",BJ153,0)</f>
        <v>0</v>
      </c>
      <c r="AI153" s="10" t="s">
        <v>161</v>
      </c>
      <c r="AJ153" s="33">
        <f>IF(AN153=0,J153,0)</f>
        <v>0</v>
      </c>
      <c r="AK153" s="33">
        <f>IF(AN153=15,J153,0)</f>
        <v>0</v>
      </c>
      <c r="AL153" s="33">
        <f>IF(AN153=21,J153,0)</f>
        <v>0</v>
      </c>
      <c r="AN153" s="35">
        <v>21</v>
      </c>
      <c r="AO153" s="35">
        <f>G153*0.504734926343989</f>
        <v>0</v>
      </c>
      <c r="AP153" s="35">
        <f>G153*(1-0.504734926343989)</f>
        <v>0</v>
      </c>
      <c r="AQ153" s="36" t="s">
        <v>6</v>
      </c>
      <c r="AV153" s="35">
        <f>AW153+AX153</f>
        <v>0</v>
      </c>
      <c r="AW153" s="35">
        <f>F153*AO153</f>
        <v>0</v>
      </c>
      <c r="AX153" s="35">
        <f>F153*AP153</f>
        <v>0</v>
      </c>
      <c r="AY153" s="37" t="s">
        <v>702</v>
      </c>
      <c r="AZ153" s="37" t="s">
        <v>713</v>
      </c>
      <c r="BA153" s="10" t="s">
        <v>721</v>
      </c>
      <c r="BC153" s="35">
        <f>AW153+AX153</f>
        <v>0</v>
      </c>
      <c r="BD153" s="35">
        <f>G153/(100-BE153)*100</f>
        <v>0</v>
      </c>
      <c r="BE153" s="35">
        <v>0</v>
      </c>
      <c r="BF153" s="35">
        <f>L153</f>
        <v>0.26194263000000007</v>
      </c>
      <c r="BH153" s="33">
        <f>F153*AO153</f>
        <v>0</v>
      </c>
      <c r="BI153" s="33">
        <f>F153*AP153</f>
        <v>0</v>
      </c>
      <c r="BJ153" s="33">
        <f>F153*G153</f>
        <v>0</v>
      </c>
      <c r="BK153" s="33" t="s">
        <v>728</v>
      </c>
      <c r="BL153" s="35">
        <v>62</v>
      </c>
    </row>
    <row r="154" spans="1:14" ht="12.75">
      <c r="A154" s="2"/>
      <c r="D154" s="38" t="s">
        <v>469</v>
      </c>
      <c r="F154" s="39">
        <v>1.28</v>
      </c>
      <c r="M154" s="40"/>
      <c r="N154" s="2"/>
    </row>
    <row r="155" spans="1:14" ht="12.75">
      <c r="A155" s="2"/>
      <c r="D155" s="38" t="s">
        <v>470</v>
      </c>
      <c r="F155" s="39">
        <v>1.705</v>
      </c>
      <c r="M155" s="40"/>
      <c r="N155" s="2"/>
    </row>
    <row r="156" spans="1:14" ht="12.75">
      <c r="A156" s="2"/>
      <c r="D156" s="38" t="s">
        <v>467</v>
      </c>
      <c r="F156" s="39">
        <v>5.328</v>
      </c>
      <c r="M156" s="40"/>
      <c r="N156" s="2"/>
    </row>
    <row r="157" spans="1:64" ht="12.75">
      <c r="A157" s="31" t="s">
        <v>68</v>
      </c>
      <c r="B157" s="32" t="s">
        <v>161</v>
      </c>
      <c r="C157" s="32" t="s">
        <v>235</v>
      </c>
      <c r="D157" s="32" t="s">
        <v>820</v>
      </c>
      <c r="E157" s="32" t="s">
        <v>649</v>
      </c>
      <c r="F157" s="33">
        <v>10.029</v>
      </c>
      <c r="G157" s="33">
        <f>J157/F157</f>
        <v>0</v>
      </c>
      <c r="H157" s="61">
        <v>0</v>
      </c>
      <c r="I157" s="61">
        <v>0</v>
      </c>
      <c r="J157" s="33">
        <f>H157+I157</f>
        <v>0</v>
      </c>
      <c r="K157" s="33">
        <v>0.01382</v>
      </c>
      <c r="L157" s="33">
        <f>F157*K157</f>
        <v>0.13860078</v>
      </c>
      <c r="M157" s="34" t="s">
        <v>680</v>
      </c>
      <c r="N157" s="2"/>
      <c r="Z157" s="35">
        <f>IF(AQ157="5",BJ157,0)</f>
        <v>0</v>
      </c>
      <c r="AB157" s="35">
        <f>H157</f>
        <v>0</v>
      </c>
      <c r="AC157" s="35">
        <f>I157</f>
        <v>0</v>
      </c>
      <c r="AD157" s="35">
        <f>IF(AQ157="7",BH157,0)</f>
        <v>0</v>
      </c>
      <c r="AE157" s="35">
        <f>IF(AQ157="7",BI157,0)</f>
        <v>0</v>
      </c>
      <c r="AF157" s="35">
        <f>IF(AQ157="2",BH157,0)</f>
        <v>0</v>
      </c>
      <c r="AG157" s="35">
        <f>IF(AQ157="2",BI157,0)</f>
        <v>0</v>
      </c>
      <c r="AH157" s="35">
        <f>IF(AQ157="0",BJ157,0)</f>
        <v>0</v>
      </c>
      <c r="AI157" s="10" t="s">
        <v>161</v>
      </c>
      <c r="AJ157" s="33">
        <f>IF(AN157=0,J157,0)</f>
        <v>0</v>
      </c>
      <c r="AK157" s="33">
        <f>IF(AN157=15,J157,0)</f>
        <v>0</v>
      </c>
      <c r="AL157" s="33">
        <f>IF(AN157=21,J157,0)</f>
        <v>0</v>
      </c>
      <c r="AN157" s="35">
        <v>21</v>
      </c>
      <c r="AO157" s="35">
        <f>G157*0.329552884615385</f>
        <v>0</v>
      </c>
      <c r="AP157" s="35">
        <f>G157*(1-0.329552884615385)</f>
        <v>0</v>
      </c>
      <c r="AQ157" s="36" t="s">
        <v>6</v>
      </c>
      <c r="AV157" s="35">
        <f>AW157+AX157</f>
        <v>0</v>
      </c>
      <c r="AW157" s="35">
        <f>F157*AO157</f>
        <v>0</v>
      </c>
      <c r="AX157" s="35">
        <f>F157*AP157</f>
        <v>0</v>
      </c>
      <c r="AY157" s="37" t="s">
        <v>702</v>
      </c>
      <c r="AZ157" s="37" t="s">
        <v>713</v>
      </c>
      <c r="BA157" s="10" t="s">
        <v>721</v>
      </c>
      <c r="BC157" s="35">
        <f>AW157+AX157</f>
        <v>0</v>
      </c>
      <c r="BD157" s="35">
        <f>G157/(100-BE157)*100</f>
        <v>0</v>
      </c>
      <c r="BE157" s="35">
        <v>0</v>
      </c>
      <c r="BF157" s="35">
        <f>L157</f>
        <v>0.13860078</v>
      </c>
      <c r="BH157" s="33">
        <f>F157*AO157</f>
        <v>0</v>
      </c>
      <c r="BI157" s="33">
        <f>F157*AP157</f>
        <v>0</v>
      </c>
      <c r="BJ157" s="33">
        <f>F157*G157</f>
        <v>0</v>
      </c>
      <c r="BK157" s="33" t="s">
        <v>728</v>
      </c>
      <c r="BL157" s="35">
        <v>62</v>
      </c>
    </row>
    <row r="158" spans="1:14" ht="12.75">
      <c r="A158" s="2"/>
      <c r="D158" s="38" t="s">
        <v>471</v>
      </c>
      <c r="F158" s="39">
        <v>10.029</v>
      </c>
      <c r="M158" s="40"/>
      <c r="N158" s="2"/>
    </row>
    <row r="159" spans="1:64" ht="12.75">
      <c r="A159" s="31" t="s">
        <v>69</v>
      </c>
      <c r="B159" s="32" t="s">
        <v>161</v>
      </c>
      <c r="C159" s="32" t="s">
        <v>236</v>
      </c>
      <c r="D159" s="32" t="s">
        <v>472</v>
      </c>
      <c r="E159" s="32" t="s">
        <v>649</v>
      </c>
      <c r="F159" s="33">
        <v>1869.8915</v>
      </c>
      <c r="G159" s="33">
        <f>J159/F159</f>
        <v>0</v>
      </c>
      <c r="H159" s="61">
        <v>0</v>
      </c>
      <c r="I159" s="61">
        <v>0</v>
      </c>
      <c r="J159" s="33">
        <f>H159+I159</f>
        <v>0</v>
      </c>
      <c r="K159" s="33">
        <v>0.0136</v>
      </c>
      <c r="L159" s="33">
        <f>F159*K159</f>
        <v>25.4305244</v>
      </c>
      <c r="M159" s="34" t="s">
        <v>680</v>
      </c>
      <c r="N159" s="2"/>
      <c r="Z159" s="35">
        <f>IF(AQ159="5",BJ159,0)</f>
        <v>0</v>
      </c>
      <c r="AB159" s="35">
        <f>H159</f>
        <v>0</v>
      </c>
      <c r="AC159" s="35">
        <f>I159</f>
        <v>0</v>
      </c>
      <c r="AD159" s="35">
        <f>IF(AQ159="7",BH159,0)</f>
        <v>0</v>
      </c>
      <c r="AE159" s="35">
        <f>IF(AQ159="7",BI159,0)</f>
        <v>0</v>
      </c>
      <c r="AF159" s="35">
        <f>IF(AQ159="2",BH159,0)</f>
        <v>0</v>
      </c>
      <c r="AG159" s="35">
        <f>IF(AQ159="2",BI159,0)</f>
        <v>0</v>
      </c>
      <c r="AH159" s="35">
        <f>IF(AQ159="0",BJ159,0)</f>
        <v>0</v>
      </c>
      <c r="AI159" s="10" t="s">
        <v>161</v>
      </c>
      <c r="AJ159" s="33">
        <f>IF(AN159=0,J159,0)</f>
        <v>0</v>
      </c>
      <c r="AK159" s="33">
        <f>IF(AN159=15,J159,0)</f>
        <v>0</v>
      </c>
      <c r="AL159" s="33">
        <f>IF(AN159=21,J159,0)</f>
        <v>0</v>
      </c>
      <c r="AN159" s="35">
        <v>21</v>
      </c>
      <c r="AO159" s="35">
        <f>G159*0.441504187600748</f>
        <v>0</v>
      </c>
      <c r="AP159" s="35">
        <f>G159*(1-0.441504187600748)</f>
        <v>0</v>
      </c>
      <c r="AQ159" s="36" t="s">
        <v>6</v>
      </c>
      <c r="AV159" s="35">
        <f>AW159+AX159</f>
        <v>0</v>
      </c>
      <c r="AW159" s="35">
        <f>F159*AO159</f>
        <v>0</v>
      </c>
      <c r="AX159" s="35">
        <f>F159*AP159</f>
        <v>0</v>
      </c>
      <c r="AY159" s="37" t="s">
        <v>702</v>
      </c>
      <c r="AZ159" s="37" t="s">
        <v>713</v>
      </c>
      <c r="BA159" s="10" t="s">
        <v>721</v>
      </c>
      <c r="BC159" s="35">
        <f>AW159+AX159</f>
        <v>0</v>
      </c>
      <c r="BD159" s="35">
        <f>G159/(100-BE159)*100</f>
        <v>0</v>
      </c>
      <c r="BE159" s="35">
        <v>0</v>
      </c>
      <c r="BF159" s="35">
        <f>L159</f>
        <v>25.4305244</v>
      </c>
      <c r="BH159" s="33">
        <f>F159*AO159</f>
        <v>0</v>
      </c>
      <c r="BI159" s="33">
        <f>F159*AP159</f>
        <v>0</v>
      </c>
      <c r="BJ159" s="33">
        <f>F159*G159</f>
        <v>0</v>
      </c>
      <c r="BK159" s="33" t="s">
        <v>728</v>
      </c>
      <c r="BL159" s="35">
        <v>62</v>
      </c>
    </row>
    <row r="160" spans="1:14" ht="12.75">
      <c r="A160" s="2"/>
      <c r="D160" s="38" t="s">
        <v>473</v>
      </c>
      <c r="F160" s="39">
        <v>1846.7885</v>
      </c>
      <c r="M160" s="40"/>
      <c r="N160" s="2"/>
    </row>
    <row r="161" spans="1:14" ht="12.75">
      <c r="A161" s="2"/>
      <c r="D161" s="38" t="s">
        <v>474</v>
      </c>
      <c r="F161" s="39">
        <v>23.103</v>
      </c>
      <c r="M161" s="40"/>
      <c r="N161" s="2"/>
    </row>
    <row r="162" spans="1:64" ht="12.75">
      <c r="A162" s="31" t="s">
        <v>70</v>
      </c>
      <c r="B162" s="32" t="s">
        <v>161</v>
      </c>
      <c r="C162" s="32" t="s">
        <v>237</v>
      </c>
      <c r="D162" s="32" t="s">
        <v>475</v>
      </c>
      <c r="E162" s="32" t="s">
        <v>649</v>
      </c>
      <c r="F162" s="33">
        <v>14.88</v>
      </c>
      <c r="G162" s="33">
        <f>J162/F162</f>
        <v>0</v>
      </c>
      <c r="H162" s="61">
        <v>0</v>
      </c>
      <c r="I162" s="61">
        <v>0</v>
      </c>
      <c r="J162" s="33">
        <f>H162+I162</f>
        <v>0</v>
      </c>
      <c r="K162" s="33">
        <v>0.04265</v>
      </c>
      <c r="L162" s="33">
        <f>F162*K162</f>
        <v>0.6346320000000001</v>
      </c>
      <c r="M162" s="34" t="s">
        <v>680</v>
      </c>
      <c r="N162" s="2"/>
      <c r="Z162" s="35">
        <f>IF(AQ162="5",BJ162,0)</f>
        <v>0</v>
      </c>
      <c r="AB162" s="35">
        <f>H162</f>
        <v>0</v>
      </c>
      <c r="AC162" s="35">
        <f>I162</f>
        <v>0</v>
      </c>
      <c r="AD162" s="35">
        <f>IF(AQ162="7",BH162,0)</f>
        <v>0</v>
      </c>
      <c r="AE162" s="35">
        <f>IF(AQ162="7",BI162,0)</f>
        <v>0</v>
      </c>
      <c r="AF162" s="35">
        <f>IF(AQ162="2",BH162,0)</f>
        <v>0</v>
      </c>
      <c r="AG162" s="35">
        <f>IF(AQ162="2",BI162,0)</f>
        <v>0</v>
      </c>
      <c r="AH162" s="35">
        <f>IF(AQ162="0",BJ162,0)</f>
        <v>0</v>
      </c>
      <c r="AI162" s="10" t="s">
        <v>161</v>
      </c>
      <c r="AJ162" s="33">
        <f>IF(AN162=0,J162,0)</f>
        <v>0</v>
      </c>
      <c r="AK162" s="33">
        <f>IF(AN162=15,J162,0)</f>
        <v>0</v>
      </c>
      <c r="AL162" s="33">
        <f>IF(AN162=21,J162,0)</f>
        <v>0</v>
      </c>
      <c r="AN162" s="35">
        <v>21</v>
      </c>
      <c r="AO162" s="35">
        <f>G162*0.638139242709134</f>
        <v>0</v>
      </c>
      <c r="AP162" s="35">
        <f>G162*(1-0.638139242709134)</f>
        <v>0</v>
      </c>
      <c r="AQ162" s="36" t="s">
        <v>6</v>
      </c>
      <c r="AV162" s="35">
        <f>AW162+AX162</f>
        <v>0</v>
      </c>
      <c r="AW162" s="35">
        <f>F162*AO162</f>
        <v>0</v>
      </c>
      <c r="AX162" s="35">
        <f>F162*AP162</f>
        <v>0</v>
      </c>
      <c r="AY162" s="37" t="s">
        <v>702</v>
      </c>
      <c r="AZ162" s="37" t="s">
        <v>713</v>
      </c>
      <c r="BA162" s="10" t="s">
        <v>721</v>
      </c>
      <c r="BC162" s="35">
        <f>AW162+AX162</f>
        <v>0</v>
      </c>
      <c r="BD162" s="35">
        <f>G162/(100-BE162)*100</f>
        <v>0</v>
      </c>
      <c r="BE162" s="35">
        <v>0</v>
      </c>
      <c r="BF162" s="35">
        <f>L162</f>
        <v>0.6346320000000001</v>
      </c>
      <c r="BH162" s="33">
        <f>F162*AO162</f>
        <v>0</v>
      </c>
      <c r="BI162" s="33">
        <f>F162*AP162</f>
        <v>0</v>
      </c>
      <c r="BJ162" s="33">
        <f>F162*G162</f>
        <v>0</v>
      </c>
      <c r="BK162" s="33" t="s">
        <v>728</v>
      </c>
      <c r="BL162" s="35">
        <v>62</v>
      </c>
    </row>
    <row r="163" spans="1:14" ht="12.75">
      <c r="A163" s="2"/>
      <c r="D163" s="38" t="s">
        <v>476</v>
      </c>
      <c r="F163" s="39">
        <v>14.88</v>
      </c>
      <c r="M163" s="40"/>
      <c r="N163" s="2"/>
    </row>
    <row r="164" spans="1:64" ht="12.75">
      <c r="A164" s="31" t="s">
        <v>71</v>
      </c>
      <c r="B164" s="32" t="s">
        <v>161</v>
      </c>
      <c r="C164" s="32" t="s">
        <v>238</v>
      </c>
      <c r="D164" s="32" t="s">
        <v>477</v>
      </c>
      <c r="E164" s="32" t="s">
        <v>649</v>
      </c>
      <c r="F164" s="33">
        <v>140.85675</v>
      </c>
      <c r="G164" s="33">
        <f>J164/F164</f>
        <v>0</v>
      </c>
      <c r="H164" s="61">
        <v>0</v>
      </c>
      <c r="I164" s="61">
        <v>0</v>
      </c>
      <c r="J164" s="33">
        <f>H164+I164</f>
        <v>0</v>
      </c>
      <c r="K164" s="33">
        <v>0.01399</v>
      </c>
      <c r="L164" s="33">
        <f>F164*K164</f>
        <v>1.9705859325000001</v>
      </c>
      <c r="M164" s="34" t="s">
        <v>680</v>
      </c>
      <c r="N164" s="2"/>
      <c r="Z164" s="35">
        <f>IF(AQ164="5",BJ164,0)</f>
        <v>0</v>
      </c>
      <c r="AB164" s="35">
        <f>H164</f>
        <v>0</v>
      </c>
      <c r="AC164" s="35">
        <f>I164</f>
        <v>0</v>
      </c>
      <c r="AD164" s="35">
        <f>IF(AQ164="7",BH164,0)</f>
        <v>0</v>
      </c>
      <c r="AE164" s="35">
        <f>IF(AQ164="7",BI164,0)</f>
        <v>0</v>
      </c>
      <c r="AF164" s="35">
        <f>IF(AQ164="2",BH164,0)</f>
        <v>0</v>
      </c>
      <c r="AG164" s="35">
        <f>IF(AQ164="2",BI164,0)</f>
        <v>0</v>
      </c>
      <c r="AH164" s="35">
        <f>IF(AQ164="0",BJ164,0)</f>
        <v>0</v>
      </c>
      <c r="AI164" s="10" t="s">
        <v>161</v>
      </c>
      <c r="AJ164" s="33">
        <f>IF(AN164=0,J164,0)</f>
        <v>0</v>
      </c>
      <c r="AK164" s="33">
        <f>IF(AN164=15,J164,0)</f>
        <v>0</v>
      </c>
      <c r="AL164" s="33">
        <f>IF(AN164=21,J164,0)</f>
        <v>0</v>
      </c>
      <c r="AN164" s="35">
        <v>21</v>
      </c>
      <c r="AO164" s="35">
        <f>G164*0.537502151928816</f>
        <v>0</v>
      </c>
      <c r="AP164" s="35">
        <f>G164*(1-0.537502151928816)</f>
        <v>0</v>
      </c>
      <c r="AQ164" s="36" t="s">
        <v>6</v>
      </c>
      <c r="AV164" s="35">
        <f>AW164+AX164</f>
        <v>0</v>
      </c>
      <c r="AW164" s="35">
        <f>F164*AO164</f>
        <v>0</v>
      </c>
      <c r="AX164" s="35">
        <f>F164*AP164</f>
        <v>0</v>
      </c>
      <c r="AY164" s="37" t="s">
        <v>702</v>
      </c>
      <c r="AZ164" s="37" t="s">
        <v>713</v>
      </c>
      <c r="BA164" s="10" t="s">
        <v>721</v>
      </c>
      <c r="BC164" s="35">
        <f>AW164+AX164</f>
        <v>0</v>
      </c>
      <c r="BD164" s="35">
        <f>G164/(100-BE164)*100</f>
        <v>0</v>
      </c>
      <c r="BE164" s="35">
        <v>0</v>
      </c>
      <c r="BF164" s="35">
        <f>L164</f>
        <v>1.9705859325000001</v>
      </c>
      <c r="BH164" s="33">
        <f>F164*AO164</f>
        <v>0</v>
      </c>
      <c r="BI164" s="33">
        <f>F164*AP164</f>
        <v>0</v>
      </c>
      <c r="BJ164" s="33">
        <f>F164*G164</f>
        <v>0</v>
      </c>
      <c r="BK164" s="33" t="s">
        <v>728</v>
      </c>
      <c r="BL164" s="35">
        <v>62</v>
      </c>
    </row>
    <row r="165" spans="1:14" ht="12.75">
      <c r="A165" s="2"/>
      <c r="D165" s="38" t="s">
        <v>478</v>
      </c>
      <c r="F165" s="39">
        <v>140.85675</v>
      </c>
      <c r="M165" s="40"/>
      <c r="N165" s="2"/>
    </row>
    <row r="166" spans="1:64" ht="12.75">
      <c r="A166" s="31" t="s">
        <v>72</v>
      </c>
      <c r="B166" s="32" t="s">
        <v>161</v>
      </c>
      <c r="C166" s="32" t="s">
        <v>239</v>
      </c>
      <c r="D166" s="32" t="s">
        <v>479</v>
      </c>
      <c r="E166" s="32" t="s">
        <v>654</v>
      </c>
      <c r="F166" s="33">
        <v>58.1595</v>
      </c>
      <c r="G166" s="33">
        <f>J166/F166</f>
        <v>0</v>
      </c>
      <c r="H166" s="61">
        <v>0</v>
      </c>
      <c r="I166" s="61">
        <v>0</v>
      </c>
      <c r="J166" s="33">
        <f>H166+I166</f>
        <v>0</v>
      </c>
      <c r="K166" s="33">
        <v>0</v>
      </c>
      <c r="L166" s="33">
        <f>F166*K166</f>
        <v>0</v>
      </c>
      <c r="M166" s="34" t="s">
        <v>680</v>
      </c>
      <c r="N166" s="2"/>
      <c r="Z166" s="35">
        <f>H166+I166</f>
        <v>0</v>
      </c>
      <c r="AB166" s="35">
        <f>IF(AQ166="1",BH166,0)</f>
        <v>0</v>
      </c>
      <c r="AC166" s="35">
        <f>IF(AQ166="1",BI166,0)</f>
        <v>0</v>
      </c>
      <c r="AD166" s="35">
        <f>IF(AQ166="7",BH166,0)</f>
        <v>0</v>
      </c>
      <c r="AE166" s="35">
        <f>IF(AQ166="7",BI166,0)</f>
        <v>0</v>
      </c>
      <c r="AF166" s="35">
        <f>IF(AQ166="2",BH166,0)</f>
        <v>0</v>
      </c>
      <c r="AG166" s="35">
        <f>IF(AQ166="2",BI166,0)</f>
        <v>0</v>
      </c>
      <c r="AH166" s="35">
        <f>IF(AQ166="0",BJ166,0)</f>
        <v>0</v>
      </c>
      <c r="AI166" s="10" t="s">
        <v>161</v>
      </c>
      <c r="AJ166" s="33">
        <f>IF(AN166=0,J166,0)</f>
        <v>0</v>
      </c>
      <c r="AK166" s="33">
        <f>IF(AN166=15,J166,0)</f>
        <v>0</v>
      </c>
      <c r="AL166" s="33">
        <f>IF(AN166=21,J166,0)</f>
        <v>0</v>
      </c>
      <c r="AN166" s="35">
        <v>21</v>
      </c>
      <c r="AO166" s="35">
        <f>G166*0</f>
        <v>0</v>
      </c>
      <c r="AP166" s="35">
        <f>G166*(1-0)</f>
        <v>0</v>
      </c>
      <c r="AQ166" s="36" t="s">
        <v>10</v>
      </c>
      <c r="AV166" s="35">
        <f>AW166+AX166</f>
        <v>0</v>
      </c>
      <c r="AW166" s="35">
        <f>F166*AO166</f>
        <v>0</v>
      </c>
      <c r="AX166" s="35">
        <f>F166*AP166</f>
        <v>0</v>
      </c>
      <c r="AY166" s="37" t="s">
        <v>702</v>
      </c>
      <c r="AZ166" s="37" t="s">
        <v>713</v>
      </c>
      <c r="BA166" s="10" t="s">
        <v>721</v>
      </c>
      <c r="BC166" s="35">
        <f>AW166+AX166</f>
        <v>0</v>
      </c>
      <c r="BD166" s="35">
        <f>G166/(100-BE166)*100</f>
        <v>0</v>
      </c>
      <c r="BE166" s="35">
        <v>0</v>
      </c>
      <c r="BF166" s="35">
        <f>L166</f>
        <v>0</v>
      </c>
      <c r="BH166" s="33">
        <f>F166*AO166</f>
        <v>0</v>
      </c>
      <c r="BI166" s="33">
        <f>F166*AP166</f>
        <v>0</v>
      </c>
      <c r="BJ166" s="33">
        <f>F166*G166</f>
        <v>0</v>
      </c>
      <c r="BK166" s="33" t="s">
        <v>728</v>
      </c>
      <c r="BL166" s="35">
        <v>62</v>
      </c>
    </row>
    <row r="167" spans="1:14" ht="12.75">
      <c r="A167" s="2"/>
      <c r="D167" s="38" t="s">
        <v>480</v>
      </c>
      <c r="F167" s="39">
        <v>58.1595</v>
      </c>
      <c r="M167" s="40"/>
      <c r="N167" s="2"/>
    </row>
    <row r="168" spans="1:47" ht="12.75">
      <c r="A168" s="26"/>
      <c r="B168" s="27" t="s">
        <v>161</v>
      </c>
      <c r="C168" s="27" t="s">
        <v>240</v>
      </c>
      <c r="D168" s="27" t="s">
        <v>481</v>
      </c>
      <c r="E168" s="28" t="s">
        <v>5</v>
      </c>
      <c r="F168" s="28" t="s">
        <v>5</v>
      </c>
      <c r="G168" s="28" t="s">
        <v>5</v>
      </c>
      <c r="H168" s="29">
        <f>SUM(H169:H175)</f>
        <v>0</v>
      </c>
      <c r="I168" s="29">
        <f>SUM(I169:I175)</f>
        <v>0</v>
      </c>
      <c r="J168" s="29">
        <f>SUM(J169:J175)</f>
        <v>0</v>
      </c>
      <c r="K168" s="10"/>
      <c r="L168" s="29">
        <f>SUM(L169:L175)</f>
        <v>0.015619500000000001</v>
      </c>
      <c r="M168" s="30"/>
      <c r="N168" s="2"/>
      <c r="AI168" s="10" t="s">
        <v>161</v>
      </c>
      <c r="AS168" s="29">
        <f>SUM(AJ169:AJ175)</f>
        <v>0</v>
      </c>
      <c r="AT168" s="29">
        <f>SUM(AK169:AK175)</f>
        <v>0</v>
      </c>
      <c r="AU168" s="29">
        <f>SUM(AL169:AL175)</f>
        <v>0</v>
      </c>
    </row>
    <row r="169" spans="1:64" ht="12.75">
      <c r="A169" s="31" t="s">
        <v>73</v>
      </c>
      <c r="B169" s="32" t="s">
        <v>161</v>
      </c>
      <c r="C169" s="32" t="s">
        <v>241</v>
      </c>
      <c r="D169" s="32" t="s">
        <v>482</v>
      </c>
      <c r="E169" s="32" t="s">
        <v>649</v>
      </c>
      <c r="F169" s="33">
        <v>1.35</v>
      </c>
      <c r="G169" s="33">
        <f>J169/F169</f>
        <v>0</v>
      </c>
      <c r="H169" s="61">
        <v>0</v>
      </c>
      <c r="I169" s="61">
        <v>0</v>
      </c>
      <c r="J169" s="33">
        <f>H169+I169</f>
        <v>0</v>
      </c>
      <c r="K169" s="33">
        <v>0.00598</v>
      </c>
      <c r="L169" s="33">
        <f>F169*K169</f>
        <v>0.008073</v>
      </c>
      <c r="M169" s="34" t="s">
        <v>680</v>
      </c>
      <c r="N169" s="2"/>
      <c r="Z169" s="35">
        <f>IF(AQ169="5",BJ169,0)</f>
        <v>0</v>
      </c>
      <c r="AB169" s="35">
        <f>IF(AQ169="1",BH169,0)</f>
        <v>0</v>
      </c>
      <c r="AC169" s="35">
        <f>IF(AQ169="1",BI169,0)</f>
        <v>0</v>
      </c>
      <c r="AD169" s="35">
        <f>H169</f>
        <v>0</v>
      </c>
      <c r="AE169" s="35">
        <f>I169</f>
        <v>0</v>
      </c>
      <c r="AF169" s="35">
        <f>IF(AQ169="2",BH169,0)</f>
        <v>0</v>
      </c>
      <c r="AG169" s="35">
        <f>IF(AQ169="2",BI169,0)</f>
        <v>0</v>
      </c>
      <c r="AH169" s="35">
        <f>IF(AQ169="0",BJ169,0)</f>
        <v>0</v>
      </c>
      <c r="AI169" s="10" t="s">
        <v>161</v>
      </c>
      <c r="AJ169" s="33">
        <f>IF(AN169=0,J169,0)</f>
        <v>0</v>
      </c>
      <c r="AK169" s="33">
        <f>IF(AN169=15,J169,0)</f>
        <v>0</v>
      </c>
      <c r="AL169" s="33">
        <f>IF(AN169=21,J169,0)</f>
        <v>0</v>
      </c>
      <c r="AN169" s="35">
        <v>21</v>
      </c>
      <c r="AO169" s="35">
        <f>G169*0.516943506434243</f>
        <v>0</v>
      </c>
      <c r="AP169" s="35">
        <f>G169*(1-0.516943506434243)</f>
        <v>0</v>
      </c>
      <c r="AQ169" s="36" t="s">
        <v>12</v>
      </c>
      <c r="AV169" s="35">
        <f>AW169+AX169</f>
        <v>0</v>
      </c>
      <c r="AW169" s="35">
        <f>F169*AO169</f>
        <v>0</v>
      </c>
      <c r="AX169" s="35">
        <f>F169*AP169</f>
        <v>0</v>
      </c>
      <c r="AY169" s="37" t="s">
        <v>703</v>
      </c>
      <c r="AZ169" s="37" t="s">
        <v>714</v>
      </c>
      <c r="BA169" s="10" t="s">
        <v>721</v>
      </c>
      <c r="BC169" s="35">
        <f>AW169+AX169</f>
        <v>0</v>
      </c>
      <c r="BD169" s="35">
        <f>G169/(100-BE169)*100</f>
        <v>0</v>
      </c>
      <c r="BE169" s="35">
        <v>0</v>
      </c>
      <c r="BF169" s="35">
        <f>L169</f>
        <v>0.008073</v>
      </c>
      <c r="BH169" s="33">
        <f>F169*AO169</f>
        <v>0</v>
      </c>
      <c r="BI169" s="33">
        <f>F169*AP169</f>
        <v>0</v>
      </c>
      <c r="BJ169" s="33">
        <f>F169*G169</f>
        <v>0</v>
      </c>
      <c r="BK169" s="33" t="s">
        <v>728</v>
      </c>
      <c r="BL169" s="35">
        <v>711</v>
      </c>
    </row>
    <row r="170" spans="1:14" ht="12.75">
      <c r="A170" s="2"/>
      <c r="D170" s="38" t="s">
        <v>483</v>
      </c>
      <c r="F170" s="39">
        <v>1.35</v>
      </c>
      <c r="M170" s="40"/>
      <c r="N170" s="2"/>
    </row>
    <row r="171" spans="1:64" ht="12.75">
      <c r="A171" s="31" t="s">
        <v>74</v>
      </c>
      <c r="B171" s="32" t="s">
        <v>161</v>
      </c>
      <c r="C171" s="32" t="s">
        <v>242</v>
      </c>
      <c r="D171" s="32" t="s">
        <v>484</v>
      </c>
      <c r="E171" s="32" t="s">
        <v>649</v>
      </c>
      <c r="F171" s="33">
        <v>2.7</v>
      </c>
      <c r="G171" s="33">
        <f>J171/F171</f>
        <v>0</v>
      </c>
      <c r="H171" s="61">
        <v>0</v>
      </c>
      <c r="I171" s="61">
        <v>0</v>
      </c>
      <c r="J171" s="33">
        <f>H171+I171</f>
        <v>0</v>
      </c>
      <c r="K171" s="33">
        <v>0</v>
      </c>
      <c r="L171" s="33">
        <f>F171*K171</f>
        <v>0</v>
      </c>
      <c r="M171" s="34" t="s">
        <v>680</v>
      </c>
      <c r="N171" s="2"/>
      <c r="Z171" s="35">
        <f>IF(AQ171="5",BJ171,0)</f>
        <v>0</v>
      </c>
      <c r="AB171" s="35">
        <f>IF(AQ171="1",BH171,0)</f>
        <v>0</v>
      </c>
      <c r="AC171" s="35">
        <f>IF(AQ171="1",BI171,0)</f>
        <v>0</v>
      </c>
      <c r="AD171" s="35">
        <f>H171</f>
        <v>0</v>
      </c>
      <c r="AE171" s="35">
        <f>I171</f>
        <v>0</v>
      </c>
      <c r="AF171" s="35">
        <f>IF(AQ171="2",BH171,0)</f>
        <v>0</v>
      </c>
      <c r="AG171" s="35">
        <f>IF(AQ171="2",BI171,0)</f>
        <v>0</v>
      </c>
      <c r="AH171" s="35">
        <f>IF(AQ171="0",BJ171,0)</f>
        <v>0</v>
      </c>
      <c r="AI171" s="10" t="s">
        <v>161</v>
      </c>
      <c r="AJ171" s="33">
        <f>IF(AN171=0,J171,0)</f>
        <v>0</v>
      </c>
      <c r="AK171" s="33">
        <f>IF(AN171=15,J171,0)</f>
        <v>0</v>
      </c>
      <c r="AL171" s="33">
        <f>IF(AN171=21,J171,0)</f>
        <v>0</v>
      </c>
      <c r="AN171" s="35">
        <v>21</v>
      </c>
      <c r="AO171" s="35">
        <f>G171*0</f>
        <v>0</v>
      </c>
      <c r="AP171" s="35">
        <f>G171*(1-0)</f>
        <v>0</v>
      </c>
      <c r="AQ171" s="36" t="s">
        <v>12</v>
      </c>
      <c r="AV171" s="35">
        <f>AW171+AX171</f>
        <v>0</v>
      </c>
      <c r="AW171" s="35">
        <f>F171*AO171</f>
        <v>0</v>
      </c>
      <c r="AX171" s="35">
        <f>F171*AP171</f>
        <v>0</v>
      </c>
      <c r="AY171" s="37" t="s">
        <v>703</v>
      </c>
      <c r="AZ171" s="37" t="s">
        <v>714</v>
      </c>
      <c r="BA171" s="10" t="s">
        <v>721</v>
      </c>
      <c r="BC171" s="35">
        <f>AW171+AX171</f>
        <v>0</v>
      </c>
      <c r="BD171" s="35">
        <f>G171/(100-BE171)*100</f>
        <v>0</v>
      </c>
      <c r="BE171" s="35">
        <v>0</v>
      </c>
      <c r="BF171" s="35">
        <f>L171</f>
        <v>0</v>
      </c>
      <c r="BH171" s="33">
        <f>F171*AO171</f>
        <v>0</v>
      </c>
      <c r="BI171" s="33">
        <f>F171*AP171</f>
        <v>0</v>
      </c>
      <c r="BJ171" s="33">
        <f>F171*G171</f>
        <v>0</v>
      </c>
      <c r="BK171" s="33" t="s">
        <v>728</v>
      </c>
      <c r="BL171" s="35">
        <v>711</v>
      </c>
    </row>
    <row r="172" spans="1:14" ht="12.75">
      <c r="A172" s="2"/>
      <c r="D172" s="38" t="s">
        <v>485</v>
      </c>
      <c r="F172" s="39">
        <v>2.7</v>
      </c>
      <c r="M172" s="40"/>
      <c r="N172" s="2"/>
    </row>
    <row r="173" spans="1:64" ht="12.75">
      <c r="A173" s="31" t="s">
        <v>75</v>
      </c>
      <c r="B173" s="32" t="s">
        <v>161</v>
      </c>
      <c r="C173" s="32" t="s">
        <v>243</v>
      </c>
      <c r="D173" s="32" t="s">
        <v>486</v>
      </c>
      <c r="E173" s="32" t="s">
        <v>649</v>
      </c>
      <c r="F173" s="33">
        <v>1.35</v>
      </c>
      <c r="G173" s="33">
        <f>J173/F173</f>
        <v>0</v>
      </c>
      <c r="H173" s="61">
        <v>0</v>
      </c>
      <c r="I173" s="61">
        <v>0</v>
      </c>
      <c r="J173" s="33">
        <f>H173+I173</f>
        <v>0</v>
      </c>
      <c r="K173" s="33">
        <v>0.00559</v>
      </c>
      <c r="L173" s="33">
        <f>F173*K173</f>
        <v>0.007546500000000001</v>
      </c>
      <c r="M173" s="34" t="s">
        <v>680</v>
      </c>
      <c r="N173" s="2"/>
      <c r="Z173" s="35">
        <f>IF(AQ173="5",BJ173,0)</f>
        <v>0</v>
      </c>
      <c r="AB173" s="35">
        <f>IF(AQ173="1",BH173,0)</f>
        <v>0</v>
      </c>
      <c r="AC173" s="35">
        <f>IF(AQ173="1",BI173,0)</f>
        <v>0</v>
      </c>
      <c r="AD173" s="35">
        <f>H173</f>
        <v>0</v>
      </c>
      <c r="AE173" s="35">
        <f>I173</f>
        <v>0</v>
      </c>
      <c r="AF173" s="35">
        <f>IF(AQ173="2",BH173,0)</f>
        <v>0</v>
      </c>
      <c r="AG173" s="35">
        <f>IF(AQ173="2",BI173,0)</f>
        <v>0</v>
      </c>
      <c r="AH173" s="35">
        <f>IF(AQ173="0",BJ173,0)</f>
        <v>0</v>
      </c>
      <c r="AI173" s="10" t="s">
        <v>161</v>
      </c>
      <c r="AJ173" s="33">
        <f>IF(AN173=0,J173,0)</f>
        <v>0</v>
      </c>
      <c r="AK173" s="33">
        <f>IF(AN173=15,J173,0)</f>
        <v>0</v>
      </c>
      <c r="AL173" s="33">
        <f>IF(AN173=21,J173,0)</f>
        <v>0</v>
      </c>
      <c r="AN173" s="35">
        <v>21</v>
      </c>
      <c r="AO173" s="35">
        <f>G173*0.534292237442922</f>
        <v>0</v>
      </c>
      <c r="AP173" s="35">
        <f>G173*(1-0.534292237442922)</f>
        <v>0</v>
      </c>
      <c r="AQ173" s="36" t="s">
        <v>12</v>
      </c>
      <c r="AV173" s="35">
        <f>AW173+AX173</f>
        <v>0</v>
      </c>
      <c r="AW173" s="35">
        <f>F173*AO173</f>
        <v>0</v>
      </c>
      <c r="AX173" s="35">
        <f>F173*AP173</f>
        <v>0</v>
      </c>
      <c r="AY173" s="37" t="s">
        <v>703</v>
      </c>
      <c r="AZ173" s="37" t="s">
        <v>714</v>
      </c>
      <c r="BA173" s="10" t="s">
        <v>721</v>
      </c>
      <c r="BC173" s="35">
        <f>AW173+AX173</f>
        <v>0</v>
      </c>
      <c r="BD173" s="35">
        <f>G173/(100-BE173)*100</f>
        <v>0</v>
      </c>
      <c r="BE173" s="35">
        <v>0</v>
      </c>
      <c r="BF173" s="35">
        <f>L173</f>
        <v>0.007546500000000001</v>
      </c>
      <c r="BH173" s="33">
        <f>F173*AO173</f>
        <v>0</v>
      </c>
      <c r="BI173" s="33">
        <f>F173*AP173</f>
        <v>0</v>
      </c>
      <c r="BJ173" s="33">
        <f>F173*G173</f>
        <v>0</v>
      </c>
      <c r="BK173" s="33" t="s">
        <v>728</v>
      </c>
      <c r="BL173" s="35">
        <v>711</v>
      </c>
    </row>
    <row r="174" spans="1:14" ht="12.75">
      <c r="A174" s="2"/>
      <c r="D174" s="38" t="s">
        <v>483</v>
      </c>
      <c r="F174" s="39">
        <v>1.35</v>
      </c>
      <c r="M174" s="40"/>
      <c r="N174" s="2"/>
    </row>
    <row r="175" spans="1:64" ht="12.75">
      <c r="A175" s="31" t="s">
        <v>76</v>
      </c>
      <c r="B175" s="32" t="s">
        <v>161</v>
      </c>
      <c r="C175" s="32" t="s">
        <v>244</v>
      </c>
      <c r="D175" s="32" t="s">
        <v>487</v>
      </c>
      <c r="E175" s="32" t="s">
        <v>654</v>
      </c>
      <c r="F175" s="33">
        <v>0.0156</v>
      </c>
      <c r="G175" s="33">
        <f>J175/F175</f>
        <v>0</v>
      </c>
      <c r="H175" s="61">
        <v>0</v>
      </c>
      <c r="I175" s="61">
        <v>0</v>
      </c>
      <c r="J175" s="33">
        <f>H175+I175</f>
        <v>0</v>
      </c>
      <c r="K175" s="33">
        <v>0</v>
      </c>
      <c r="L175" s="33">
        <f>F175*K175</f>
        <v>0</v>
      </c>
      <c r="M175" s="34" t="s">
        <v>680</v>
      </c>
      <c r="N175" s="2"/>
      <c r="Z175" s="35">
        <f>H175+I175</f>
        <v>0</v>
      </c>
      <c r="AB175" s="35">
        <f>IF(AQ175="1",BH175,0)</f>
        <v>0</v>
      </c>
      <c r="AC175" s="35">
        <f>IF(AQ175="1",BI175,0)</f>
        <v>0</v>
      </c>
      <c r="AD175" s="35">
        <f>IF(AQ175="7",BH175,0)</f>
        <v>0</v>
      </c>
      <c r="AE175" s="35">
        <f>IF(AQ175="7",BI175,0)</f>
        <v>0</v>
      </c>
      <c r="AF175" s="35">
        <f>IF(AQ175="2",BH175,0)</f>
        <v>0</v>
      </c>
      <c r="AG175" s="35">
        <f>IF(AQ175="2",BI175,0)</f>
        <v>0</v>
      </c>
      <c r="AH175" s="35">
        <f>IF(AQ175="0",BJ175,0)</f>
        <v>0</v>
      </c>
      <c r="AI175" s="10" t="s">
        <v>161</v>
      </c>
      <c r="AJ175" s="33">
        <f>IF(AN175=0,J175,0)</f>
        <v>0</v>
      </c>
      <c r="AK175" s="33">
        <f>IF(AN175=15,J175,0)</f>
        <v>0</v>
      </c>
      <c r="AL175" s="33">
        <f>IF(AN175=21,J175,0)</f>
        <v>0</v>
      </c>
      <c r="AN175" s="35">
        <v>21</v>
      </c>
      <c r="AO175" s="35">
        <f>G175*0</f>
        <v>0</v>
      </c>
      <c r="AP175" s="35">
        <f>G175*(1-0)</f>
        <v>0</v>
      </c>
      <c r="AQ175" s="36" t="s">
        <v>10</v>
      </c>
      <c r="AV175" s="35">
        <f>AW175+AX175</f>
        <v>0</v>
      </c>
      <c r="AW175" s="35">
        <f>F175*AO175</f>
        <v>0</v>
      </c>
      <c r="AX175" s="35">
        <f>F175*AP175</f>
        <v>0</v>
      </c>
      <c r="AY175" s="37" t="s">
        <v>703</v>
      </c>
      <c r="AZ175" s="37" t="s">
        <v>714</v>
      </c>
      <c r="BA175" s="10" t="s">
        <v>721</v>
      </c>
      <c r="BC175" s="35">
        <f>AW175+AX175</f>
        <v>0</v>
      </c>
      <c r="BD175" s="35">
        <f>G175/(100-BE175)*100</f>
        <v>0</v>
      </c>
      <c r="BE175" s="35">
        <v>0</v>
      </c>
      <c r="BF175" s="35">
        <f>L175</f>
        <v>0</v>
      </c>
      <c r="BH175" s="33">
        <f>F175*AO175</f>
        <v>0</v>
      </c>
      <c r="BI175" s="33">
        <f>F175*AP175</f>
        <v>0</v>
      </c>
      <c r="BJ175" s="33">
        <f>F175*G175</f>
        <v>0</v>
      </c>
      <c r="BK175" s="33" t="s">
        <v>728</v>
      </c>
      <c r="BL175" s="35">
        <v>711</v>
      </c>
    </row>
    <row r="176" spans="1:14" ht="12.75">
      <c r="A176" s="2"/>
      <c r="D176" s="38" t="s">
        <v>488</v>
      </c>
      <c r="F176" s="39">
        <v>0.0156</v>
      </c>
      <c r="M176" s="40"/>
      <c r="N176" s="2"/>
    </row>
    <row r="177" spans="1:47" ht="12.75">
      <c r="A177" s="26"/>
      <c r="B177" s="27" t="s">
        <v>161</v>
      </c>
      <c r="C177" s="27" t="s">
        <v>245</v>
      </c>
      <c r="D177" s="27" t="s">
        <v>489</v>
      </c>
      <c r="E177" s="28" t="s">
        <v>5</v>
      </c>
      <c r="F177" s="28" t="s">
        <v>5</v>
      </c>
      <c r="G177" s="28" t="s">
        <v>5</v>
      </c>
      <c r="H177" s="29">
        <f>SUM(H178:H230)</f>
        <v>0</v>
      </c>
      <c r="I177" s="29">
        <f>SUM(I178:I230)</f>
        <v>0</v>
      </c>
      <c r="J177" s="29">
        <f>SUM(J178:J230)</f>
        <v>0</v>
      </c>
      <c r="K177" s="10"/>
      <c r="L177" s="29">
        <f>SUM(L178:L230)</f>
        <v>7.8437638</v>
      </c>
      <c r="M177" s="30"/>
      <c r="N177" s="2"/>
      <c r="AI177" s="10" t="s">
        <v>161</v>
      </c>
      <c r="AS177" s="29">
        <f>SUM(AJ178:AJ230)</f>
        <v>0</v>
      </c>
      <c r="AT177" s="29">
        <f>SUM(AK178:AK230)</f>
        <v>0</v>
      </c>
      <c r="AU177" s="29">
        <f>SUM(AL178:AL230)</f>
        <v>0</v>
      </c>
    </row>
    <row r="178" spans="1:64" ht="12.75">
      <c r="A178" s="31" t="s">
        <v>77</v>
      </c>
      <c r="B178" s="32" t="s">
        <v>161</v>
      </c>
      <c r="C178" s="32" t="s">
        <v>246</v>
      </c>
      <c r="D178" s="32" t="s">
        <v>490</v>
      </c>
      <c r="E178" s="32" t="s">
        <v>652</v>
      </c>
      <c r="F178" s="33">
        <v>11</v>
      </c>
      <c r="G178" s="33">
        <f>J178/F178</f>
        <v>0</v>
      </c>
      <c r="H178" s="61">
        <v>0</v>
      </c>
      <c r="I178" s="61">
        <v>0</v>
      </c>
      <c r="J178" s="33">
        <f>H178+I178</f>
        <v>0</v>
      </c>
      <c r="K178" s="33">
        <v>0.0009</v>
      </c>
      <c r="L178" s="33">
        <f>F178*K178</f>
        <v>0.009899999999999999</v>
      </c>
      <c r="M178" s="34" t="s">
        <v>680</v>
      </c>
      <c r="N178" s="2"/>
      <c r="Z178" s="35">
        <f>IF(AQ178="5",BJ178,0)</f>
        <v>0</v>
      </c>
      <c r="AB178" s="35">
        <f>IF(AQ178="1",BH178,0)</f>
        <v>0</v>
      </c>
      <c r="AC178" s="35">
        <f>IF(AQ178="1",BI178,0)</f>
        <v>0</v>
      </c>
      <c r="AD178" s="35">
        <f>H178</f>
        <v>0</v>
      </c>
      <c r="AE178" s="35">
        <f>I178</f>
        <v>0</v>
      </c>
      <c r="AF178" s="35">
        <f>IF(AQ178="2",BH178,0)</f>
        <v>0</v>
      </c>
      <c r="AG178" s="35">
        <f>IF(AQ178="2",BI178,0)</f>
        <v>0</v>
      </c>
      <c r="AH178" s="35">
        <f>IF(AQ178="0",BJ178,0)</f>
        <v>0</v>
      </c>
      <c r="AI178" s="10" t="s">
        <v>161</v>
      </c>
      <c r="AJ178" s="33">
        <f>IF(AN178=0,J178,0)</f>
        <v>0</v>
      </c>
      <c r="AK178" s="33">
        <f>IF(AN178=15,J178,0)</f>
        <v>0</v>
      </c>
      <c r="AL178" s="33">
        <f>IF(AN178=21,J178,0)</f>
        <v>0</v>
      </c>
      <c r="AN178" s="35">
        <v>21</v>
      </c>
      <c r="AO178" s="35">
        <f>G178*0.0629938542581212</f>
        <v>0</v>
      </c>
      <c r="AP178" s="35">
        <f>G178*(1-0.0629938542581212)</f>
        <v>0</v>
      </c>
      <c r="AQ178" s="36" t="s">
        <v>12</v>
      </c>
      <c r="AV178" s="35">
        <f>AW178+AX178</f>
        <v>0</v>
      </c>
      <c r="AW178" s="35">
        <f>F178*AO178</f>
        <v>0</v>
      </c>
      <c r="AX178" s="35">
        <f>F178*AP178</f>
        <v>0</v>
      </c>
      <c r="AY178" s="37" t="s">
        <v>704</v>
      </c>
      <c r="AZ178" s="37" t="s">
        <v>715</v>
      </c>
      <c r="BA178" s="10" t="s">
        <v>721</v>
      </c>
      <c r="BC178" s="35">
        <f>AW178+AX178</f>
        <v>0</v>
      </c>
      <c r="BD178" s="35">
        <f>G178/(100-BE178)*100</f>
        <v>0</v>
      </c>
      <c r="BE178" s="35">
        <v>0</v>
      </c>
      <c r="BF178" s="35">
        <f>L178</f>
        <v>0.009899999999999999</v>
      </c>
      <c r="BH178" s="33">
        <f>F178*AO178</f>
        <v>0</v>
      </c>
      <c r="BI178" s="33">
        <f>F178*AP178</f>
        <v>0</v>
      </c>
      <c r="BJ178" s="33">
        <f>F178*G178</f>
        <v>0</v>
      </c>
      <c r="BK178" s="33" t="s">
        <v>728</v>
      </c>
      <c r="BL178" s="35">
        <v>766</v>
      </c>
    </row>
    <row r="179" spans="1:14" ht="12.75">
      <c r="A179" s="2"/>
      <c r="D179" s="38" t="s">
        <v>491</v>
      </c>
      <c r="F179" s="39">
        <v>11</v>
      </c>
      <c r="M179" s="40"/>
      <c r="N179" s="2"/>
    </row>
    <row r="180" spans="1:64" ht="12.75">
      <c r="A180" s="48" t="s">
        <v>78</v>
      </c>
      <c r="B180" s="49" t="s">
        <v>161</v>
      </c>
      <c r="C180" s="49" t="s">
        <v>247</v>
      </c>
      <c r="D180" s="49" t="s">
        <v>492</v>
      </c>
      <c r="E180" s="49" t="s">
        <v>652</v>
      </c>
      <c r="F180" s="50">
        <v>2</v>
      </c>
      <c r="G180" s="33">
        <f>J180/F180</f>
        <v>0</v>
      </c>
      <c r="H180" s="61">
        <v>0</v>
      </c>
      <c r="I180" s="61">
        <v>0</v>
      </c>
      <c r="J180" s="33">
        <f>H180+I180</f>
        <v>0</v>
      </c>
      <c r="K180" s="50">
        <v>0.0181</v>
      </c>
      <c r="L180" s="50">
        <f>F180*K180</f>
        <v>0.0362</v>
      </c>
      <c r="M180" s="51" t="s">
        <v>680</v>
      </c>
      <c r="N180" s="2"/>
      <c r="Z180" s="35">
        <f>IF(AQ180="5",BJ180,0)</f>
        <v>0</v>
      </c>
      <c r="AB180" s="35">
        <f>IF(AQ180="1",BH180,0)</f>
        <v>0</v>
      </c>
      <c r="AC180" s="35">
        <f>IF(AQ180="1",BI180,0)</f>
        <v>0</v>
      </c>
      <c r="AD180" s="35">
        <f>H180</f>
        <v>0</v>
      </c>
      <c r="AE180" s="35">
        <f>I180</f>
        <v>0</v>
      </c>
      <c r="AF180" s="35">
        <f>IF(AQ180="2",BH180,0)</f>
        <v>0</v>
      </c>
      <c r="AG180" s="35">
        <f>IF(AQ180="2",BI180,0)</f>
        <v>0</v>
      </c>
      <c r="AH180" s="35">
        <f>IF(AQ180="0",BJ180,0)</f>
        <v>0</v>
      </c>
      <c r="AI180" s="10" t="s">
        <v>161</v>
      </c>
      <c r="AJ180" s="50">
        <f>IF(AN180=0,J180,0)</f>
        <v>0</v>
      </c>
      <c r="AK180" s="50">
        <f>IF(AN180=15,J180,0)</f>
        <v>0</v>
      </c>
      <c r="AL180" s="50">
        <f>IF(AN180=21,J180,0)</f>
        <v>0</v>
      </c>
      <c r="AN180" s="35">
        <v>21</v>
      </c>
      <c r="AO180" s="35">
        <f>G180*1</f>
        <v>0</v>
      </c>
      <c r="AP180" s="35">
        <f>G180*(1-1)</f>
        <v>0</v>
      </c>
      <c r="AQ180" s="52" t="s">
        <v>12</v>
      </c>
      <c r="AV180" s="35">
        <f>AW180+AX180</f>
        <v>0</v>
      </c>
      <c r="AW180" s="35">
        <f>F180*AO180</f>
        <v>0</v>
      </c>
      <c r="AX180" s="35">
        <f>F180*AP180</f>
        <v>0</v>
      </c>
      <c r="AY180" s="37" t="s">
        <v>704</v>
      </c>
      <c r="AZ180" s="37" t="s">
        <v>715</v>
      </c>
      <c r="BA180" s="10" t="s">
        <v>721</v>
      </c>
      <c r="BC180" s="35">
        <f>AW180+AX180</f>
        <v>0</v>
      </c>
      <c r="BD180" s="35">
        <f>G180/(100-BE180)*100</f>
        <v>0</v>
      </c>
      <c r="BE180" s="35">
        <v>0</v>
      </c>
      <c r="BF180" s="35">
        <f>L180</f>
        <v>0.0362</v>
      </c>
      <c r="BH180" s="50">
        <f>F180*AO180</f>
        <v>0</v>
      </c>
      <c r="BI180" s="50">
        <f>F180*AP180</f>
        <v>0</v>
      </c>
      <c r="BJ180" s="50">
        <f>F180*G180</f>
        <v>0</v>
      </c>
      <c r="BK180" s="50" t="s">
        <v>729</v>
      </c>
      <c r="BL180" s="35">
        <v>766</v>
      </c>
    </row>
    <row r="181" spans="1:14" ht="12.75">
      <c r="A181" s="2"/>
      <c r="D181" s="38" t="s">
        <v>493</v>
      </c>
      <c r="F181" s="39">
        <v>2</v>
      </c>
      <c r="M181" s="40"/>
      <c r="N181" s="2"/>
    </row>
    <row r="182" spans="1:64" ht="12.75">
      <c r="A182" s="48" t="s">
        <v>79</v>
      </c>
      <c r="B182" s="49" t="s">
        <v>161</v>
      </c>
      <c r="C182" s="49" t="s">
        <v>248</v>
      </c>
      <c r="D182" s="49" t="s">
        <v>494</v>
      </c>
      <c r="E182" s="49" t="s">
        <v>652</v>
      </c>
      <c r="F182" s="50">
        <v>1</v>
      </c>
      <c r="G182" s="33">
        <f>J182/F182</f>
        <v>0</v>
      </c>
      <c r="H182" s="61">
        <v>0</v>
      </c>
      <c r="I182" s="61">
        <v>0</v>
      </c>
      <c r="J182" s="33">
        <f>H182+I182</f>
        <v>0</v>
      </c>
      <c r="K182" s="50">
        <v>0.0109</v>
      </c>
      <c r="L182" s="50">
        <f>F182*K182</f>
        <v>0.0109</v>
      </c>
      <c r="M182" s="51" t="s">
        <v>680</v>
      </c>
      <c r="N182" s="2"/>
      <c r="Z182" s="35">
        <f>IF(AQ182="5",BJ182,0)</f>
        <v>0</v>
      </c>
      <c r="AB182" s="35">
        <f>IF(AQ182="1",BH182,0)</f>
        <v>0</v>
      </c>
      <c r="AC182" s="35">
        <f>IF(AQ182="1",BI182,0)</f>
        <v>0</v>
      </c>
      <c r="AD182" s="35">
        <f>H182</f>
        <v>0</v>
      </c>
      <c r="AE182" s="35">
        <f>I182</f>
        <v>0</v>
      </c>
      <c r="AF182" s="35">
        <f>IF(AQ182="2",BH182,0)</f>
        <v>0</v>
      </c>
      <c r="AG182" s="35">
        <f>IF(AQ182="2",BI182,0)</f>
        <v>0</v>
      </c>
      <c r="AH182" s="35">
        <f>IF(AQ182="0",BJ182,0)</f>
        <v>0</v>
      </c>
      <c r="AI182" s="10" t="s">
        <v>161</v>
      </c>
      <c r="AJ182" s="50">
        <f>IF(AN182=0,J182,0)</f>
        <v>0</v>
      </c>
      <c r="AK182" s="50">
        <f>IF(AN182=15,J182,0)</f>
        <v>0</v>
      </c>
      <c r="AL182" s="50">
        <f>IF(AN182=21,J182,0)</f>
        <v>0</v>
      </c>
      <c r="AN182" s="35">
        <v>21</v>
      </c>
      <c r="AO182" s="35">
        <f>G182*1</f>
        <v>0</v>
      </c>
      <c r="AP182" s="35">
        <f>G182*(1-1)</f>
        <v>0</v>
      </c>
      <c r="AQ182" s="52" t="s">
        <v>12</v>
      </c>
      <c r="AV182" s="35">
        <f>AW182+AX182</f>
        <v>0</v>
      </c>
      <c r="AW182" s="35">
        <f>F182*AO182</f>
        <v>0</v>
      </c>
      <c r="AX182" s="35">
        <f>F182*AP182</f>
        <v>0</v>
      </c>
      <c r="AY182" s="37" t="s">
        <v>704</v>
      </c>
      <c r="AZ182" s="37" t="s">
        <v>715</v>
      </c>
      <c r="BA182" s="10" t="s">
        <v>721</v>
      </c>
      <c r="BC182" s="35">
        <f>AW182+AX182</f>
        <v>0</v>
      </c>
      <c r="BD182" s="35">
        <f>G182/(100-BE182)*100</f>
        <v>0</v>
      </c>
      <c r="BE182" s="35">
        <v>0</v>
      </c>
      <c r="BF182" s="35">
        <f>L182</f>
        <v>0.0109</v>
      </c>
      <c r="BH182" s="50">
        <f>F182*AO182</f>
        <v>0</v>
      </c>
      <c r="BI182" s="50">
        <f>F182*AP182</f>
        <v>0</v>
      </c>
      <c r="BJ182" s="50">
        <f>F182*G182</f>
        <v>0</v>
      </c>
      <c r="BK182" s="50" t="s">
        <v>729</v>
      </c>
      <c r="BL182" s="35">
        <v>766</v>
      </c>
    </row>
    <row r="183" spans="1:14" ht="12.75">
      <c r="A183" s="2"/>
      <c r="D183" s="38" t="s">
        <v>495</v>
      </c>
      <c r="F183" s="39">
        <v>1</v>
      </c>
      <c r="M183" s="40"/>
      <c r="N183" s="2"/>
    </row>
    <row r="184" spans="1:64" ht="12.75">
      <c r="A184" s="48" t="s">
        <v>80</v>
      </c>
      <c r="B184" s="49" t="s">
        <v>161</v>
      </c>
      <c r="C184" s="49" t="s">
        <v>249</v>
      </c>
      <c r="D184" s="49" t="s">
        <v>496</v>
      </c>
      <c r="E184" s="49" t="s">
        <v>652</v>
      </c>
      <c r="F184" s="50">
        <v>7</v>
      </c>
      <c r="G184" s="33">
        <f>J184/F184</f>
        <v>0</v>
      </c>
      <c r="H184" s="61">
        <v>0</v>
      </c>
      <c r="I184" s="61">
        <v>0</v>
      </c>
      <c r="J184" s="33">
        <f>H184+I184</f>
        <v>0</v>
      </c>
      <c r="K184" s="50">
        <v>0.0108</v>
      </c>
      <c r="L184" s="50">
        <f>F184*K184</f>
        <v>0.0756</v>
      </c>
      <c r="M184" s="51" t="s">
        <v>680</v>
      </c>
      <c r="N184" s="2"/>
      <c r="Z184" s="35">
        <f>IF(AQ184="5",BJ184,0)</f>
        <v>0</v>
      </c>
      <c r="AB184" s="35">
        <f>IF(AQ184="1",BH184,0)</f>
        <v>0</v>
      </c>
      <c r="AC184" s="35">
        <f>IF(AQ184="1",BI184,0)</f>
        <v>0</v>
      </c>
      <c r="AD184" s="35">
        <f>H184</f>
        <v>0</v>
      </c>
      <c r="AE184" s="35">
        <f>I184</f>
        <v>0</v>
      </c>
      <c r="AF184" s="35">
        <f>IF(AQ184="2",BH184,0)</f>
        <v>0</v>
      </c>
      <c r="AG184" s="35">
        <f>IF(AQ184="2",BI184,0)</f>
        <v>0</v>
      </c>
      <c r="AH184" s="35">
        <f>IF(AQ184="0",BJ184,0)</f>
        <v>0</v>
      </c>
      <c r="AI184" s="10" t="s">
        <v>161</v>
      </c>
      <c r="AJ184" s="50">
        <f>IF(AN184=0,J184,0)</f>
        <v>0</v>
      </c>
      <c r="AK184" s="50">
        <f>IF(AN184=15,J184,0)</f>
        <v>0</v>
      </c>
      <c r="AL184" s="50">
        <f>IF(AN184=21,J184,0)</f>
        <v>0</v>
      </c>
      <c r="AN184" s="35">
        <v>21</v>
      </c>
      <c r="AO184" s="35">
        <f>G184*1</f>
        <v>0</v>
      </c>
      <c r="AP184" s="35">
        <f>G184*(1-1)</f>
        <v>0</v>
      </c>
      <c r="AQ184" s="52" t="s">
        <v>12</v>
      </c>
      <c r="AV184" s="35">
        <f>AW184+AX184</f>
        <v>0</v>
      </c>
      <c r="AW184" s="35">
        <f>F184*AO184</f>
        <v>0</v>
      </c>
      <c r="AX184" s="35">
        <f>F184*AP184</f>
        <v>0</v>
      </c>
      <c r="AY184" s="37" t="s">
        <v>704</v>
      </c>
      <c r="AZ184" s="37" t="s">
        <v>715</v>
      </c>
      <c r="BA184" s="10" t="s">
        <v>721</v>
      </c>
      <c r="BC184" s="35">
        <f>AW184+AX184</f>
        <v>0</v>
      </c>
      <c r="BD184" s="35">
        <f>G184/(100-BE184)*100</f>
        <v>0</v>
      </c>
      <c r="BE184" s="35">
        <v>0</v>
      </c>
      <c r="BF184" s="35">
        <f>L184</f>
        <v>0.0756</v>
      </c>
      <c r="BH184" s="50">
        <f>F184*AO184</f>
        <v>0</v>
      </c>
      <c r="BI184" s="50">
        <f>F184*AP184</f>
        <v>0</v>
      </c>
      <c r="BJ184" s="50">
        <f>F184*G184</f>
        <v>0</v>
      </c>
      <c r="BK184" s="50" t="s">
        <v>729</v>
      </c>
      <c r="BL184" s="35">
        <v>766</v>
      </c>
    </row>
    <row r="185" spans="1:14" ht="12.75">
      <c r="A185" s="2"/>
      <c r="D185" s="38" t="s">
        <v>497</v>
      </c>
      <c r="F185" s="39">
        <v>7</v>
      </c>
      <c r="M185" s="40"/>
      <c r="N185" s="2"/>
    </row>
    <row r="186" spans="1:64" ht="12.75">
      <c r="A186" s="48" t="s">
        <v>81</v>
      </c>
      <c r="B186" s="49" t="s">
        <v>161</v>
      </c>
      <c r="C186" s="49" t="s">
        <v>250</v>
      </c>
      <c r="D186" s="49" t="s">
        <v>498</v>
      </c>
      <c r="E186" s="49" t="s">
        <v>652</v>
      </c>
      <c r="F186" s="50">
        <v>1</v>
      </c>
      <c r="G186" s="33">
        <f>J186/F186</f>
        <v>0</v>
      </c>
      <c r="H186" s="61">
        <v>0</v>
      </c>
      <c r="I186" s="61">
        <v>0</v>
      </c>
      <c r="J186" s="33">
        <f>H186+I186</f>
        <v>0</v>
      </c>
      <c r="K186" s="50">
        <v>0.0109</v>
      </c>
      <c r="L186" s="50">
        <f>F186*K186</f>
        <v>0.0109</v>
      </c>
      <c r="M186" s="51" t="s">
        <v>680</v>
      </c>
      <c r="N186" s="2"/>
      <c r="Z186" s="35">
        <f>IF(AQ186="5",BJ186,0)</f>
        <v>0</v>
      </c>
      <c r="AB186" s="35">
        <f>IF(AQ186="1",BH186,0)</f>
        <v>0</v>
      </c>
      <c r="AC186" s="35">
        <f>IF(AQ186="1",BI186,0)</f>
        <v>0</v>
      </c>
      <c r="AD186" s="35">
        <f>H186</f>
        <v>0</v>
      </c>
      <c r="AE186" s="35">
        <f>I186</f>
        <v>0</v>
      </c>
      <c r="AF186" s="35">
        <f>IF(AQ186="2",BH186,0)</f>
        <v>0</v>
      </c>
      <c r="AG186" s="35">
        <f>IF(AQ186="2",BI186,0)</f>
        <v>0</v>
      </c>
      <c r="AH186" s="35">
        <f>IF(AQ186="0",BJ186,0)</f>
        <v>0</v>
      </c>
      <c r="AI186" s="10" t="s">
        <v>161</v>
      </c>
      <c r="AJ186" s="50">
        <f>IF(AN186=0,J186,0)</f>
        <v>0</v>
      </c>
      <c r="AK186" s="50">
        <f>IF(AN186=15,J186,0)</f>
        <v>0</v>
      </c>
      <c r="AL186" s="50">
        <f>IF(AN186=21,J186,0)</f>
        <v>0</v>
      </c>
      <c r="AN186" s="35">
        <v>21</v>
      </c>
      <c r="AO186" s="35">
        <f>G186*1</f>
        <v>0</v>
      </c>
      <c r="AP186" s="35">
        <f>G186*(1-1)</f>
        <v>0</v>
      </c>
      <c r="AQ186" s="52" t="s">
        <v>12</v>
      </c>
      <c r="AV186" s="35">
        <f>AW186+AX186</f>
        <v>0</v>
      </c>
      <c r="AW186" s="35">
        <f>F186*AO186</f>
        <v>0</v>
      </c>
      <c r="AX186" s="35">
        <f>F186*AP186</f>
        <v>0</v>
      </c>
      <c r="AY186" s="37" t="s">
        <v>704</v>
      </c>
      <c r="AZ186" s="37" t="s">
        <v>715</v>
      </c>
      <c r="BA186" s="10" t="s">
        <v>721</v>
      </c>
      <c r="BC186" s="35">
        <f>AW186+AX186</f>
        <v>0</v>
      </c>
      <c r="BD186" s="35">
        <f>G186/(100-BE186)*100</f>
        <v>0</v>
      </c>
      <c r="BE186" s="35">
        <v>0</v>
      </c>
      <c r="BF186" s="35">
        <f>L186</f>
        <v>0.0109</v>
      </c>
      <c r="BH186" s="50">
        <f>F186*AO186</f>
        <v>0</v>
      </c>
      <c r="BI186" s="50">
        <f>F186*AP186</f>
        <v>0</v>
      </c>
      <c r="BJ186" s="50">
        <f>F186*G186</f>
        <v>0</v>
      </c>
      <c r="BK186" s="50" t="s">
        <v>729</v>
      </c>
      <c r="BL186" s="35">
        <v>766</v>
      </c>
    </row>
    <row r="187" spans="1:14" ht="12.75">
      <c r="A187" s="2"/>
      <c r="D187" s="38" t="s">
        <v>499</v>
      </c>
      <c r="F187" s="39">
        <v>1</v>
      </c>
      <c r="M187" s="40"/>
      <c r="N187" s="2"/>
    </row>
    <row r="188" spans="1:64" ht="12.75">
      <c r="A188" s="31" t="s">
        <v>82</v>
      </c>
      <c r="B188" s="32" t="s">
        <v>161</v>
      </c>
      <c r="C188" s="32" t="s">
        <v>251</v>
      </c>
      <c r="D188" s="32" t="s">
        <v>500</v>
      </c>
      <c r="E188" s="32" t="s">
        <v>652</v>
      </c>
      <c r="F188" s="33">
        <v>136</v>
      </c>
      <c r="G188" s="33">
        <f>J188/F188</f>
        <v>0</v>
      </c>
      <c r="H188" s="61">
        <v>0</v>
      </c>
      <c r="I188" s="61">
        <v>0</v>
      </c>
      <c r="J188" s="33">
        <f>H188+I188</f>
        <v>0</v>
      </c>
      <c r="K188" s="33">
        <v>0.0012</v>
      </c>
      <c r="L188" s="33">
        <f>F188*K188</f>
        <v>0.16319999999999998</v>
      </c>
      <c r="M188" s="34" t="s">
        <v>680</v>
      </c>
      <c r="N188" s="2"/>
      <c r="Z188" s="35">
        <f>IF(AQ188="5",BJ188,0)</f>
        <v>0</v>
      </c>
      <c r="AB188" s="35">
        <f>IF(AQ188="1",BH188,0)</f>
        <v>0</v>
      </c>
      <c r="AC188" s="35">
        <f>IF(AQ188="1",BI188,0)</f>
        <v>0</v>
      </c>
      <c r="AD188" s="35">
        <f>H188</f>
        <v>0</v>
      </c>
      <c r="AE188" s="35">
        <f>I188</f>
        <v>0</v>
      </c>
      <c r="AF188" s="35">
        <f>IF(AQ188="2",BH188,0)</f>
        <v>0</v>
      </c>
      <c r="AG188" s="35">
        <f>IF(AQ188="2",BI188,0)</f>
        <v>0</v>
      </c>
      <c r="AH188" s="35">
        <f>IF(AQ188="0",BJ188,0)</f>
        <v>0</v>
      </c>
      <c r="AI188" s="10" t="s">
        <v>161</v>
      </c>
      <c r="AJ188" s="33">
        <f>IF(AN188=0,J188,0)</f>
        <v>0</v>
      </c>
      <c r="AK188" s="33">
        <f>IF(AN188=15,J188,0)</f>
        <v>0</v>
      </c>
      <c r="AL188" s="33">
        <f>IF(AN188=21,J188,0)</f>
        <v>0</v>
      </c>
      <c r="AN188" s="35">
        <v>21</v>
      </c>
      <c r="AO188" s="35">
        <f>G188*0.069019538942452</f>
        <v>0</v>
      </c>
      <c r="AP188" s="35">
        <f>G188*(1-0.069019538942452)</f>
        <v>0</v>
      </c>
      <c r="AQ188" s="36" t="s">
        <v>12</v>
      </c>
      <c r="AV188" s="35">
        <f>AW188+AX188</f>
        <v>0</v>
      </c>
      <c r="AW188" s="35">
        <f>F188*AO188</f>
        <v>0</v>
      </c>
      <c r="AX188" s="35">
        <f>F188*AP188</f>
        <v>0</v>
      </c>
      <c r="AY188" s="37" t="s">
        <v>704</v>
      </c>
      <c r="AZ188" s="37" t="s">
        <v>715</v>
      </c>
      <c r="BA188" s="10" t="s">
        <v>721</v>
      </c>
      <c r="BC188" s="35">
        <f>AW188+AX188</f>
        <v>0</v>
      </c>
      <c r="BD188" s="35">
        <f>G188/(100-BE188)*100</f>
        <v>0</v>
      </c>
      <c r="BE188" s="35">
        <v>0</v>
      </c>
      <c r="BF188" s="35">
        <f>L188</f>
        <v>0.16319999999999998</v>
      </c>
      <c r="BH188" s="33">
        <f>F188*AO188</f>
        <v>0</v>
      </c>
      <c r="BI188" s="33">
        <f>F188*AP188</f>
        <v>0</v>
      </c>
      <c r="BJ188" s="33">
        <f>F188*G188</f>
        <v>0</v>
      </c>
      <c r="BK188" s="33" t="s">
        <v>728</v>
      </c>
      <c r="BL188" s="35">
        <v>766</v>
      </c>
    </row>
    <row r="189" spans="1:14" ht="12.75">
      <c r="A189" s="2"/>
      <c r="D189" s="38" t="s">
        <v>501</v>
      </c>
      <c r="F189" s="39">
        <v>136</v>
      </c>
      <c r="M189" s="40"/>
      <c r="N189" s="2"/>
    </row>
    <row r="190" spans="1:64" ht="12.75">
      <c r="A190" s="48" t="s">
        <v>83</v>
      </c>
      <c r="B190" s="49" t="s">
        <v>161</v>
      </c>
      <c r="C190" s="49" t="s">
        <v>252</v>
      </c>
      <c r="D190" s="49" t="s">
        <v>502</v>
      </c>
      <c r="E190" s="49" t="s">
        <v>652</v>
      </c>
      <c r="F190" s="50">
        <v>1</v>
      </c>
      <c r="G190" s="33">
        <f>J190/F190</f>
        <v>0</v>
      </c>
      <c r="H190" s="61">
        <v>0</v>
      </c>
      <c r="I190" s="61">
        <v>0</v>
      </c>
      <c r="J190" s="33">
        <f>H190+I190</f>
        <v>0</v>
      </c>
      <c r="K190" s="50">
        <v>0.067</v>
      </c>
      <c r="L190" s="50">
        <f>F190*K190</f>
        <v>0.067</v>
      </c>
      <c r="M190" s="51" t="s">
        <v>681</v>
      </c>
      <c r="N190" s="2"/>
      <c r="Z190" s="35">
        <f>IF(AQ190="5",BJ190,0)</f>
        <v>0</v>
      </c>
      <c r="AB190" s="35">
        <f>IF(AQ190="1",BH190,0)</f>
        <v>0</v>
      </c>
      <c r="AC190" s="35">
        <f>IF(AQ190="1",BI190,0)</f>
        <v>0</v>
      </c>
      <c r="AD190" s="35">
        <f>H190</f>
        <v>0</v>
      </c>
      <c r="AE190" s="35">
        <f>I190</f>
        <v>0</v>
      </c>
      <c r="AF190" s="35">
        <f>IF(AQ190="2",BH190,0)</f>
        <v>0</v>
      </c>
      <c r="AG190" s="35">
        <f>IF(AQ190="2",BI190,0)</f>
        <v>0</v>
      </c>
      <c r="AH190" s="35">
        <f>IF(AQ190="0",BJ190,0)</f>
        <v>0</v>
      </c>
      <c r="AI190" s="10" t="s">
        <v>161</v>
      </c>
      <c r="AJ190" s="50">
        <f>IF(AN190=0,J190,0)</f>
        <v>0</v>
      </c>
      <c r="AK190" s="50">
        <f>IF(AN190=15,J190,0)</f>
        <v>0</v>
      </c>
      <c r="AL190" s="50">
        <f>IF(AN190=21,J190,0)</f>
        <v>0</v>
      </c>
      <c r="AN190" s="35">
        <v>21</v>
      </c>
      <c r="AO190" s="35">
        <f>G190*1</f>
        <v>0</v>
      </c>
      <c r="AP190" s="35">
        <f>G190*(1-1)</f>
        <v>0</v>
      </c>
      <c r="AQ190" s="52" t="s">
        <v>12</v>
      </c>
      <c r="AV190" s="35">
        <f>AW190+AX190</f>
        <v>0</v>
      </c>
      <c r="AW190" s="35">
        <f>F190*AO190</f>
        <v>0</v>
      </c>
      <c r="AX190" s="35">
        <f>F190*AP190</f>
        <v>0</v>
      </c>
      <c r="AY190" s="37" t="s">
        <v>704</v>
      </c>
      <c r="AZ190" s="37" t="s">
        <v>715</v>
      </c>
      <c r="BA190" s="10" t="s">
        <v>721</v>
      </c>
      <c r="BC190" s="35">
        <f>AW190+AX190</f>
        <v>0</v>
      </c>
      <c r="BD190" s="35">
        <f>G190/(100-BE190)*100</f>
        <v>0</v>
      </c>
      <c r="BE190" s="35">
        <v>0</v>
      </c>
      <c r="BF190" s="35">
        <f>L190</f>
        <v>0.067</v>
      </c>
      <c r="BH190" s="50">
        <f>F190*AO190</f>
        <v>0</v>
      </c>
      <c r="BI190" s="50">
        <f>F190*AP190</f>
        <v>0</v>
      </c>
      <c r="BJ190" s="50">
        <f>F190*G190</f>
        <v>0</v>
      </c>
      <c r="BK190" s="50" t="s">
        <v>729</v>
      </c>
      <c r="BL190" s="35">
        <v>766</v>
      </c>
    </row>
    <row r="191" spans="1:14" ht="12.75">
      <c r="A191" s="2"/>
      <c r="D191" s="38" t="s">
        <v>503</v>
      </c>
      <c r="F191" s="39">
        <v>1</v>
      </c>
      <c r="M191" s="40"/>
      <c r="N191" s="2"/>
    </row>
    <row r="192" spans="1:64" ht="12.75">
      <c r="A192" s="48" t="s">
        <v>84</v>
      </c>
      <c r="B192" s="49" t="s">
        <v>161</v>
      </c>
      <c r="C192" s="49" t="s">
        <v>253</v>
      </c>
      <c r="D192" s="49" t="s">
        <v>504</v>
      </c>
      <c r="E192" s="49" t="s">
        <v>652</v>
      </c>
      <c r="F192" s="50">
        <v>2</v>
      </c>
      <c r="G192" s="33">
        <f>J192/F192</f>
        <v>0</v>
      </c>
      <c r="H192" s="61">
        <v>0</v>
      </c>
      <c r="I192" s="61">
        <v>0</v>
      </c>
      <c r="J192" s="33">
        <f>H192+I192</f>
        <v>0</v>
      </c>
      <c r="K192" s="50">
        <v>0.061</v>
      </c>
      <c r="L192" s="50">
        <f>F192*K192</f>
        <v>0.122</v>
      </c>
      <c r="M192" s="51" t="s">
        <v>681</v>
      </c>
      <c r="N192" s="2"/>
      <c r="Z192" s="35">
        <f>IF(AQ192="5",BJ192,0)</f>
        <v>0</v>
      </c>
      <c r="AB192" s="35">
        <f>IF(AQ192="1",BH192,0)</f>
        <v>0</v>
      </c>
      <c r="AC192" s="35">
        <f>IF(AQ192="1",BI192,0)</f>
        <v>0</v>
      </c>
      <c r="AD192" s="35">
        <f>H192</f>
        <v>0</v>
      </c>
      <c r="AE192" s="35">
        <f>I192</f>
        <v>0</v>
      </c>
      <c r="AF192" s="35">
        <f>IF(AQ192="2",BH192,0)</f>
        <v>0</v>
      </c>
      <c r="AG192" s="35">
        <f>IF(AQ192="2",BI192,0)</f>
        <v>0</v>
      </c>
      <c r="AH192" s="35">
        <f>IF(AQ192="0",BJ192,0)</f>
        <v>0</v>
      </c>
      <c r="AI192" s="10" t="s">
        <v>161</v>
      </c>
      <c r="AJ192" s="50">
        <f>IF(AN192=0,J192,0)</f>
        <v>0</v>
      </c>
      <c r="AK192" s="50">
        <f>IF(AN192=15,J192,0)</f>
        <v>0</v>
      </c>
      <c r="AL192" s="50">
        <f>IF(AN192=21,J192,0)</f>
        <v>0</v>
      </c>
      <c r="AN192" s="35">
        <v>21</v>
      </c>
      <c r="AO192" s="35">
        <f>G192*1</f>
        <v>0</v>
      </c>
      <c r="AP192" s="35">
        <f>G192*(1-1)</f>
        <v>0</v>
      </c>
      <c r="AQ192" s="52" t="s">
        <v>12</v>
      </c>
      <c r="AV192" s="35">
        <f>AW192+AX192</f>
        <v>0</v>
      </c>
      <c r="AW192" s="35">
        <f>F192*AO192</f>
        <v>0</v>
      </c>
      <c r="AX192" s="35">
        <f>F192*AP192</f>
        <v>0</v>
      </c>
      <c r="AY192" s="37" t="s">
        <v>704</v>
      </c>
      <c r="AZ192" s="37" t="s">
        <v>715</v>
      </c>
      <c r="BA192" s="10" t="s">
        <v>721</v>
      </c>
      <c r="BC192" s="35">
        <f>AW192+AX192</f>
        <v>0</v>
      </c>
      <c r="BD192" s="35">
        <f>G192/(100-BE192)*100</f>
        <v>0</v>
      </c>
      <c r="BE192" s="35">
        <v>0</v>
      </c>
      <c r="BF192" s="35">
        <f>L192</f>
        <v>0.122</v>
      </c>
      <c r="BH192" s="50">
        <f>F192*AO192</f>
        <v>0</v>
      </c>
      <c r="BI192" s="50">
        <f>F192*AP192</f>
        <v>0</v>
      </c>
      <c r="BJ192" s="50">
        <f>F192*G192</f>
        <v>0</v>
      </c>
      <c r="BK192" s="50" t="s">
        <v>729</v>
      </c>
      <c r="BL192" s="35">
        <v>766</v>
      </c>
    </row>
    <row r="193" spans="1:14" ht="12.75">
      <c r="A193" s="2"/>
      <c r="D193" s="38" t="s">
        <v>505</v>
      </c>
      <c r="F193" s="39">
        <v>2</v>
      </c>
      <c r="M193" s="40"/>
      <c r="N193" s="2"/>
    </row>
    <row r="194" spans="1:64" ht="12.75">
      <c r="A194" s="48" t="s">
        <v>85</v>
      </c>
      <c r="B194" s="49" t="s">
        <v>161</v>
      </c>
      <c r="C194" s="49" t="s">
        <v>254</v>
      </c>
      <c r="D194" s="49" t="s">
        <v>506</v>
      </c>
      <c r="E194" s="49" t="s">
        <v>652</v>
      </c>
      <c r="F194" s="50">
        <v>53</v>
      </c>
      <c r="G194" s="33">
        <f>J194/F194</f>
        <v>0</v>
      </c>
      <c r="H194" s="61">
        <v>0</v>
      </c>
      <c r="I194" s="61">
        <v>0</v>
      </c>
      <c r="J194" s="33">
        <f>H194+I194</f>
        <v>0</v>
      </c>
      <c r="K194" s="50">
        <v>0.039</v>
      </c>
      <c r="L194" s="50">
        <f>F194*K194</f>
        <v>2.067</v>
      </c>
      <c r="M194" s="51" t="s">
        <v>680</v>
      </c>
      <c r="N194" s="2"/>
      <c r="Z194" s="35">
        <f>IF(AQ194="5",BJ194,0)</f>
        <v>0</v>
      </c>
      <c r="AB194" s="35">
        <f>IF(AQ194="1",BH194,0)</f>
        <v>0</v>
      </c>
      <c r="AC194" s="35">
        <f>IF(AQ194="1",BI194,0)</f>
        <v>0</v>
      </c>
      <c r="AD194" s="35">
        <f>H194</f>
        <v>0</v>
      </c>
      <c r="AE194" s="35">
        <f>I194</f>
        <v>0</v>
      </c>
      <c r="AF194" s="35">
        <f>IF(AQ194="2",BH194,0)</f>
        <v>0</v>
      </c>
      <c r="AG194" s="35">
        <f>IF(AQ194="2",BI194,0)</f>
        <v>0</v>
      </c>
      <c r="AH194" s="35">
        <f>IF(AQ194="0",BJ194,0)</f>
        <v>0</v>
      </c>
      <c r="AI194" s="10" t="s">
        <v>161</v>
      </c>
      <c r="AJ194" s="50">
        <f>IF(AN194=0,J194,0)</f>
        <v>0</v>
      </c>
      <c r="AK194" s="50">
        <f>IF(AN194=15,J194,0)</f>
        <v>0</v>
      </c>
      <c r="AL194" s="50">
        <f>IF(AN194=21,J194,0)</f>
        <v>0</v>
      </c>
      <c r="AN194" s="35">
        <v>21</v>
      </c>
      <c r="AO194" s="35">
        <f>G194*1</f>
        <v>0</v>
      </c>
      <c r="AP194" s="35">
        <f>G194*(1-1)</f>
        <v>0</v>
      </c>
      <c r="AQ194" s="52" t="s">
        <v>12</v>
      </c>
      <c r="AV194" s="35">
        <f>AW194+AX194</f>
        <v>0</v>
      </c>
      <c r="AW194" s="35">
        <f>F194*AO194</f>
        <v>0</v>
      </c>
      <c r="AX194" s="35">
        <f>F194*AP194</f>
        <v>0</v>
      </c>
      <c r="AY194" s="37" t="s">
        <v>704</v>
      </c>
      <c r="AZ194" s="37" t="s">
        <v>715</v>
      </c>
      <c r="BA194" s="10" t="s">
        <v>721</v>
      </c>
      <c r="BC194" s="35">
        <f>AW194+AX194</f>
        <v>0</v>
      </c>
      <c r="BD194" s="35">
        <f>G194/(100-BE194)*100</f>
        <v>0</v>
      </c>
      <c r="BE194" s="35">
        <v>0</v>
      </c>
      <c r="BF194" s="35">
        <f>L194</f>
        <v>2.067</v>
      </c>
      <c r="BH194" s="50">
        <f>F194*AO194</f>
        <v>0</v>
      </c>
      <c r="BI194" s="50">
        <f>F194*AP194</f>
        <v>0</v>
      </c>
      <c r="BJ194" s="50">
        <f>F194*G194</f>
        <v>0</v>
      </c>
      <c r="BK194" s="50" t="s">
        <v>729</v>
      </c>
      <c r="BL194" s="35">
        <v>766</v>
      </c>
    </row>
    <row r="195" spans="1:14" ht="12.75">
      <c r="A195" s="2"/>
      <c r="D195" s="38" t="s">
        <v>507</v>
      </c>
      <c r="F195" s="39">
        <v>53</v>
      </c>
      <c r="M195" s="40"/>
      <c r="N195" s="2"/>
    </row>
    <row r="196" spans="1:64" ht="12.75">
      <c r="A196" s="48" t="s">
        <v>86</v>
      </c>
      <c r="B196" s="49" t="s">
        <v>161</v>
      </c>
      <c r="C196" s="49" t="s">
        <v>255</v>
      </c>
      <c r="D196" s="49" t="s">
        <v>508</v>
      </c>
      <c r="E196" s="49" t="s">
        <v>652</v>
      </c>
      <c r="F196" s="50">
        <v>3</v>
      </c>
      <c r="G196" s="33">
        <f>J196/F196</f>
        <v>0</v>
      </c>
      <c r="H196" s="61">
        <v>0</v>
      </c>
      <c r="I196" s="61">
        <v>0</v>
      </c>
      <c r="J196" s="33">
        <f>H196+I196</f>
        <v>0</v>
      </c>
      <c r="K196" s="50">
        <v>0.0322</v>
      </c>
      <c r="L196" s="50">
        <f>F196*K196</f>
        <v>0.09659999999999999</v>
      </c>
      <c r="M196" s="51" t="s">
        <v>680</v>
      </c>
      <c r="N196" s="2"/>
      <c r="Z196" s="35">
        <f>IF(AQ196="5",BJ196,0)</f>
        <v>0</v>
      </c>
      <c r="AB196" s="35">
        <f>IF(AQ196="1",BH196,0)</f>
        <v>0</v>
      </c>
      <c r="AC196" s="35">
        <f>IF(AQ196="1",BI196,0)</f>
        <v>0</v>
      </c>
      <c r="AD196" s="35">
        <f>H196</f>
        <v>0</v>
      </c>
      <c r="AE196" s="35">
        <f>I196</f>
        <v>0</v>
      </c>
      <c r="AF196" s="35">
        <f>IF(AQ196="2",BH196,0)</f>
        <v>0</v>
      </c>
      <c r="AG196" s="35">
        <f>IF(AQ196="2",BI196,0)</f>
        <v>0</v>
      </c>
      <c r="AH196" s="35">
        <f>IF(AQ196="0",BJ196,0)</f>
        <v>0</v>
      </c>
      <c r="AI196" s="10" t="s">
        <v>161</v>
      </c>
      <c r="AJ196" s="50">
        <f>IF(AN196=0,J196,0)</f>
        <v>0</v>
      </c>
      <c r="AK196" s="50">
        <f>IF(AN196=15,J196,0)</f>
        <v>0</v>
      </c>
      <c r="AL196" s="50">
        <f>IF(AN196=21,J196,0)</f>
        <v>0</v>
      </c>
      <c r="AN196" s="35">
        <v>21</v>
      </c>
      <c r="AO196" s="35">
        <f>G196*1</f>
        <v>0</v>
      </c>
      <c r="AP196" s="35">
        <f>G196*(1-1)</f>
        <v>0</v>
      </c>
      <c r="AQ196" s="52" t="s">
        <v>12</v>
      </c>
      <c r="AV196" s="35">
        <f>AW196+AX196</f>
        <v>0</v>
      </c>
      <c r="AW196" s="35">
        <f>F196*AO196</f>
        <v>0</v>
      </c>
      <c r="AX196" s="35">
        <f>F196*AP196</f>
        <v>0</v>
      </c>
      <c r="AY196" s="37" t="s">
        <v>704</v>
      </c>
      <c r="AZ196" s="37" t="s">
        <v>715</v>
      </c>
      <c r="BA196" s="10" t="s">
        <v>721</v>
      </c>
      <c r="BC196" s="35">
        <f>AW196+AX196</f>
        <v>0</v>
      </c>
      <c r="BD196" s="35">
        <f>G196/(100-BE196)*100</f>
        <v>0</v>
      </c>
      <c r="BE196" s="35">
        <v>0</v>
      </c>
      <c r="BF196" s="35">
        <f>L196</f>
        <v>0.09659999999999999</v>
      </c>
      <c r="BH196" s="50">
        <f>F196*AO196</f>
        <v>0</v>
      </c>
      <c r="BI196" s="50">
        <f>F196*AP196</f>
        <v>0</v>
      </c>
      <c r="BJ196" s="50">
        <f>F196*G196</f>
        <v>0</v>
      </c>
      <c r="BK196" s="50" t="s">
        <v>729</v>
      </c>
      <c r="BL196" s="35">
        <v>766</v>
      </c>
    </row>
    <row r="197" spans="1:14" ht="12.75">
      <c r="A197" s="2"/>
      <c r="D197" s="38" t="s">
        <v>509</v>
      </c>
      <c r="F197" s="39">
        <v>3</v>
      </c>
      <c r="M197" s="40"/>
      <c r="N197" s="2"/>
    </row>
    <row r="198" spans="1:64" ht="12.75">
      <c r="A198" s="48" t="s">
        <v>87</v>
      </c>
      <c r="B198" s="49" t="s">
        <v>161</v>
      </c>
      <c r="C198" s="49" t="s">
        <v>256</v>
      </c>
      <c r="D198" s="49" t="s">
        <v>510</v>
      </c>
      <c r="E198" s="49" t="s">
        <v>652</v>
      </c>
      <c r="F198" s="50">
        <v>2</v>
      </c>
      <c r="G198" s="33">
        <f>J198/F198</f>
        <v>0</v>
      </c>
      <c r="H198" s="61">
        <v>0</v>
      </c>
      <c r="I198" s="61">
        <v>0</v>
      </c>
      <c r="J198" s="33">
        <f>H198+I198</f>
        <v>0</v>
      </c>
      <c r="K198" s="50">
        <v>0.0261</v>
      </c>
      <c r="L198" s="50">
        <f>F198*K198</f>
        <v>0.0522</v>
      </c>
      <c r="M198" s="51" t="s">
        <v>680</v>
      </c>
      <c r="N198" s="2"/>
      <c r="Z198" s="35">
        <f>IF(AQ198="5",BJ198,0)</f>
        <v>0</v>
      </c>
      <c r="AB198" s="35">
        <f>IF(AQ198="1",BH198,0)</f>
        <v>0</v>
      </c>
      <c r="AC198" s="35">
        <f>IF(AQ198="1",BI198,0)</f>
        <v>0</v>
      </c>
      <c r="AD198" s="35">
        <f>H198</f>
        <v>0</v>
      </c>
      <c r="AE198" s="35">
        <f>I198</f>
        <v>0</v>
      </c>
      <c r="AF198" s="35">
        <f>IF(AQ198="2",BH198,0)</f>
        <v>0</v>
      </c>
      <c r="AG198" s="35">
        <f>IF(AQ198="2",BI198,0)</f>
        <v>0</v>
      </c>
      <c r="AH198" s="35">
        <f>IF(AQ198="0",BJ198,0)</f>
        <v>0</v>
      </c>
      <c r="AI198" s="10" t="s">
        <v>161</v>
      </c>
      <c r="AJ198" s="50">
        <f>IF(AN198=0,J198,0)</f>
        <v>0</v>
      </c>
      <c r="AK198" s="50">
        <f>IF(AN198=15,J198,0)</f>
        <v>0</v>
      </c>
      <c r="AL198" s="50">
        <f>IF(AN198=21,J198,0)</f>
        <v>0</v>
      </c>
      <c r="AN198" s="35">
        <v>21</v>
      </c>
      <c r="AO198" s="35">
        <f>G198*1</f>
        <v>0</v>
      </c>
      <c r="AP198" s="35">
        <f>G198*(1-1)</f>
        <v>0</v>
      </c>
      <c r="AQ198" s="52" t="s">
        <v>12</v>
      </c>
      <c r="AV198" s="35">
        <f>AW198+AX198</f>
        <v>0</v>
      </c>
      <c r="AW198" s="35">
        <f>F198*AO198</f>
        <v>0</v>
      </c>
      <c r="AX198" s="35">
        <f>F198*AP198</f>
        <v>0</v>
      </c>
      <c r="AY198" s="37" t="s">
        <v>704</v>
      </c>
      <c r="AZ198" s="37" t="s">
        <v>715</v>
      </c>
      <c r="BA198" s="10" t="s">
        <v>721</v>
      </c>
      <c r="BC198" s="35">
        <f>AW198+AX198</f>
        <v>0</v>
      </c>
      <c r="BD198" s="35">
        <f>G198/(100-BE198)*100</f>
        <v>0</v>
      </c>
      <c r="BE198" s="35">
        <v>0</v>
      </c>
      <c r="BF198" s="35">
        <f>L198</f>
        <v>0.0522</v>
      </c>
      <c r="BH198" s="50">
        <f>F198*AO198</f>
        <v>0</v>
      </c>
      <c r="BI198" s="50">
        <f>F198*AP198</f>
        <v>0</v>
      </c>
      <c r="BJ198" s="50">
        <f>F198*G198</f>
        <v>0</v>
      </c>
      <c r="BK198" s="50" t="s">
        <v>729</v>
      </c>
      <c r="BL198" s="35">
        <v>766</v>
      </c>
    </row>
    <row r="199" spans="1:14" ht="12.75">
      <c r="A199" s="2"/>
      <c r="D199" s="38" t="s">
        <v>511</v>
      </c>
      <c r="F199" s="39">
        <v>2</v>
      </c>
      <c r="M199" s="40"/>
      <c r="N199" s="2"/>
    </row>
    <row r="200" spans="1:64" ht="12.75">
      <c r="A200" s="48" t="s">
        <v>88</v>
      </c>
      <c r="B200" s="49" t="s">
        <v>161</v>
      </c>
      <c r="C200" s="49" t="s">
        <v>257</v>
      </c>
      <c r="D200" s="49" t="s">
        <v>512</v>
      </c>
      <c r="E200" s="49" t="s">
        <v>652</v>
      </c>
      <c r="F200" s="50">
        <v>57</v>
      </c>
      <c r="G200" s="33">
        <f>J200/F200</f>
        <v>0</v>
      </c>
      <c r="H200" s="61">
        <v>0</v>
      </c>
      <c r="I200" s="61">
        <v>0</v>
      </c>
      <c r="J200" s="33">
        <f>H200+I200</f>
        <v>0</v>
      </c>
      <c r="K200" s="50">
        <v>0.034</v>
      </c>
      <c r="L200" s="50">
        <f>F200*K200</f>
        <v>1.9380000000000002</v>
      </c>
      <c r="M200" s="51" t="s">
        <v>680</v>
      </c>
      <c r="N200" s="2"/>
      <c r="Z200" s="35">
        <f>IF(AQ200="5",BJ200,0)</f>
        <v>0</v>
      </c>
      <c r="AB200" s="35">
        <f>IF(AQ200="1",BH200,0)</f>
        <v>0</v>
      </c>
      <c r="AC200" s="35">
        <f>IF(AQ200="1",BI200,0)</f>
        <v>0</v>
      </c>
      <c r="AD200" s="35">
        <f>H200</f>
        <v>0</v>
      </c>
      <c r="AE200" s="35">
        <f>I200</f>
        <v>0</v>
      </c>
      <c r="AF200" s="35">
        <f>IF(AQ200="2",BH200,0)</f>
        <v>0</v>
      </c>
      <c r="AG200" s="35">
        <f>IF(AQ200="2",BI200,0)</f>
        <v>0</v>
      </c>
      <c r="AH200" s="35">
        <f>IF(AQ200="0",BJ200,0)</f>
        <v>0</v>
      </c>
      <c r="AI200" s="10" t="s">
        <v>161</v>
      </c>
      <c r="AJ200" s="50">
        <f>IF(AN200=0,J200,0)</f>
        <v>0</v>
      </c>
      <c r="AK200" s="50">
        <f>IF(AN200=15,J200,0)</f>
        <v>0</v>
      </c>
      <c r="AL200" s="50">
        <f>IF(AN200=21,J200,0)</f>
        <v>0</v>
      </c>
      <c r="AN200" s="35">
        <v>21</v>
      </c>
      <c r="AO200" s="35">
        <f>G200*1</f>
        <v>0</v>
      </c>
      <c r="AP200" s="35">
        <f>G200*(1-1)</f>
        <v>0</v>
      </c>
      <c r="AQ200" s="52" t="s">
        <v>12</v>
      </c>
      <c r="AV200" s="35">
        <f>AW200+AX200</f>
        <v>0</v>
      </c>
      <c r="AW200" s="35">
        <f>F200*AO200</f>
        <v>0</v>
      </c>
      <c r="AX200" s="35">
        <f>F200*AP200</f>
        <v>0</v>
      </c>
      <c r="AY200" s="37" t="s">
        <v>704</v>
      </c>
      <c r="AZ200" s="37" t="s">
        <v>715</v>
      </c>
      <c r="BA200" s="10" t="s">
        <v>721</v>
      </c>
      <c r="BC200" s="35">
        <f>AW200+AX200</f>
        <v>0</v>
      </c>
      <c r="BD200" s="35">
        <f>G200/(100-BE200)*100</f>
        <v>0</v>
      </c>
      <c r="BE200" s="35">
        <v>0</v>
      </c>
      <c r="BF200" s="35">
        <f>L200</f>
        <v>1.9380000000000002</v>
      </c>
      <c r="BH200" s="50">
        <f>F200*AO200</f>
        <v>0</v>
      </c>
      <c r="BI200" s="50">
        <f>F200*AP200</f>
        <v>0</v>
      </c>
      <c r="BJ200" s="50">
        <f>F200*G200</f>
        <v>0</v>
      </c>
      <c r="BK200" s="50" t="s">
        <v>729</v>
      </c>
      <c r="BL200" s="35">
        <v>766</v>
      </c>
    </row>
    <row r="201" spans="1:14" ht="12.75">
      <c r="A201" s="2"/>
      <c r="D201" s="38" t="s">
        <v>513</v>
      </c>
      <c r="F201" s="39">
        <v>57</v>
      </c>
      <c r="M201" s="40"/>
      <c r="N201" s="2"/>
    </row>
    <row r="202" spans="1:64" ht="12.75">
      <c r="A202" s="48" t="s">
        <v>89</v>
      </c>
      <c r="B202" s="49" t="s">
        <v>161</v>
      </c>
      <c r="C202" s="49" t="s">
        <v>258</v>
      </c>
      <c r="D202" s="49" t="s">
        <v>514</v>
      </c>
      <c r="E202" s="49" t="s">
        <v>652</v>
      </c>
      <c r="F202" s="50">
        <v>12</v>
      </c>
      <c r="G202" s="33">
        <f>J202/F202</f>
        <v>0</v>
      </c>
      <c r="H202" s="61">
        <v>0</v>
      </c>
      <c r="I202" s="61">
        <v>0</v>
      </c>
      <c r="J202" s="33">
        <f>H202+I202</f>
        <v>0</v>
      </c>
      <c r="K202" s="50">
        <v>0.03</v>
      </c>
      <c r="L202" s="50">
        <f>F202*K202</f>
        <v>0.36</v>
      </c>
      <c r="M202" s="51" t="s">
        <v>680</v>
      </c>
      <c r="N202" s="2"/>
      <c r="Z202" s="35">
        <f>IF(AQ202="5",BJ202,0)</f>
        <v>0</v>
      </c>
      <c r="AB202" s="35">
        <f>IF(AQ202="1",BH202,0)</f>
        <v>0</v>
      </c>
      <c r="AC202" s="35">
        <f>IF(AQ202="1",BI202,0)</f>
        <v>0</v>
      </c>
      <c r="AD202" s="35">
        <f>H202</f>
        <v>0</v>
      </c>
      <c r="AE202" s="35">
        <f>I202</f>
        <v>0</v>
      </c>
      <c r="AF202" s="35">
        <f>IF(AQ202="2",BH202,0)</f>
        <v>0</v>
      </c>
      <c r="AG202" s="35">
        <f>IF(AQ202="2",BI202,0)</f>
        <v>0</v>
      </c>
      <c r="AH202" s="35">
        <f>IF(AQ202="0",BJ202,0)</f>
        <v>0</v>
      </c>
      <c r="AI202" s="10" t="s">
        <v>161</v>
      </c>
      <c r="AJ202" s="50">
        <f>IF(AN202=0,J202,0)</f>
        <v>0</v>
      </c>
      <c r="AK202" s="50">
        <f>IF(AN202=15,J202,0)</f>
        <v>0</v>
      </c>
      <c r="AL202" s="50">
        <f>IF(AN202=21,J202,0)</f>
        <v>0</v>
      </c>
      <c r="AN202" s="35">
        <v>21</v>
      </c>
      <c r="AO202" s="35">
        <f>G202*1</f>
        <v>0</v>
      </c>
      <c r="AP202" s="35">
        <f>G202*(1-1)</f>
        <v>0</v>
      </c>
      <c r="AQ202" s="52" t="s">
        <v>12</v>
      </c>
      <c r="AV202" s="35">
        <f>AW202+AX202</f>
        <v>0</v>
      </c>
      <c r="AW202" s="35">
        <f>F202*AO202</f>
        <v>0</v>
      </c>
      <c r="AX202" s="35">
        <f>F202*AP202</f>
        <v>0</v>
      </c>
      <c r="AY202" s="37" t="s">
        <v>704</v>
      </c>
      <c r="AZ202" s="37" t="s">
        <v>715</v>
      </c>
      <c r="BA202" s="10" t="s">
        <v>721</v>
      </c>
      <c r="BC202" s="35">
        <f>AW202+AX202</f>
        <v>0</v>
      </c>
      <c r="BD202" s="35">
        <f>G202/(100-BE202)*100</f>
        <v>0</v>
      </c>
      <c r="BE202" s="35">
        <v>0</v>
      </c>
      <c r="BF202" s="35">
        <f>L202</f>
        <v>0.36</v>
      </c>
      <c r="BH202" s="50">
        <f>F202*AO202</f>
        <v>0</v>
      </c>
      <c r="BI202" s="50">
        <f>F202*AP202</f>
        <v>0</v>
      </c>
      <c r="BJ202" s="50">
        <f>F202*G202</f>
        <v>0</v>
      </c>
      <c r="BK202" s="50" t="s">
        <v>729</v>
      </c>
      <c r="BL202" s="35">
        <v>766</v>
      </c>
    </row>
    <row r="203" spans="1:14" ht="12.75">
      <c r="A203" s="2"/>
      <c r="D203" s="38" t="s">
        <v>515</v>
      </c>
      <c r="F203" s="39">
        <v>12</v>
      </c>
      <c r="M203" s="40"/>
      <c r="N203" s="2"/>
    </row>
    <row r="204" spans="1:64" ht="12.75">
      <c r="A204" s="31" t="s">
        <v>90</v>
      </c>
      <c r="B204" s="32" t="s">
        <v>161</v>
      </c>
      <c r="C204" s="32" t="s">
        <v>259</v>
      </c>
      <c r="D204" s="32" t="s">
        <v>516</v>
      </c>
      <c r="E204" s="32" t="s">
        <v>652</v>
      </c>
      <c r="F204" s="33">
        <v>4</v>
      </c>
      <c r="G204" s="33">
        <f>J204/F204</f>
        <v>0</v>
      </c>
      <c r="H204" s="61">
        <v>0</v>
      </c>
      <c r="I204" s="61">
        <v>0</v>
      </c>
      <c r="J204" s="33">
        <f>H204+I204</f>
        <v>0</v>
      </c>
      <c r="K204" s="33">
        <v>0.0015</v>
      </c>
      <c r="L204" s="33">
        <f>F204*K204</f>
        <v>0.006</v>
      </c>
      <c r="M204" s="34" t="s">
        <v>681</v>
      </c>
      <c r="N204" s="2"/>
      <c r="Z204" s="35">
        <f>IF(AQ204="5",BJ204,0)</f>
        <v>0</v>
      </c>
      <c r="AB204" s="35">
        <f>IF(AQ204="1",BH204,0)</f>
        <v>0</v>
      </c>
      <c r="AC204" s="35">
        <f>IF(AQ204="1",BI204,0)</f>
        <v>0</v>
      </c>
      <c r="AD204" s="35">
        <f>H204</f>
        <v>0</v>
      </c>
      <c r="AE204" s="35">
        <f>I204</f>
        <v>0</v>
      </c>
      <c r="AF204" s="35">
        <f>IF(AQ204="2",BH204,0)</f>
        <v>0</v>
      </c>
      <c r="AG204" s="35">
        <f>IF(AQ204="2",BI204,0)</f>
        <v>0</v>
      </c>
      <c r="AH204" s="35">
        <f>IF(AQ204="0",BJ204,0)</f>
        <v>0</v>
      </c>
      <c r="AI204" s="10" t="s">
        <v>161</v>
      </c>
      <c r="AJ204" s="33">
        <f>IF(AN204=0,J204,0)</f>
        <v>0</v>
      </c>
      <c r="AK204" s="33">
        <f>IF(AN204=15,J204,0)</f>
        <v>0</v>
      </c>
      <c r="AL204" s="33">
        <f>IF(AN204=21,J204,0)</f>
        <v>0</v>
      </c>
      <c r="AN204" s="35">
        <v>21</v>
      </c>
      <c r="AO204" s="35">
        <f>G204*0.0688456189151599</f>
        <v>0</v>
      </c>
      <c r="AP204" s="35">
        <f>G204*(1-0.0688456189151599)</f>
        <v>0</v>
      </c>
      <c r="AQ204" s="36" t="s">
        <v>12</v>
      </c>
      <c r="AV204" s="35">
        <f>AW204+AX204</f>
        <v>0</v>
      </c>
      <c r="AW204" s="35">
        <f>F204*AO204</f>
        <v>0</v>
      </c>
      <c r="AX204" s="35">
        <f>F204*AP204</f>
        <v>0</v>
      </c>
      <c r="AY204" s="37" t="s">
        <v>704</v>
      </c>
      <c r="AZ204" s="37" t="s">
        <v>715</v>
      </c>
      <c r="BA204" s="10" t="s">
        <v>721</v>
      </c>
      <c r="BC204" s="35">
        <f>AW204+AX204</f>
        <v>0</v>
      </c>
      <c r="BD204" s="35">
        <f>G204/(100-BE204)*100</f>
        <v>0</v>
      </c>
      <c r="BE204" s="35">
        <v>0</v>
      </c>
      <c r="BF204" s="35">
        <f>L204</f>
        <v>0.006</v>
      </c>
      <c r="BH204" s="33">
        <f>F204*AO204</f>
        <v>0</v>
      </c>
      <c r="BI204" s="33">
        <f>F204*AP204</f>
        <v>0</v>
      </c>
      <c r="BJ204" s="33">
        <f>F204*G204</f>
        <v>0</v>
      </c>
      <c r="BK204" s="33" t="s">
        <v>728</v>
      </c>
      <c r="BL204" s="35">
        <v>766</v>
      </c>
    </row>
    <row r="205" spans="1:14" ht="12.75">
      <c r="A205" s="2"/>
      <c r="D205" s="38" t="s">
        <v>517</v>
      </c>
      <c r="F205" s="39">
        <v>4</v>
      </c>
      <c r="M205" s="40"/>
      <c r="N205" s="2"/>
    </row>
    <row r="206" spans="1:64" ht="12.75">
      <c r="A206" s="48" t="s">
        <v>91</v>
      </c>
      <c r="B206" s="49" t="s">
        <v>161</v>
      </c>
      <c r="C206" s="49" t="s">
        <v>260</v>
      </c>
      <c r="D206" s="49" t="s">
        <v>518</v>
      </c>
      <c r="E206" s="49" t="s">
        <v>652</v>
      </c>
      <c r="F206" s="50">
        <v>1</v>
      </c>
      <c r="G206" s="33">
        <f>J206/F206</f>
        <v>0</v>
      </c>
      <c r="H206" s="61">
        <v>0</v>
      </c>
      <c r="I206" s="61">
        <v>0</v>
      </c>
      <c r="J206" s="33">
        <f>H206+I206</f>
        <v>0</v>
      </c>
      <c r="K206" s="50">
        <v>0.06</v>
      </c>
      <c r="L206" s="50">
        <f>F206*K206</f>
        <v>0.06</v>
      </c>
      <c r="M206" s="51" t="s">
        <v>681</v>
      </c>
      <c r="N206" s="2"/>
      <c r="Z206" s="35">
        <f>IF(AQ206="5",BJ206,0)</f>
        <v>0</v>
      </c>
      <c r="AB206" s="35">
        <f>IF(AQ206="1",BH206,0)</f>
        <v>0</v>
      </c>
      <c r="AC206" s="35">
        <f>IF(AQ206="1",BI206,0)</f>
        <v>0</v>
      </c>
      <c r="AD206" s="35">
        <f>H206</f>
        <v>0</v>
      </c>
      <c r="AE206" s="35">
        <f>I206</f>
        <v>0</v>
      </c>
      <c r="AF206" s="35">
        <f>IF(AQ206="2",BH206,0)</f>
        <v>0</v>
      </c>
      <c r="AG206" s="35">
        <f>IF(AQ206="2",BI206,0)</f>
        <v>0</v>
      </c>
      <c r="AH206" s="35">
        <f>IF(AQ206="0",BJ206,0)</f>
        <v>0</v>
      </c>
      <c r="AI206" s="10" t="s">
        <v>161</v>
      </c>
      <c r="AJ206" s="50">
        <f>IF(AN206=0,J206,0)</f>
        <v>0</v>
      </c>
      <c r="AK206" s="50">
        <f>IF(AN206=15,J206,0)</f>
        <v>0</v>
      </c>
      <c r="AL206" s="50">
        <f>IF(AN206=21,J206,0)</f>
        <v>0</v>
      </c>
      <c r="AN206" s="35">
        <v>21</v>
      </c>
      <c r="AO206" s="35">
        <f>G206*1</f>
        <v>0</v>
      </c>
      <c r="AP206" s="35">
        <f>G206*(1-1)</f>
        <v>0</v>
      </c>
      <c r="AQ206" s="52" t="s">
        <v>12</v>
      </c>
      <c r="AV206" s="35">
        <f>AW206+AX206</f>
        <v>0</v>
      </c>
      <c r="AW206" s="35">
        <f>F206*AO206</f>
        <v>0</v>
      </c>
      <c r="AX206" s="35">
        <f>F206*AP206</f>
        <v>0</v>
      </c>
      <c r="AY206" s="37" t="s">
        <v>704</v>
      </c>
      <c r="AZ206" s="37" t="s">
        <v>715</v>
      </c>
      <c r="BA206" s="10" t="s">
        <v>721</v>
      </c>
      <c r="BC206" s="35">
        <f>AW206+AX206</f>
        <v>0</v>
      </c>
      <c r="BD206" s="35">
        <f>G206/(100-BE206)*100</f>
        <v>0</v>
      </c>
      <c r="BE206" s="35">
        <v>0</v>
      </c>
      <c r="BF206" s="35">
        <f>L206</f>
        <v>0.06</v>
      </c>
      <c r="BH206" s="50">
        <f>F206*AO206</f>
        <v>0</v>
      </c>
      <c r="BI206" s="50">
        <f>F206*AP206</f>
        <v>0</v>
      </c>
      <c r="BJ206" s="50">
        <f>F206*G206</f>
        <v>0</v>
      </c>
      <c r="BK206" s="50" t="s">
        <v>729</v>
      </c>
      <c r="BL206" s="35">
        <v>766</v>
      </c>
    </row>
    <row r="207" spans="1:14" ht="12.75">
      <c r="A207" s="2"/>
      <c r="D207" s="38" t="s">
        <v>519</v>
      </c>
      <c r="F207" s="39">
        <v>1</v>
      </c>
      <c r="M207" s="40"/>
      <c r="N207" s="2"/>
    </row>
    <row r="208" spans="1:64" ht="12.75">
      <c r="A208" s="48" t="s">
        <v>92</v>
      </c>
      <c r="B208" s="49" t="s">
        <v>161</v>
      </c>
      <c r="C208" s="49" t="s">
        <v>261</v>
      </c>
      <c r="D208" s="49" t="s">
        <v>520</v>
      </c>
      <c r="E208" s="49" t="s">
        <v>652</v>
      </c>
      <c r="F208" s="50">
        <v>1</v>
      </c>
      <c r="G208" s="33">
        <f>J208/F208</f>
        <v>0</v>
      </c>
      <c r="H208" s="61">
        <v>0</v>
      </c>
      <c r="I208" s="61">
        <v>0</v>
      </c>
      <c r="J208" s="33">
        <f>H208+I208</f>
        <v>0</v>
      </c>
      <c r="K208" s="50">
        <v>0.054</v>
      </c>
      <c r="L208" s="50">
        <f>F208*K208</f>
        <v>0.054</v>
      </c>
      <c r="M208" s="51" t="s">
        <v>681</v>
      </c>
      <c r="N208" s="2"/>
      <c r="Z208" s="35">
        <f>IF(AQ208="5",BJ208,0)</f>
        <v>0</v>
      </c>
      <c r="AB208" s="35">
        <f>IF(AQ208="1",BH208,0)</f>
        <v>0</v>
      </c>
      <c r="AC208" s="35">
        <f>IF(AQ208="1",BI208,0)</f>
        <v>0</v>
      </c>
      <c r="AD208" s="35">
        <f>H208</f>
        <v>0</v>
      </c>
      <c r="AE208" s="35">
        <f>I208</f>
        <v>0</v>
      </c>
      <c r="AF208" s="35">
        <f>IF(AQ208="2",BH208,0)</f>
        <v>0</v>
      </c>
      <c r="AG208" s="35">
        <f>IF(AQ208="2",BI208,0)</f>
        <v>0</v>
      </c>
      <c r="AH208" s="35">
        <f>IF(AQ208="0",BJ208,0)</f>
        <v>0</v>
      </c>
      <c r="AI208" s="10" t="s">
        <v>161</v>
      </c>
      <c r="AJ208" s="50">
        <f>IF(AN208=0,J208,0)</f>
        <v>0</v>
      </c>
      <c r="AK208" s="50">
        <f>IF(AN208=15,J208,0)</f>
        <v>0</v>
      </c>
      <c r="AL208" s="50">
        <f>IF(AN208=21,J208,0)</f>
        <v>0</v>
      </c>
      <c r="AN208" s="35">
        <v>21</v>
      </c>
      <c r="AO208" s="35">
        <f>G208*1</f>
        <v>0</v>
      </c>
      <c r="AP208" s="35">
        <f>G208*(1-1)</f>
        <v>0</v>
      </c>
      <c r="AQ208" s="52" t="s">
        <v>12</v>
      </c>
      <c r="AV208" s="35">
        <f>AW208+AX208</f>
        <v>0</v>
      </c>
      <c r="AW208" s="35">
        <f>F208*AO208</f>
        <v>0</v>
      </c>
      <c r="AX208" s="35">
        <f>F208*AP208</f>
        <v>0</v>
      </c>
      <c r="AY208" s="37" t="s">
        <v>704</v>
      </c>
      <c r="AZ208" s="37" t="s">
        <v>715</v>
      </c>
      <c r="BA208" s="10" t="s">
        <v>721</v>
      </c>
      <c r="BC208" s="35">
        <f>AW208+AX208</f>
        <v>0</v>
      </c>
      <c r="BD208" s="35">
        <f>G208/(100-BE208)*100</f>
        <v>0</v>
      </c>
      <c r="BE208" s="35">
        <v>0</v>
      </c>
      <c r="BF208" s="35">
        <f>L208</f>
        <v>0.054</v>
      </c>
      <c r="BH208" s="50">
        <f>F208*AO208</f>
        <v>0</v>
      </c>
      <c r="BI208" s="50">
        <f>F208*AP208</f>
        <v>0</v>
      </c>
      <c r="BJ208" s="50">
        <f>F208*G208</f>
        <v>0</v>
      </c>
      <c r="BK208" s="50" t="s">
        <v>729</v>
      </c>
      <c r="BL208" s="35">
        <v>766</v>
      </c>
    </row>
    <row r="209" spans="1:14" ht="12.75">
      <c r="A209" s="2"/>
      <c r="D209" s="38" t="s">
        <v>521</v>
      </c>
      <c r="F209" s="39">
        <v>1</v>
      </c>
      <c r="M209" s="40"/>
      <c r="N209" s="2"/>
    </row>
    <row r="210" spans="1:64" ht="12.75">
      <c r="A210" s="48" t="s">
        <v>93</v>
      </c>
      <c r="B210" s="49" t="s">
        <v>161</v>
      </c>
      <c r="C210" s="49" t="s">
        <v>262</v>
      </c>
      <c r="D210" s="49" t="s">
        <v>522</v>
      </c>
      <c r="E210" s="49" t="s">
        <v>655</v>
      </c>
      <c r="F210" s="50">
        <v>6</v>
      </c>
      <c r="G210" s="33">
        <f>J210/F210</f>
        <v>0</v>
      </c>
      <c r="H210" s="61">
        <v>0</v>
      </c>
      <c r="I210" s="61">
        <v>0</v>
      </c>
      <c r="J210" s="33">
        <f>H210+I210</f>
        <v>0</v>
      </c>
      <c r="K210" s="50">
        <v>0.053</v>
      </c>
      <c r="L210" s="50">
        <f>F210*K210</f>
        <v>0.318</v>
      </c>
      <c r="M210" s="51" t="s">
        <v>681</v>
      </c>
      <c r="N210" s="2"/>
      <c r="Z210" s="35">
        <f>IF(AQ210="5",BJ210,0)</f>
        <v>0</v>
      </c>
      <c r="AB210" s="35">
        <f>IF(AQ210="1",BH210,0)</f>
        <v>0</v>
      </c>
      <c r="AC210" s="35">
        <f>IF(AQ210="1",BI210,0)</f>
        <v>0</v>
      </c>
      <c r="AD210" s="35">
        <f>H210</f>
        <v>0</v>
      </c>
      <c r="AE210" s="35">
        <f>I210</f>
        <v>0</v>
      </c>
      <c r="AF210" s="35">
        <f>IF(AQ210="2",BH210,0)</f>
        <v>0</v>
      </c>
      <c r="AG210" s="35">
        <f>IF(AQ210="2",BI210,0)</f>
        <v>0</v>
      </c>
      <c r="AH210" s="35">
        <f>IF(AQ210="0",BJ210,0)</f>
        <v>0</v>
      </c>
      <c r="AI210" s="10" t="s">
        <v>161</v>
      </c>
      <c r="AJ210" s="50">
        <f>IF(AN210=0,J210,0)</f>
        <v>0</v>
      </c>
      <c r="AK210" s="50">
        <f>IF(AN210=15,J210,0)</f>
        <v>0</v>
      </c>
      <c r="AL210" s="50">
        <f>IF(AN210=21,J210,0)</f>
        <v>0</v>
      </c>
      <c r="AN210" s="35">
        <v>21</v>
      </c>
      <c r="AO210" s="35">
        <f>G210*1</f>
        <v>0</v>
      </c>
      <c r="AP210" s="35">
        <f>G210*(1-1)</f>
        <v>0</v>
      </c>
      <c r="AQ210" s="52" t="s">
        <v>12</v>
      </c>
      <c r="AV210" s="35">
        <f>AW210+AX210</f>
        <v>0</v>
      </c>
      <c r="AW210" s="35">
        <f>F210*AO210</f>
        <v>0</v>
      </c>
      <c r="AX210" s="35">
        <f>F210*AP210</f>
        <v>0</v>
      </c>
      <c r="AY210" s="37" t="s">
        <v>704</v>
      </c>
      <c r="AZ210" s="37" t="s">
        <v>715</v>
      </c>
      <c r="BA210" s="10" t="s">
        <v>721</v>
      </c>
      <c r="BC210" s="35">
        <f>AW210+AX210</f>
        <v>0</v>
      </c>
      <c r="BD210" s="35">
        <f>G210/(100-BE210)*100</f>
        <v>0</v>
      </c>
      <c r="BE210" s="35">
        <v>0</v>
      </c>
      <c r="BF210" s="35">
        <f>L210</f>
        <v>0.318</v>
      </c>
      <c r="BH210" s="50">
        <f>F210*AO210</f>
        <v>0</v>
      </c>
      <c r="BI210" s="50">
        <f>F210*AP210</f>
        <v>0</v>
      </c>
      <c r="BJ210" s="50">
        <f>F210*G210</f>
        <v>0</v>
      </c>
      <c r="BK210" s="50" t="s">
        <v>729</v>
      </c>
      <c r="BL210" s="35">
        <v>766</v>
      </c>
    </row>
    <row r="211" spans="1:14" ht="12.75">
      <c r="A211" s="2"/>
      <c r="D211" s="38" t="s">
        <v>523</v>
      </c>
      <c r="F211" s="39">
        <v>6</v>
      </c>
      <c r="M211" s="40"/>
      <c r="N211" s="2"/>
    </row>
    <row r="212" spans="1:64" ht="12.75">
      <c r="A212" s="48" t="s">
        <v>94</v>
      </c>
      <c r="B212" s="49" t="s">
        <v>161</v>
      </c>
      <c r="C212" s="49" t="s">
        <v>263</v>
      </c>
      <c r="D212" s="49" t="s">
        <v>524</v>
      </c>
      <c r="E212" s="49" t="s">
        <v>652</v>
      </c>
      <c r="F212" s="50">
        <v>2</v>
      </c>
      <c r="G212" s="33">
        <f>J212/F212</f>
        <v>0</v>
      </c>
      <c r="H212" s="61">
        <v>0</v>
      </c>
      <c r="I212" s="61">
        <v>0</v>
      </c>
      <c r="J212" s="33">
        <f>H212+I212</f>
        <v>0</v>
      </c>
      <c r="K212" s="50">
        <v>0.055</v>
      </c>
      <c r="L212" s="50">
        <f>F212*K212</f>
        <v>0.11</v>
      </c>
      <c r="M212" s="51" t="s">
        <v>681</v>
      </c>
      <c r="N212" s="2"/>
      <c r="Z212" s="35">
        <f>IF(AQ212="5",BJ212,0)</f>
        <v>0</v>
      </c>
      <c r="AB212" s="35">
        <f>IF(AQ212="1",BH212,0)</f>
        <v>0</v>
      </c>
      <c r="AC212" s="35">
        <f>IF(AQ212="1",BI212,0)</f>
        <v>0</v>
      </c>
      <c r="AD212" s="35">
        <f>H212</f>
        <v>0</v>
      </c>
      <c r="AE212" s="35">
        <f>I212</f>
        <v>0</v>
      </c>
      <c r="AF212" s="35">
        <f>IF(AQ212="2",BH212,0)</f>
        <v>0</v>
      </c>
      <c r="AG212" s="35">
        <f>IF(AQ212="2",BI212,0)</f>
        <v>0</v>
      </c>
      <c r="AH212" s="35">
        <f>IF(AQ212="0",BJ212,0)</f>
        <v>0</v>
      </c>
      <c r="AI212" s="10" t="s">
        <v>161</v>
      </c>
      <c r="AJ212" s="50">
        <f>IF(AN212=0,J212,0)</f>
        <v>0</v>
      </c>
      <c r="AK212" s="50">
        <f>IF(AN212=15,J212,0)</f>
        <v>0</v>
      </c>
      <c r="AL212" s="50">
        <f>IF(AN212=21,J212,0)</f>
        <v>0</v>
      </c>
      <c r="AN212" s="35">
        <v>21</v>
      </c>
      <c r="AO212" s="35">
        <f>G212*1</f>
        <v>0</v>
      </c>
      <c r="AP212" s="35">
        <f>G212*(1-1)</f>
        <v>0</v>
      </c>
      <c r="AQ212" s="52" t="s">
        <v>12</v>
      </c>
      <c r="AV212" s="35">
        <f>AW212+AX212</f>
        <v>0</v>
      </c>
      <c r="AW212" s="35">
        <f>F212*AO212</f>
        <v>0</v>
      </c>
      <c r="AX212" s="35">
        <f>F212*AP212</f>
        <v>0</v>
      </c>
      <c r="AY212" s="37" t="s">
        <v>704</v>
      </c>
      <c r="AZ212" s="37" t="s">
        <v>715</v>
      </c>
      <c r="BA212" s="10" t="s">
        <v>721</v>
      </c>
      <c r="BC212" s="35">
        <f>AW212+AX212</f>
        <v>0</v>
      </c>
      <c r="BD212" s="35">
        <f>G212/(100-BE212)*100</f>
        <v>0</v>
      </c>
      <c r="BE212" s="35">
        <v>0</v>
      </c>
      <c r="BF212" s="35">
        <f>L212</f>
        <v>0.11</v>
      </c>
      <c r="BH212" s="50">
        <f>F212*AO212</f>
        <v>0</v>
      </c>
      <c r="BI212" s="50">
        <f>F212*AP212</f>
        <v>0</v>
      </c>
      <c r="BJ212" s="50">
        <f>F212*G212</f>
        <v>0</v>
      </c>
      <c r="BK212" s="50" t="s">
        <v>729</v>
      </c>
      <c r="BL212" s="35">
        <v>766</v>
      </c>
    </row>
    <row r="213" spans="1:14" ht="12.75">
      <c r="A213" s="2"/>
      <c r="D213" s="38" t="s">
        <v>525</v>
      </c>
      <c r="F213" s="39">
        <v>2</v>
      </c>
      <c r="M213" s="40"/>
      <c r="N213" s="2"/>
    </row>
    <row r="214" spans="1:64" ht="12.75">
      <c r="A214" s="31" t="s">
        <v>95</v>
      </c>
      <c r="B214" s="32" t="s">
        <v>161</v>
      </c>
      <c r="C214" s="32" t="s">
        <v>264</v>
      </c>
      <c r="D214" s="32" t="s">
        <v>526</v>
      </c>
      <c r="E214" s="32" t="s">
        <v>652</v>
      </c>
      <c r="F214" s="33">
        <v>11</v>
      </c>
      <c r="G214" s="33">
        <f>J214/F214</f>
        <v>0</v>
      </c>
      <c r="H214" s="61">
        <v>0</v>
      </c>
      <c r="I214" s="61">
        <v>0</v>
      </c>
      <c r="J214" s="33">
        <f>H214+I214</f>
        <v>0</v>
      </c>
      <c r="K214" s="33">
        <v>0.00182</v>
      </c>
      <c r="L214" s="33">
        <f>F214*K214</f>
        <v>0.02002</v>
      </c>
      <c r="M214" s="34" t="s">
        <v>680</v>
      </c>
      <c r="N214" s="2"/>
      <c r="Z214" s="35">
        <f>IF(AQ214="5",BJ214,0)</f>
        <v>0</v>
      </c>
      <c r="AB214" s="35">
        <f>IF(AQ214="1",BH214,0)</f>
        <v>0</v>
      </c>
      <c r="AC214" s="35">
        <f>IF(AQ214="1",BI214,0)</f>
        <v>0</v>
      </c>
      <c r="AD214" s="35">
        <f>H214</f>
        <v>0</v>
      </c>
      <c r="AE214" s="35">
        <f>I214</f>
        <v>0</v>
      </c>
      <c r="AF214" s="35">
        <f>IF(AQ214="2",BH214,0)</f>
        <v>0</v>
      </c>
      <c r="AG214" s="35">
        <f>IF(AQ214="2",BI214,0)</f>
        <v>0</v>
      </c>
      <c r="AH214" s="35">
        <f>IF(AQ214="0",BJ214,0)</f>
        <v>0</v>
      </c>
      <c r="AI214" s="10" t="s">
        <v>161</v>
      </c>
      <c r="AJ214" s="33">
        <f>IF(AN214=0,J214,0)</f>
        <v>0</v>
      </c>
      <c r="AK214" s="33">
        <f>IF(AN214=15,J214,0)</f>
        <v>0</v>
      </c>
      <c r="AL214" s="33">
        <f>IF(AN214=21,J214,0)</f>
        <v>0</v>
      </c>
      <c r="AN214" s="35">
        <v>21</v>
      </c>
      <c r="AO214" s="35">
        <f>G214*0.195636363636364</f>
        <v>0</v>
      </c>
      <c r="AP214" s="35">
        <f>G214*(1-0.195636363636364)</f>
        <v>0</v>
      </c>
      <c r="AQ214" s="36" t="s">
        <v>12</v>
      </c>
      <c r="AV214" s="35">
        <f>AW214+AX214</f>
        <v>0</v>
      </c>
      <c r="AW214" s="35">
        <f>F214*AO214</f>
        <v>0</v>
      </c>
      <c r="AX214" s="35">
        <f>F214*AP214</f>
        <v>0</v>
      </c>
      <c r="AY214" s="37" t="s">
        <v>704</v>
      </c>
      <c r="AZ214" s="37" t="s">
        <v>715</v>
      </c>
      <c r="BA214" s="10" t="s">
        <v>721</v>
      </c>
      <c r="BC214" s="35">
        <f>AW214+AX214</f>
        <v>0</v>
      </c>
      <c r="BD214" s="35">
        <f>G214/(100-BE214)*100</f>
        <v>0</v>
      </c>
      <c r="BE214" s="35">
        <v>0</v>
      </c>
      <c r="BF214" s="35">
        <f>L214</f>
        <v>0.02002</v>
      </c>
      <c r="BH214" s="33">
        <f>F214*AO214</f>
        <v>0</v>
      </c>
      <c r="BI214" s="33">
        <f>F214*AP214</f>
        <v>0</v>
      </c>
      <c r="BJ214" s="33">
        <f>F214*G214</f>
        <v>0</v>
      </c>
      <c r="BK214" s="33" t="s">
        <v>728</v>
      </c>
      <c r="BL214" s="35">
        <v>766</v>
      </c>
    </row>
    <row r="215" spans="1:14" ht="12.75">
      <c r="A215" s="2"/>
      <c r="D215" s="38" t="s">
        <v>527</v>
      </c>
      <c r="F215" s="39">
        <v>11</v>
      </c>
      <c r="M215" s="40"/>
      <c r="N215" s="2"/>
    </row>
    <row r="216" spans="1:64" ht="12.75">
      <c r="A216" s="48" t="s">
        <v>96</v>
      </c>
      <c r="B216" s="49" t="s">
        <v>161</v>
      </c>
      <c r="C216" s="49" t="s">
        <v>265</v>
      </c>
      <c r="D216" s="49" t="s">
        <v>528</v>
      </c>
      <c r="E216" s="49" t="s">
        <v>652</v>
      </c>
      <c r="F216" s="50">
        <v>2</v>
      </c>
      <c r="G216" s="33">
        <f>J216/F216</f>
        <v>0</v>
      </c>
      <c r="H216" s="61">
        <v>0</v>
      </c>
      <c r="I216" s="61">
        <v>0</v>
      </c>
      <c r="J216" s="33">
        <f>H216+I216</f>
        <v>0</v>
      </c>
      <c r="K216" s="50">
        <v>0.082</v>
      </c>
      <c r="L216" s="50">
        <f>F216*K216</f>
        <v>0.164</v>
      </c>
      <c r="M216" s="51" t="s">
        <v>681</v>
      </c>
      <c r="N216" s="2"/>
      <c r="Z216" s="35">
        <f>IF(AQ216="5",BJ216,0)</f>
        <v>0</v>
      </c>
      <c r="AB216" s="35">
        <f>IF(AQ216="1",BH216,0)</f>
        <v>0</v>
      </c>
      <c r="AC216" s="35">
        <f>IF(AQ216="1",BI216,0)</f>
        <v>0</v>
      </c>
      <c r="AD216" s="35">
        <f>H216</f>
        <v>0</v>
      </c>
      <c r="AE216" s="35">
        <f>I216</f>
        <v>0</v>
      </c>
      <c r="AF216" s="35">
        <f>IF(AQ216="2",BH216,0)</f>
        <v>0</v>
      </c>
      <c r="AG216" s="35">
        <f>IF(AQ216="2",BI216,0)</f>
        <v>0</v>
      </c>
      <c r="AH216" s="35">
        <f>IF(AQ216="0",BJ216,0)</f>
        <v>0</v>
      </c>
      <c r="AI216" s="10" t="s">
        <v>161</v>
      </c>
      <c r="AJ216" s="50">
        <f>IF(AN216=0,J216,0)</f>
        <v>0</v>
      </c>
      <c r="AK216" s="50">
        <f>IF(AN216=15,J216,0)</f>
        <v>0</v>
      </c>
      <c r="AL216" s="50">
        <f>IF(AN216=21,J216,0)</f>
        <v>0</v>
      </c>
      <c r="AN216" s="35">
        <v>21</v>
      </c>
      <c r="AO216" s="35">
        <f>G216*1</f>
        <v>0</v>
      </c>
      <c r="AP216" s="35">
        <f>G216*(1-1)</f>
        <v>0</v>
      </c>
      <c r="AQ216" s="52" t="s">
        <v>12</v>
      </c>
      <c r="AV216" s="35">
        <f>AW216+AX216</f>
        <v>0</v>
      </c>
      <c r="AW216" s="35">
        <f>F216*AO216</f>
        <v>0</v>
      </c>
      <c r="AX216" s="35">
        <f>F216*AP216</f>
        <v>0</v>
      </c>
      <c r="AY216" s="37" t="s">
        <v>704</v>
      </c>
      <c r="AZ216" s="37" t="s">
        <v>715</v>
      </c>
      <c r="BA216" s="10" t="s">
        <v>721</v>
      </c>
      <c r="BC216" s="35">
        <f>AW216+AX216</f>
        <v>0</v>
      </c>
      <c r="BD216" s="35">
        <f>G216/(100-BE216)*100</f>
        <v>0</v>
      </c>
      <c r="BE216" s="35">
        <v>0</v>
      </c>
      <c r="BF216" s="35">
        <f>L216</f>
        <v>0.164</v>
      </c>
      <c r="BH216" s="50">
        <f>F216*AO216</f>
        <v>0</v>
      </c>
      <c r="BI216" s="50">
        <f>F216*AP216</f>
        <v>0</v>
      </c>
      <c r="BJ216" s="50">
        <f>F216*G216</f>
        <v>0</v>
      </c>
      <c r="BK216" s="50" t="s">
        <v>729</v>
      </c>
      <c r="BL216" s="35">
        <v>766</v>
      </c>
    </row>
    <row r="217" spans="1:14" ht="12.75">
      <c r="A217" s="2"/>
      <c r="D217" s="38" t="s">
        <v>529</v>
      </c>
      <c r="F217" s="39">
        <v>2</v>
      </c>
      <c r="M217" s="40"/>
      <c r="N217" s="2"/>
    </row>
    <row r="218" spans="1:64" ht="12.75">
      <c r="A218" s="48" t="s">
        <v>97</v>
      </c>
      <c r="B218" s="49" t="s">
        <v>161</v>
      </c>
      <c r="C218" s="49" t="s">
        <v>266</v>
      </c>
      <c r="D218" s="49" t="s">
        <v>530</v>
      </c>
      <c r="E218" s="49" t="s">
        <v>652</v>
      </c>
      <c r="F218" s="50">
        <v>7</v>
      </c>
      <c r="G218" s="33">
        <f>J218/F218</f>
        <v>0</v>
      </c>
      <c r="H218" s="61">
        <v>0</v>
      </c>
      <c r="I218" s="61">
        <v>0</v>
      </c>
      <c r="J218" s="33">
        <f>H218+I218</f>
        <v>0</v>
      </c>
      <c r="K218" s="50">
        <v>0.084</v>
      </c>
      <c r="L218" s="50">
        <f>F218*K218</f>
        <v>0.5880000000000001</v>
      </c>
      <c r="M218" s="51" t="s">
        <v>681</v>
      </c>
      <c r="N218" s="2"/>
      <c r="Z218" s="35">
        <f>IF(AQ218="5",BJ218,0)</f>
        <v>0</v>
      </c>
      <c r="AB218" s="35">
        <f>IF(AQ218="1",BH218,0)</f>
        <v>0</v>
      </c>
      <c r="AC218" s="35">
        <f>IF(AQ218="1",BI218,0)</f>
        <v>0</v>
      </c>
      <c r="AD218" s="35">
        <f>H218</f>
        <v>0</v>
      </c>
      <c r="AE218" s="35">
        <f>I218</f>
        <v>0</v>
      </c>
      <c r="AF218" s="35">
        <f>IF(AQ218="2",BH218,0)</f>
        <v>0</v>
      </c>
      <c r="AG218" s="35">
        <f>IF(AQ218="2",BI218,0)</f>
        <v>0</v>
      </c>
      <c r="AH218" s="35">
        <f>IF(AQ218="0",BJ218,0)</f>
        <v>0</v>
      </c>
      <c r="AI218" s="10" t="s">
        <v>161</v>
      </c>
      <c r="AJ218" s="50">
        <f>IF(AN218=0,J218,0)</f>
        <v>0</v>
      </c>
      <c r="AK218" s="50">
        <f>IF(AN218=15,J218,0)</f>
        <v>0</v>
      </c>
      <c r="AL218" s="50">
        <f>IF(AN218=21,J218,0)</f>
        <v>0</v>
      </c>
      <c r="AN218" s="35">
        <v>21</v>
      </c>
      <c r="AO218" s="35">
        <f>G218*1</f>
        <v>0</v>
      </c>
      <c r="AP218" s="35">
        <f>G218*(1-1)</f>
        <v>0</v>
      </c>
      <c r="AQ218" s="52" t="s">
        <v>12</v>
      </c>
      <c r="AV218" s="35">
        <f>AW218+AX218</f>
        <v>0</v>
      </c>
      <c r="AW218" s="35">
        <f>F218*AO218</f>
        <v>0</v>
      </c>
      <c r="AX218" s="35">
        <f>F218*AP218</f>
        <v>0</v>
      </c>
      <c r="AY218" s="37" t="s">
        <v>704</v>
      </c>
      <c r="AZ218" s="37" t="s">
        <v>715</v>
      </c>
      <c r="BA218" s="10" t="s">
        <v>721</v>
      </c>
      <c r="BC218" s="35">
        <f>AW218+AX218</f>
        <v>0</v>
      </c>
      <c r="BD218" s="35">
        <f>G218/(100-BE218)*100</f>
        <v>0</v>
      </c>
      <c r="BE218" s="35">
        <v>0</v>
      </c>
      <c r="BF218" s="35">
        <f>L218</f>
        <v>0.5880000000000001</v>
      </c>
      <c r="BH218" s="50">
        <f>F218*AO218</f>
        <v>0</v>
      </c>
      <c r="BI218" s="50">
        <f>F218*AP218</f>
        <v>0</v>
      </c>
      <c r="BJ218" s="50">
        <f>F218*G218</f>
        <v>0</v>
      </c>
      <c r="BK218" s="50" t="s">
        <v>729</v>
      </c>
      <c r="BL218" s="35">
        <v>766</v>
      </c>
    </row>
    <row r="219" spans="1:14" ht="12.75">
      <c r="A219" s="2"/>
      <c r="D219" s="38" t="s">
        <v>531</v>
      </c>
      <c r="F219" s="39">
        <v>7</v>
      </c>
      <c r="M219" s="40"/>
      <c r="N219" s="2"/>
    </row>
    <row r="220" spans="1:64" ht="12.75">
      <c r="A220" s="48" t="s">
        <v>98</v>
      </c>
      <c r="B220" s="49" t="s">
        <v>161</v>
      </c>
      <c r="C220" s="49" t="s">
        <v>267</v>
      </c>
      <c r="D220" s="49" t="s">
        <v>532</v>
      </c>
      <c r="E220" s="49" t="s">
        <v>652</v>
      </c>
      <c r="F220" s="50">
        <v>1</v>
      </c>
      <c r="G220" s="33">
        <f>J220/F220</f>
        <v>0</v>
      </c>
      <c r="H220" s="61">
        <v>0</v>
      </c>
      <c r="I220" s="61">
        <v>0</v>
      </c>
      <c r="J220" s="33">
        <f>H220+I220</f>
        <v>0</v>
      </c>
      <c r="K220" s="50">
        <v>0.077</v>
      </c>
      <c r="L220" s="50">
        <f>F220*K220</f>
        <v>0.077</v>
      </c>
      <c r="M220" s="51" t="s">
        <v>681</v>
      </c>
      <c r="N220" s="2"/>
      <c r="Z220" s="35">
        <f>IF(AQ220="5",BJ220,0)</f>
        <v>0</v>
      </c>
      <c r="AB220" s="35">
        <f>IF(AQ220="1",BH220,0)</f>
        <v>0</v>
      </c>
      <c r="AC220" s="35">
        <f>IF(AQ220="1",BI220,0)</f>
        <v>0</v>
      </c>
      <c r="AD220" s="35">
        <f>H220</f>
        <v>0</v>
      </c>
      <c r="AE220" s="35">
        <f>I220</f>
        <v>0</v>
      </c>
      <c r="AF220" s="35">
        <f>IF(AQ220="2",BH220,0)</f>
        <v>0</v>
      </c>
      <c r="AG220" s="35">
        <f>IF(AQ220="2",BI220,0)</f>
        <v>0</v>
      </c>
      <c r="AH220" s="35">
        <f>IF(AQ220="0",BJ220,0)</f>
        <v>0</v>
      </c>
      <c r="AI220" s="10" t="s">
        <v>161</v>
      </c>
      <c r="AJ220" s="50">
        <f>IF(AN220=0,J220,0)</f>
        <v>0</v>
      </c>
      <c r="AK220" s="50">
        <f>IF(AN220=15,J220,0)</f>
        <v>0</v>
      </c>
      <c r="AL220" s="50">
        <f>IF(AN220=21,J220,0)</f>
        <v>0</v>
      </c>
      <c r="AN220" s="35">
        <v>21</v>
      </c>
      <c r="AO220" s="35">
        <f>G220*1</f>
        <v>0</v>
      </c>
      <c r="AP220" s="35">
        <f>G220*(1-1)</f>
        <v>0</v>
      </c>
      <c r="AQ220" s="52" t="s">
        <v>12</v>
      </c>
      <c r="AV220" s="35">
        <f>AW220+AX220</f>
        <v>0</v>
      </c>
      <c r="AW220" s="35">
        <f>F220*AO220</f>
        <v>0</v>
      </c>
      <c r="AX220" s="35">
        <f>F220*AP220</f>
        <v>0</v>
      </c>
      <c r="AY220" s="37" t="s">
        <v>704</v>
      </c>
      <c r="AZ220" s="37" t="s">
        <v>715</v>
      </c>
      <c r="BA220" s="10" t="s">
        <v>721</v>
      </c>
      <c r="BC220" s="35">
        <f>AW220+AX220</f>
        <v>0</v>
      </c>
      <c r="BD220" s="35">
        <f>G220/(100-BE220)*100</f>
        <v>0</v>
      </c>
      <c r="BE220" s="35">
        <v>0</v>
      </c>
      <c r="BF220" s="35">
        <f>L220</f>
        <v>0.077</v>
      </c>
      <c r="BH220" s="50">
        <f>F220*AO220</f>
        <v>0</v>
      </c>
      <c r="BI220" s="50">
        <f>F220*AP220</f>
        <v>0</v>
      </c>
      <c r="BJ220" s="50">
        <f>F220*G220</f>
        <v>0</v>
      </c>
      <c r="BK220" s="50" t="s">
        <v>729</v>
      </c>
      <c r="BL220" s="35">
        <v>766</v>
      </c>
    </row>
    <row r="221" spans="1:14" ht="12.75">
      <c r="A221" s="2"/>
      <c r="D221" s="38" t="s">
        <v>533</v>
      </c>
      <c r="F221" s="39">
        <v>1</v>
      </c>
      <c r="M221" s="40"/>
      <c r="N221" s="2"/>
    </row>
    <row r="222" spans="1:64" ht="12.75">
      <c r="A222" s="48" t="s">
        <v>99</v>
      </c>
      <c r="B222" s="49" t="s">
        <v>161</v>
      </c>
      <c r="C222" s="49" t="s">
        <v>268</v>
      </c>
      <c r="D222" s="49" t="s">
        <v>534</v>
      </c>
      <c r="E222" s="49" t="s">
        <v>652</v>
      </c>
      <c r="F222" s="50">
        <v>1</v>
      </c>
      <c r="G222" s="33">
        <f>J222/F222</f>
        <v>0</v>
      </c>
      <c r="H222" s="61">
        <v>0</v>
      </c>
      <c r="I222" s="61">
        <v>0</v>
      </c>
      <c r="J222" s="33">
        <f>H222+I222</f>
        <v>0</v>
      </c>
      <c r="K222" s="50">
        <v>0.081</v>
      </c>
      <c r="L222" s="50">
        <f>F222*K222</f>
        <v>0.081</v>
      </c>
      <c r="M222" s="51" t="s">
        <v>681</v>
      </c>
      <c r="N222" s="2"/>
      <c r="Z222" s="35">
        <f>IF(AQ222="5",BJ222,0)</f>
        <v>0</v>
      </c>
      <c r="AB222" s="35">
        <f>IF(AQ222="1",BH222,0)</f>
        <v>0</v>
      </c>
      <c r="AC222" s="35">
        <f>IF(AQ222="1",BI222,0)</f>
        <v>0</v>
      </c>
      <c r="AD222" s="35">
        <f>H222</f>
        <v>0</v>
      </c>
      <c r="AE222" s="35">
        <f>I222</f>
        <v>0</v>
      </c>
      <c r="AF222" s="35">
        <f>IF(AQ222="2",BH222,0)</f>
        <v>0</v>
      </c>
      <c r="AG222" s="35">
        <f>IF(AQ222="2",BI222,0)</f>
        <v>0</v>
      </c>
      <c r="AH222" s="35">
        <f>IF(AQ222="0",BJ222,0)</f>
        <v>0</v>
      </c>
      <c r="AI222" s="10" t="s">
        <v>161</v>
      </c>
      <c r="AJ222" s="50">
        <f>IF(AN222=0,J222,0)</f>
        <v>0</v>
      </c>
      <c r="AK222" s="50">
        <f>IF(AN222=15,J222,0)</f>
        <v>0</v>
      </c>
      <c r="AL222" s="50">
        <f>IF(AN222=21,J222,0)</f>
        <v>0</v>
      </c>
      <c r="AN222" s="35">
        <v>21</v>
      </c>
      <c r="AO222" s="35">
        <f>G222*1</f>
        <v>0</v>
      </c>
      <c r="AP222" s="35">
        <f>G222*(1-1)</f>
        <v>0</v>
      </c>
      <c r="AQ222" s="52" t="s">
        <v>12</v>
      </c>
      <c r="AV222" s="35">
        <f>AW222+AX222</f>
        <v>0</v>
      </c>
      <c r="AW222" s="35">
        <f>F222*AO222</f>
        <v>0</v>
      </c>
      <c r="AX222" s="35">
        <f>F222*AP222</f>
        <v>0</v>
      </c>
      <c r="AY222" s="37" t="s">
        <v>704</v>
      </c>
      <c r="AZ222" s="37" t="s">
        <v>715</v>
      </c>
      <c r="BA222" s="10" t="s">
        <v>721</v>
      </c>
      <c r="BC222" s="35">
        <f>AW222+AX222</f>
        <v>0</v>
      </c>
      <c r="BD222" s="35">
        <f>G222/(100-BE222)*100</f>
        <v>0</v>
      </c>
      <c r="BE222" s="35">
        <v>0</v>
      </c>
      <c r="BF222" s="35">
        <f>L222</f>
        <v>0.081</v>
      </c>
      <c r="BH222" s="50">
        <f>F222*AO222</f>
        <v>0</v>
      </c>
      <c r="BI222" s="50">
        <f>F222*AP222</f>
        <v>0</v>
      </c>
      <c r="BJ222" s="50">
        <f>F222*G222</f>
        <v>0</v>
      </c>
      <c r="BK222" s="50" t="s">
        <v>729</v>
      </c>
      <c r="BL222" s="35">
        <v>766</v>
      </c>
    </row>
    <row r="223" spans="1:14" ht="12.75">
      <c r="A223" s="2"/>
      <c r="D223" s="38" t="s">
        <v>535</v>
      </c>
      <c r="F223" s="39">
        <v>1</v>
      </c>
      <c r="M223" s="40"/>
      <c r="N223" s="2"/>
    </row>
    <row r="224" spans="1:64" ht="12.75">
      <c r="A224" s="48" t="s">
        <v>100</v>
      </c>
      <c r="B224" s="49" t="s">
        <v>161</v>
      </c>
      <c r="C224" s="49" t="s">
        <v>269</v>
      </c>
      <c r="D224" s="49" t="s">
        <v>536</v>
      </c>
      <c r="E224" s="49" t="s">
        <v>652</v>
      </c>
      <c r="F224" s="50">
        <v>2</v>
      </c>
      <c r="G224" s="33">
        <f>J224/F224</f>
        <v>0</v>
      </c>
      <c r="H224" s="61">
        <v>0</v>
      </c>
      <c r="I224" s="61">
        <v>0</v>
      </c>
      <c r="J224" s="33">
        <f>H224+I224</f>
        <v>0</v>
      </c>
      <c r="K224" s="50">
        <v>0.112</v>
      </c>
      <c r="L224" s="50">
        <f>F224*K224</f>
        <v>0.224</v>
      </c>
      <c r="M224" s="51" t="s">
        <v>681</v>
      </c>
      <c r="N224" s="2"/>
      <c r="Z224" s="35">
        <f>IF(AQ224="5",BJ224,0)</f>
        <v>0</v>
      </c>
      <c r="AB224" s="35">
        <f>IF(AQ224="1",BH224,0)</f>
        <v>0</v>
      </c>
      <c r="AC224" s="35">
        <f>IF(AQ224="1",BI224,0)</f>
        <v>0</v>
      </c>
      <c r="AD224" s="35">
        <f>H224</f>
        <v>0</v>
      </c>
      <c r="AE224" s="35">
        <f>I224</f>
        <v>0</v>
      </c>
      <c r="AF224" s="35">
        <f>IF(AQ224="2",BH224,0)</f>
        <v>0</v>
      </c>
      <c r="AG224" s="35">
        <f>IF(AQ224="2",BI224,0)</f>
        <v>0</v>
      </c>
      <c r="AH224" s="35">
        <f>IF(AQ224="0",BJ224,0)</f>
        <v>0</v>
      </c>
      <c r="AI224" s="10" t="s">
        <v>161</v>
      </c>
      <c r="AJ224" s="50">
        <f>IF(AN224=0,J224,0)</f>
        <v>0</v>
      </c>
      <c r="AK224" s="50">
        <f>IF(AN224=15,J224,0)</f>
        <v>0</v>
      </c>
      <c r="AL224" s="50">
        <f>IF(AN224=21,J224,0)</f>
        <v>0</v>
      </c>
      <c r="AN224" s="35">
        <v>21</v>
      </c>
      <c r="AO224" s="35">
        <f>G224*1</f>
        <v>0</v>
      </c>
      <c r="AP224" s="35">
        <f>G224*(1-1)</f>
        <v>0</v>
      </c>
      <c r="AQ224" s="52" t="s">
        <v>12</v>
      </c>
      <c r="AV224" s="35">
        <f>AW224+AX224</f>
        <v>0</v>
      </c>
      <c r="AW224" s="35">
        <f>F224*AO224</f>
        <v>0</v>
      </c>
      <c r="AX224" s="35">
        <f>F224*AP224</f>
        <v>0</v>
      </c>
      <c r="AY224" s="37" t="s">
        <v>704</v>
      </c>
      <c r="AZ224" s="37" t="s">
        <v>715</v>
      </c>
      <c r="BA224" s="10" t="s">
        <v>721</v>
      </c>
      <c r="BC224" s="35">
        <f>AW224+AX224</f>
        <v>0</v>
      </c>
      <c r="BD224" s="35">
        <f>G224/(100-BE224)*100</f>
        <v>0</v>
      </c>
      <c r="BE224" s="35">
        <v>0</v>
      </c>
      <c r="BF224" s="35">
        <f>L224</f>
        <v>0.224</v>
      </c>
      <c r="BH224" s="50">
        <f>F224*AO224</f>
        <v>0</v>
      </c>
      <c r="BI224" s="50">
        <f>F224*AP224</f>
        <v>0</v>
      </c>
      <c r="BJ224" s="50">
        <f>F224*G224</f>
        <v>0</v>
      </c>
      <c r="BK224" s="50" t="s">
        <v>729</v>
      </c>
      <c r="BL224" s="35">
        <v>766</v>
      </c>
    </row>
    <row r="225" spans="1:14" ht="12.75">
      <c r="A225" s="2"/>
      <c r="D225" s="38" t="s">
        <v>537</v>
      </c>
      <c r="F225" s="39">
        <v>2</v>
      </c>
      <c r="M225" s="40"/>
      <c r="N225" s="2"/>
    </row>
    <row r="226" spans="1:64" ht="12.75">
      <c r="A226" s="48" t="s">
        <v>101</v>
      </c>
      <c r="B226" s="49" t="s">
        <v>161</v>
      </c>
      <c r="C226" s="49" t="s">
        <v>270</v>
      </c>
      <c r="D226" s="49" t="s">
        <v>538</v>
      </c>
      <c r="E226" s="49" t="s">
        <v>652</v>
      </c>
      <c r="F226" s="50">
        <v>3</v>
      </c>
      <c r="G226" s="33">
        <f>J226/F226</f>
        <v>0</v>
      </c>
      <c r="H226" s="61">
        <v>0</v>
      </c>
      <c r="I226" s="61">
        <v>0</v>
      </c>
      <c r="J226" s="33">
        <f>H226+I226</f>
        <v>0</v>
      </c>
      <c r="K226" s="50">
        <v>0.101</v>
      </c>
      <c r="L226" s="50">
        <f>F226*K226</f>
        <v>0.30300000000000005</v>
      </c>
      <c r="M226" s="51" t="s">
        <v>681</v>
      </c>
      <c r="N226" s="2"/>
      <c r="Z226" s="35">
        <f>IF(AQ226="5",BJ226,0)</f>
        <v>0</v>
      </c>
      <c r="AB226" s="35">
        <f>IF(AQ226="1",BH226,0)</f>
        <v>0</v>
      </c>
      <c r="AC226" s="35">
        <f>IF(AQ226="1",BI226,0)</f>
        <v>0</v>
      </c>
      <c r="AD226" s="35">
        <f>H226</f>
        <v>0</v>
      </c>
      <c r="AE226" s="35">
        <f>I226</f>
        <v>0</v>
      </c>
      <c r="AF226" s="35">
        <f>IF(AQ226="2",BH226,0)</f>
        <v>0</v>
      </c>
      <c r="AG226" s="35">
        <f>IF(AQ226="2",BI226,0)</f>
        <v>0</v>
      </c>
      <c r="AH226" s="35">
        <f>IF(AQ226="0",BJ226,0)</f>
        <v>0</v>
      </c>
      <c r="AI226" s="10" t="s">
        <v>161</v>
      </c>
      <c r="AJ226" s="50">
        <f>IF(AN226=0,J226,0)</f>
        <v>0</v>
      </c>
      <c r="AK226" s="50">
        <f>IF(AN226=15,J226,0)</f>
        <v>0</v>
      </c>
      <c r="AL226" s="50">
        <f>IF(AN226=21,J226,0)</f>
        <v>0</v>
      </c>
      <c r="AN226" s="35">
        <v>21</v>
      </c>
      <c r="AO226" s="35">
        <f>G226*1</f>
        <v>0</v>
      </c>
      <c r="AP226" s="35">
        <f>G226*(1-1)</f>
        <v>0</v>
      </c>
      <c r="AQ226" s="52" t="s">
        <v>12</v>
      </c>
      <c r="AV226" s="35">
        <f>AW226+AX226</f>
        <v>0</v>
      </c>
      <c r="AW226" s="35">
        <f>F226*AO226</f>
        <v>0</v>
      </c>
      <c r="AX226" s="35">
        <f>F226*AP226</f>
        <v>0</v>
      </c>
      <c r="AY226" s="37" t="s">
        <v>704</v>
      </c>
      <c r="AZ226" s="37" t="s">
        <v>715</v>
      </c>
      <c r="BA226" s="10" t="s">
        <v>721</v>
      </c>
      <c r="BC226" s="35">
        <f>AW226+AX226</f>
        <v>0</v>
      </c>
      <c r="BD226" s="35">
        <f>G226/(100-BE226)*100</f>
        <v>0</v>
      </c>
      <c r="BE226" s="35">
        <v>0</v>
      </c>
      <c r="BF226" s="35">
        <f>L226</f>
        <v>0.30300000000000005</v>
      </c>
      <c r="BH226" s="50">
        <f>F226*AO226</f>
        <v>0</v>
      </c>
      <c r="BI226" s="50">
        <f>F226*AP226</f>
        <v>0</v>
      </c>
      <c r="BJ226" s="50">
        <f>F226*G226</f>
        <v>0</v>
      </c>
      <c r="BK226" s="50" t="s">
        <v>729</v>
      </c>
      <c r="BL226" s="35">
        <v>766</v>
      </c>
    </row>
    <row r="227" spans="1:14" ht="12.75">
      <c r="A227" s="2"/>
      <c r="D227" s="38" t="s">
        <v>539</v>
      </c>
      <c r="F227" s="39">
        <v>3</v>
      </c>
      <c r="M227" s="40"/>
      <c r="N227" s="2"/>
    </row>
    <row r="228" spans="1:64" ht="12.75">
      <c r="A228" s="31" t="s">
        <v>102</v>
      </c>
      <c r="B228" s="32" t="s">
        <v>161</v>
      </c>
      <c r="C228" s="32" t="s">
        <v>271</v>
      </c>
      <c r="D228" s="32" t="s">
        <v>540</v>
      </c>
      <c r="E228" s="32" t="s">
        <v>650</v>
      </c>
      <c r="F228" s="33">
        <v>222.915</v>
      </c>
      <c r="G228" s="33">
        <f>J228/F228</f>
        <v>0</v>
      </c>
      <c r="H228" s="61">
        <v>0</v>
      </c>
      <c r="I228" s="61">
        <v>0</v>
      </c>
      <c r="J228" s="33">
        <f>H228+I228</f>
        <v>0</v>
      </c>
      <c r="K228" s="33">
        <v>0.00372</v>
      </c>
      <c r="L228" s="33">
        <f>F228*K228</f>
        <v>0.8292438</v>
      </c>
      <c r="M228" s="34" t="s">
        <v>680</v>
      </c>
      <c r="N228" s="2"/>
      <c r="Z228" s="35">
        <f>IF(AQ228="5",BJ228,0)</f>
        <v>0</v>
      </c>
      <c r="AB228" s="35">
        <f>IF(AQ228="1",BH228,0)</f>
        <v>0</v>
      </c>
      <c r="AC228" s="35">
        <f>IF(AQ228="1",BI228,0)</f>
        <v>0</v>
      </c>
      <c r="AD228" s="35">
        <f>H228</f>
        <v>0</v>
      </c>
      <c r="AE228" s="35">
        <f>I228</f>
        <v>0</v>
      </c>
      <c r="AF228" s="35">
        <f>IF(AQ228="2",BH228,0)</f>
        <v>0</v>
      </c>
      <c r="AG228" s="35">
        <f>IF(AQ228="2",BI228,0)</f>
        <v>0</v>
      </c>
      <c r="AH228" s="35">
        <f>IF(AQ228="0",BJ228,0)</f>
        <v>0</v>
      </c>
      <c r="AI228" s="10" t="s">
        <v>161</v>
      </c>
      <c r="AJ228" s="33">
        <f>IF(AN228=0,J228,0)</f>
        <v>0</v>
      </c>
      <c r="AK228" s="33">
        <f>IF(AN228=15,J228,0)</f>
        <v>0</v>
      </c>
      <c r="AL228" s="33">
        <f>IF(AN228=21,J228,0)</f>
        <v>0</v>
      </c>
      <c r="AN228" s="35">
        <v>21</v>
      </c>
      <c r="AO228" s="35">
        <f>G228*0.606334628760746</f>
        <v>0</v>
      </c>
      <c r="AP228" s="35">
        <f>G228*(1-0.606334628760746)</f>
        <v>0</v>
      </c>
      <c r="AQ228" s="36" t="s">
        <v>12</v>
      </c>
      <c r="AV228" s="35">
        <f>AW228+AX228</f>
        <v>0</v>
      </c>
      <c r="AW228" s="35">
        <f>F228*AO228</f>
        <v>0</v>
      </c>
      <c r="AX228" s="35">
        <f>F228*AP228</f>
        <v>0</v>
      </c>
      <c r="AY228" s="37" t="s">
        <v>704</v>
      </c>
      <c r="AZ228" s="37" t="s">
        <v>715</v>
      </c>
      <c r="BA228" s="10" t="s">
        <v>721</v>
      </c>
      <c r="BC228" s="35">
        <f>AW228+AX228</f>
        <v>0</v>
      </c>
      <c r="BD228" s="35">
        <f>G228/(100-BE228)*100</f>
        <v>0</v>
      </c>
      <c r="BE228" s="35">
        <v>0</v>
      </c>
      <c r="BF228" s="35">
        <f>L228</f>
        <v>0.8292438</v>
      </c>
      <c r="BH228" s="33">
        <f>F228*AO228</f>
        <v>0</v>
      </c>
      <c r="BI228" s="33">
        <f>F228*AP228</f>
        <v>0</v>
      </c>
      <c r="BJ228" s="33">
        <f>F228*G228</f>
        <v>0</v>
      </c>
      <c r="BK228" s="33" t="s">
        <v>728</v>
      </c>
      <c r="BL228" s="35">
        <v>766</v>
      </c>
    </row>
    <row r="229" spans="1:14" ht="12.75">
      <c r="A229" s="2"/>
      <c r="D229" s="38" t="s">
        <v>541</v>
      </c>
      <c r="F229" s="39">
        <v>222.915</v>
      </c>
      <c r="M229" s="40"/>
      <c r="N229" s="2"/>
    </row>
    <row r="230" spans="1:64" ht="12.75">
      <c r="A230" s="31" t="s">
        <v>103</v>
      </c>
      <c r="B230" s="32" t="s">
        <v>161</v>
      </c>
      <c r="C230" s="32" t="s">
        <v>272</v>
      </c>
      <c r="D230" s="32" t="s">
        <v>542</v>
      </c>
      <c r="E230" s="32" t="s">
        <v>654</v>
      </c>
      <c r="F230" s="33">
        <v>7.8438</v>
      </c>
      <c r="G230" s="33">
        <f>J230/F230</f>
        <v>0</v>
      </c>
      <c r="H230" s="61">
        <v>0</v>
      </c>
      <c r="I230" s="61">
        <v>0</v>
      </c>
      <c r="J230" s="33">
        <f>H230+I230</f>
        <v>0</v>
      </c>
      <c r="K230" s="33">
        <v>0</v>
      </c>
      <c r="L230" s="33">
        <f>F230*K230</f>
        <v>0</v>
      </c>
      <c r="M230" s="34" t="s">
        <v>680</v>
      </c>
      <c r="N230" s="2"/>
      <c r="Z230" s="35">
        <f>H230+I230</f>
        <v>0</v>
      </c>
      <c r="AB230" s="35">
        <f>IF(AQ230="1",BH230,0)</f>
        <v>0</v>
      </c>
      <c r="AC230" s="35">
        <f>IF(AQ230="1",BI230,0)</f>
        <v>0</v>
      </c>
      <c r="AD230" s="35">
        <f>IF(AQ230="7",BH230,0)</f>
        <v>0</v>
      </c>
      <c r="AE230" s="35">
        <f>IF(AQ230="7",BI230,0)</f>
        <v>0</v>
      </c>
      <c r="AF230" s="35">
        <f>IF(AQ230="2",BH230,0)</f>
        <v>0</v>
      </c>
      <c r="AG230" s="35">
        <f>IF(AQ230="2",BI230,0)</f>
        <v>0</v>
      </c>
      <c r="AH230" s="35">
        <f>IF(AQ230="0",BJ230,0)</f>
        <v>0</v>
      </c>
      <c r="AI230" s="10" t="s">
        <v>161</v>
      </c>
      <c r="AJ230" s="33">
        <f>IF(AN230=0,J230,0)</f>
        <v>0</v>
      </c>
      <c r="AK230" s="33">
        <f>IF(AN230=15,J230,0)</f>
        <v>0</v>
      </c>
      <c r="AL230" s="33">
        <f>IF(AN230=21,J230,0)</f>
        <v>0</v>
      </c>
      <c r="AN230" s="35">
        <v>21</v>
      </c>
      <c r="AO230" s="35">
        <f>G230*0</f>
        <v>0</v>
      </c>
      <c r="AP230" s="35">
        <f>G230*(1-0)</f>
        <v>0</v>
      </c>
      <c r="AQ230" s="36" t="s">
        <v>10</v>
      </c>
      <c r="AV230" s="35">
        <f>AW230+AX230</f>
        <v>0</v>
      </c>
      <c r="AW230" s="35">
        <f>F230*AO230</f>
        <v>0</v>
      </c>
      <c r="AX230" s="35">
        <f>F230*AP230</f>
        <v>0</v>
      </c>
      <c r="AY230" s="37" t="s">
        <v>704</v>
      </c>
      <c r="AZ230" s="37" t="s">
        <v>715</v>
      </c>
      <c r="BA230" s="10" t="s">
        <v>721</v>
      </c>
      <c r="BC230" s="35">
        <f>AW230+AX230</f>
        <v>0</v>
      </c>
      <c r="BD230" s="35">
        <f>G230/(100-BE230)*100</f>
        <v>0</v>
      </c>
      <c r="BE230" s="35">
        <v>0</v>
      </c>
      <c r="BF230" s="35">
        <f>L230</f>
        <v>0</v>
      </c>
      <c r="BH230" s="33">
        <f>F230*AO230</f>
        <v>0</v>
      </c>
      <c r="BI230" s="33">
        <f>F230*AP230</f>
        <v>0</v>
      </c>
      <c r="BJ230" s="33">
        <f>F230*G230</f>
        <v>0</v>
      </c>
      <c r="BK230" s="33" t="s">
        <v>728</v>
      </c>
      <c r="BL230" s="35">
        <v>766</v>
      </c>
    </row>
    <row r="231" spans="1:14" ht="12.75">
      <c r="A231" s="2"/>
      <c r="D231" s="38" t="s">
        <v>543</v>
      </c>
      <c r="F231" s="39">
        <v>7.8438</v>
      </c>
      <c r="M231" s="40"/>
      <c r="N231" s="2"/>
    </row>
    <row r="232" spans="1:47" ht="12.75">
      <c r="A232" s="26"/>
      <c r="B232" s="27" t="s">
        <v>161</v>
      </c>
      <c r="C232" s="27" t="s">
        <v>175</v>
      </c>
      <c r="D232" s="27" t="s">
        <v>349</v>
      </c>
      <c r="E232" s="28" t="s">
        <v>5</v>
      </c>
      <c r="F232" s="28" t="s">
        <v>5</v>
      </c>
      <c r="G232" s="28" t="s">
        <v>5</v>
      </c>
      <c r="H232" s="29">
        <f>SUM(H233:H261)</f>
        <v>0</v>
      </c>
      <c r="I232" s="29">
        <f>SUM(I233:I261)</f>
        <v>0</v>
      </c>
      <c r="J232" s="29">
        <f>SUM(J233:J261)</f>
        <v>0</v>
      </c>
      <c r="K232" s="10"/>
      <c r="L232" s="29">
        <f>SUM(L233:L261)</f>
        <v>10.023092744600001</v>
      </c>
      <c r="M232" s="30"/>
      <c r="N232" s="2"/>
      <c r="AI232" s="10" t="s">
        <v>161</v>
      </c>
      <c r="AS232" s="29">
        <f>SUM(AJ233:AJ261)</f>
        <v>0</v>
      </c>
      <c r="AT232" s="29">
        <f>SUM(AK233:AK261)</f>
        <v>0</v>
      </c>
      <c r="AU232" s="29">
        <f>SUM(AL233:AL261)</f>
        <v>0</v>
      </c>
    </row>
    <row r="233" spans="1:64" ht="12.75">
      <c r="A233" s="31" t="s">
        <v>104</v>
      </c>
      <c r="B233" s="32" t="s">
        <v>161</v>
      </c>
      <c r="C233" s="32" t="s">
        <v>273</v>
      </c>
      <c r="D233" s="32" t="s">
        <v>544</v>
      </c>
      <c r="E233" s="32" t="s">
        <v>652</v>
      </c>
      <c r="F233" s="33">
        <v>4</v>
      </c>
      <c r="G233" s="33">
        <f>J233/F233</f>
        <v>0</v>
      </c>
      <c r="H233" s="61">
        <v>0</v>
      </c>
      <c r="I233" s="61">
        <v>0</v>
      </c>
      <c r="J233" s="33">
        <f>H233+I233</f>
        <v>0</v>
      </c>
      <c r="K233" s="33">
        <v>0.00205</v>
      </c>
      <c r="L233" s="33">
        <f>F233*K233</f>
        <v>0.0082</v>
      </c>
      <c r="M233" s="34" t="s">
        <v>680</v>
      </c>
      <c r="N233" s="2"/>
      <c r="Z233" s="35">
        <f>IF(AQ233="5",BJ233,0)</f>
        <v>0</v>
      </c>
      <c r="AB233" s="35">
        <f>IF(AQ233="1",BH233,0)</f>
        <v>0</v>
      </c>
      <c r="AC233" s="35">
        <f>IF(AQ233="1",BI233,0)</f>
        <v>0</v>
      </c>
      <c r="AD233" s="35">
        <f>H233</f>
        <v>0</v>
      </c>
      <c r="AE233" s="35">
        <f>I233</f>
        <v>0</v>
      </c>
      <c r="AF233" s="35">
        <f>IF(AQ233="2",BH233,0)</f>
        <v>0</v>
      </c>
      <c r="AG233" s="35">
        <f>IF(AQ233="2",BI233,0)</f>
        <v>0</v>
      </c>
      <c r="AH233" s="35">
        <f>IF(AQ233="0",BJ233,0)</f>
        <v>0</v>
      </c>
      <c r="AI233" s="10" t="s">
        <v>161</v>
      </c>
      <c r="AJ233" s="33">
        <f>IF(AN233=0,J233,0)</f>
        <v>0</v>
      </c>
      <c r="AK233" s="33">
        <f>IF(AN233=15,J233,0)</f>
        <v>0</v>
      </c>
      <c r="AL233" s="33">
        <f>IF(AN233=21,J233,0)</f>
        <v>0</v>
      </c>
      <c r="AN233" s="35">
        <v>21</v>
      </c>
      <c r="AO233" s="35">
        <f>G233*0.0358339641711301</f>
        <v>0</v>
      </c>
      <c r="AP233" s="35">
        <f>G233*(1-0.0358339641711301)</f>
        <v>0</v>
      </c>
      <c r="AQ233" s="36" t="s">
        <v>12</v>
      </c>
      <c r="AV233" s="35">
        <f>AW233+AX233</f>
        <v>0</v>
      </c>
      <c r="AW233" s="35">
        <f>F233*AO233</f>
        <v>0</v>
      </c>
      <c r="AX233" s="35">
        <f>F233*AP233</f>
        <v>0</v>
      </c>
      <c r="AY233" s="37" t="s">
        <v>693</v>
      </c>
      <c r="AZ233" s="37" t="s">
        <v>715</v>
      </c>
      <c r="BA233" s="10" t="s">
        <v>721</v>
      </c>
      <c r="BC233" s="35">
        <f>AW233+AX233</f>
        <v>0</v>
      </c>
      <c r="BD233" s="35">
        <f>G233/(100-BE233)*100</f>
        <v>0</v>
      </c>
      <c r="BE233" s="35">
        <v>0</v>
      </c>
      <c r="BF233" s="35">
        <f>L233</f>
        <v>0.0082</v>
      </c>
      <c r="BH233" s="33">
        <f>F233*AO233</f>
        <v>0</v>
      </c>
      <c r="BI233" s="33">
        <f>F233*AP233</f>
        <v>0</v>
      </c>
      <c r="BJ233" s="33">
        <f>F233*G233</f>
        <v>0</v>
      </c>
      <c r="BK233" s="33" t="s">
        <v>728</v>
      </c>
      <c r="BL233" s="35">
        <v>767</v>
      </c>
    </row>
    <row r="234" spans="1:14" ht="12.75">
      <c r="A234" s="2"/>
      <c r="D234" s="38" t="s">
        <v>545</v>
      </c>
      <c r="F234" s="39">
        <v>4</v>
      </c>
      <c r="M234" s="40"/>
      <c r="N234" s="2"/>
    </row>
    <row r="235" spans="1:64" ht="12.75">
      <c r="A235" s="48" t="s">
        <v>105</v>
      </c>
      <c r="B235" s="49" t="s">
        <v>161</v>
      </c>
      <c r="C235" s="49" t="s">
        <v>274</v>
      </c>
      <c r="D235" s="49" t="s">
        <v>546</v>
      </c>
      <c r="E235" s="49" t="s">
        <v>652</v>
      </c>
      <c r="F235" s="50">
        <v>3</v>
      </c>
      <c r="G235" s="33">
        <f>J235/F235</f>
        <v>0</v>
      </c>
      <c r="H235" s="61">
        <v>0</v>
      </c>
      <c r="I235" s="61">
        <v>0</v>
      </c>
      <c r="J235" s="33">
        <f>H235+I235</f>
        <v>0</v>
      </c>
      <c r="K235" s="50">
        <v>0.17</v>
      </c>
      <c r="L235" s="50">
        <f>F235*K235</f>
        <v>0.51</v>
      </c>
      <c r="M235" s="51" t="s">
        <v>680</v>
      </c>
      <c r="N235" s="2"/>
      <c r="Z235" s="35">
        <f>IF(AQ235="5",BJ235,0)</f>
        <v>0</v>
      </c>
      <c r="AB235" s="35">
        <f>IF(AQ235="1",BH235,0)</f>
        <v>0</v>
      </c>
      <c r="AC235" s="35">
        <f>IF(AQ235="1",BI235,0)</f>
        <v>0</v>
      </c>
      <c r="AD235" s="35">
        <f>H235</f>
        <v>0</v>
      </c>
      <c r="AE235" s="35">
        <f>I235</f>
        <v>0</v>
      </c>
      <c r="AF235" s="35">
        <f>IF(AQ235="2",BH235,0)</f>
        <v>0</v>
      </c>
      <c r="AG235" s="35">
        <f>IF(AQ235="2",BI235,0)</f>
        <v>0</v>
      </c>
      <c r="AH235" s="35">
        <f>IF(AQ235="0",BJ235,0)</f>
        <v>0</v>
      </c>
      <c r="AI235" s="10" t="s">
        <v>161</v>
      </c>
      <c r="AJ235" s="50">
        <f>IF(AN235=0,J235,0)</f>
        <v>0</v>
      </c>
      <c r="AK235" s="50">
        <f>IF(AN235=15,J235,0)</f>
        <v>0</v>
      </c>
      <c r="AL235" s="50">
        <f>IF(AN235=21,J235,0)</f>
        <v>0</v>
      </c>
      <c r="AN235" s="35">
        <v>21</v>
      </c>
      <c r="AO235" s="35">
        <f>G235*1</f>
        <v>0</v>
      </c>
      <c r="AP235" s="35">
        <f>G235*(1-1)</f>
        <v>0</v>
      </c>
      <c r="AQ235" s="52" t="s">
        <v>12</v>
      </c>
      <c r="AV235" s="35">
        <f>AW235+AX235</f>
        <v>0</v>
      </c>
      <c r="AW235" s="35">
        <f>F235*AO235</f>
        <v>0</v>
      </c>
      <c r="AX235" s="35">
        <f>F235*AP235</f>
        <v>0</v>
      </c>
      <c r="AY235" s="37" t="s">
        <v>693</v>
      </c>
      <c r="AZ235" s="37" t="s">
        <v>715</v>
      </c>
      <c r="BA235" s="10" t="s">
        <v>721</v>
      </c>
      <c r="BC235" s="35">
        <f>AW235+AX235</f>
        <v>0</v>
      </c>
      <c r="BD235" s="35">
        <f>G235/(100-BE235)*100</f>
        <v>0</v>
      </c>
      <c r="BE235" s="35">
        <v>0</v>
      </c>
      <c r="BF235" s="35">
        <f>L235</f>
        <v>0.51</v>
      </c>
      <c r="BH235" s="50">
        <f>F235*AO235</f>
        <v>0</v>
      </c>
      <c r="BI235" s="50">
        <f>F235*AP235</f>
        <v>0</v>
      </c>
      <c r="BJ235" s="50">
        <f>F235*G235</f>
        <v>0</v>
      </c>
      <c r="BK235" s="50" t="s">
        <v>729</v>
      </c>
      <c r="BL235" s="35">
        <v>767</v>
      </c>
    </row>
    <row r="236" spans="1:14" ht="12.75">
      <c r="A236" s="2"/>
      <c r="D236" s="38" t="s">
        <v>547</v>
      </c>
      <c r="F236" s="39">
        <v>3</v>
      </c>
      <c r="M236" s="40"/>
      <c r="N236" s="2"/>
    </row>
    <row r="237" spans="1:64" ht="12.75">
      <c r="A237" s="48" t="s">
        <v>106</v>
      </c>
      <c r="B237" s="49" t="s">
        <v>161</v>
      </c>
      <c r="C237" s="49" t="s">
        <v>274</v>
      </c>
      <c r="D237" s="49" t="s">
        <v>548</v>
      </c>
      <c r="E237" s="49" t="s">
        <v>652</v>
      </c>
      <c r="F237" s="50">
        <v>1</v>
      </c>
      <c r="G237" s="33">
        <f>J237/F237</f>
        <v>0</v>
      </c>
      <c r="H237" s="61">
        <v>0</v>
      </c>
      <c r="I237" s="61">
        <v>0</v>
      </c>
      <c r="J237" s="33">
        <f>H237+I237</f>
        <v>0</v>
      </c>
      <c r="K237" s="50">
        <v>0.17</v>
      </c>
      <c r="L237" s="50">
        <f>F237*K237</f>
        <v>0.17</v>
      </c>
      <c r="M237" s="51" t="s">
        <v>680</v>
      </c>
      <c r="N237" s="2"/>
      <c r="Z237" s="35">
        <f>IF(AQ237="5",BJ237,0)</f>
        <v>0</v>
      </c>
      <c r="AB237" s="35">
        <f>IF(AQ237="1",BH237,0)</f>
        <v>0</v>
      </c>
      <c r="AC237" s="35">
        <f>IF(AQ237="1",BI237,0)</f>
        <v>0</v>
      </c>
      <c r="AD237" s="35">
        <f>H237</f>
        <v>0</v>
      </c>
      <c r="AE237" s="35">
        <f>I237</f>
        <v>0</v>
      </c>
      <c r="AF237" s="35">
        <f>IF(AQ237="2",BH237,0)</f>
        <v>0</v>
      </c>
      <c r="AG237" s="35">
        <f>IF(AQ237="2",BI237,0)</f>
        <v>0</v>
      </c>
      <c r="AH237" s="35">
        <f>IF(AQ237="0",BJ237,0)</f>
        <v>0</v>
      </c>
      <c r="AI237" s="10" t="s">
        <v>161</v>
      </c>
      <c r="AJ237" s="50">
        <f>IF(AN237=0,J237,0)</f>
        <v>0</v>
      </c>
      <c r="AK237" s="50">
        <f>IF(AN237=15,J237,0)</f>
        <v>0</v>
      </c>
      <c r="AL237" s="50">
        <f>IF(AN237=21,J237,0)</f>
        <v>0</v>
      </c>
      <c r="AN237" s="35">
        <v>21</v>
      </c>
      <c r="AO237" s="35">
        <f>G237*1</f>
        <v>0</v>
      </c>
      <c r="AP237" s="35">
        <f>G237*(1-1)</f>
        <v>0</v>
      </c>
      <c r="AQ237" s="52" t="s">
        <v>12</v>
      </c>
      <c r="AV237" s="35">
        <f>AW237+AX237</f>
        <v>0</v>
      </c>
      <c r="AW237" s="35">
        <f>F237*AO237</f>
        <v>0</v>
      </c>
      <c r="AX237" s="35">
        <f>F237*AP237</f>
        <v>0</v>
      </c>
      <c r="AY237" s="37" t="s">
        <v>693</v>
      </c>
      <c r="AZ237" s="37" t="s">
        <v>715</v>
      </c>
      <c r="BA237" s="10" t="s">
        <v>721</v>
      </c>
      <c r="BC237" s="35">
        <f>AW237+AX237</f>
        <v>0</v>
      </c>
      <c r="BD237" s="35">
        <f>G237/(100-BE237)*100</f>
        <v>0</v>
      </c>
      <c r="BE237" s="35">
        <v>0</v>
      </c>
      <c r="BF237" s="35">
        <f>L237</f>
        <v>0.17</v>
      </c>
      <c r="BH237" s="50">
        <f>F237*AO237</f>
        <v>0</v>
      </c>
      <c r="BI237" s="50">
        <f>F237*AP237</f>
        <v>0</v>
      </c>
      <c r="BJ237" s="50">
        <f>F237*G237</f>
        <v>0</v>
      </c>
      <c r="BK237" s="50" t="s">
        <v>729</v>
      </c>
      <c r="BL237" s="35">
        <v>767</v>
      </c>
    </row>
    <row r="238" spans="1:14" ht="12.75">
      <c r="A238" s="2"/>
      <c r="D238" s="38" t="s">
        <v>549</v>
      </c>
      <c r="F238" s="39">
        <v>1</v>
      </c>
      <c r="M238" s="40"/>
      <c r="N238" s="2"/>
    </row>
    <row r="239" spans="1:64" ht="12.75">
      <c r="A239" s="31" t="s">
        <v>107</v>
      </c>
      <c r="B239" s="32" t="s">
        <v>161</v>
      </c>
      <c r="C239" s="32" t="s">
        <v>275</v>
      </c>
      <c r="D239" s="32" t="s">
        <v>550</v>
      </c>
      <c r="E239" s="32" t="s">
        <v>652</v>
      </c>
      <c r="F239" s="33">
        <v>4</v>
      </c>
      <c r="G239" s="33">
        <f>J239/F239</f>
        <v>0</v>
      </c>
      <c r="H239" s="61">
        <v>0</v>
      </c>
      <c r="I239" s="61">
        <v>0</v>
      </c>
      <c r="J239" s="33">
        <f>H239+I239</f>
        <v>0</v>
      </c>
      <c r="K239" s="33">
        <v>0.00279</v>
      </c>
      <c r="L239" s="33">
        <f>F239*K239</f>
        <v>0.01116</v>
      </c>
      <c r="M239" s="34" t="s">
        <v>680</v>
      </c>
      <c r="N239" s="2"/>
      <c r="Z239" s="35">
        <f>IF(AQ239="5",BJ239,0)</f>
        <v>0</v>
      </c>
      <c r="AB239" s="35">
        <f>IF(AQ239="1",BH239,0)</f>
        <v>0</v>
      </c>
      <c r="AC239" s="35">
        <f>IF(AQ239="1",BI239,0)</f>
        <v>0</v>
      </c>
      <c r="AD239" s="35">
        <f>H239</f>
        <v>0</v>
      </c>
      <c r="AE239" s="35">
        <f>I239</f>
        <v>0</v>
      </c>
      <c r="AF239" s="35">
        <f>IF(AQ239="2",BH239,0)</f>
        <v>0</v>
      </c>
      <c r="AG239" s="35">
        <f>IF(AQ239="2",BI239,0)</f>
        <v>0</v>
      </c>
      <c r="AH239" s="35">
        <f>IF(AQ239="0",BJ239,0)</f>
        <v>0</v>
      </c>
      <c r="AI239" s="10" t="s">
        <v>161</v>
      </c>
      <c r="AJ239" s="33">
        <f>IF(AN239=0,J239,0)</f>
        <v>0</v>
      </c>
      <c r="AK239" s="33">
        <f>IF(AN239=15,J239,0)</f>
        <v>0</v>
      </c>
      <c r="AL239" s="33">
        <f>IF(AN239=21,J239,0)</f>
        <v>0</v>
      </c>
      <c r="AN239" s="35">
        <v>21</v>
      </c>
      <c r="AO239" s="35">
        <f>G239*0.0401003344481605</f>
        <v>0</v>
      </c>
      <c r="AP239" s="35">
        <f>G239*(1-0.0401003344481605)</f>
        <v>0</v>
      </c>
      <c r="AQ239" s="36" t="s">
        <v>12</v>
      </c>
      <c r="AV239" s="35">
        <f>AW239+AX239</f>
        <v>0</v>
      </c>
      <c r="AW239" s="35">
        <f>F239*AO239</f>
        <v>0</v>
      </c>
      <c r="AX239" s="35">
        <f>F239*AP239</f>
        <v>0</v>
      </c>
      <c r="AY239" s="37" t="s">
        <v>693</v>
      </c>
      <c r="AZ239" s="37" t="s">
        <v>715</v>
      </c>
      <c r="BA239" s="10" t="s">
        <v>721</v>
      </c>
      <c r="BC239" s="35">
        <f>AW239+AX239</f>
        <v>0</v>
      </c>
      <c r="BD239" s="35">
        <f>G239/(100-BE239)*100</f>
        <v>0</v>
      </c>
      <c r="BE239" s="35">
        <v>0</v>
      </c>
      <c r="BF239" s="35">
        <f>L239</f>
        <v>0.01116</v>
      </c>
      <c r="BH239" s="33">
        <f>F239*AO239</f>
        <v>0</v>
      </c>
      <c r="BI239" s="33">
        <f>F239*AP239</f>
        <v>0</v>
      </c>
      <c r="BJ239" s="33">
        <f>F239*G239</f>
        <v>0</v>
      </c>
      <c r="BK239" s="33" t="s">
        <v>728</v>
      </c>
      <c r="BL239" s="35">
        <v>767</v>
      </c>
    </row>
    <row r="240" spans="1:14" ht="12.75">
      <c r="A240" s="2"/>
      <c r="D240" s="38" t="s">
        <v>551</v>
      </c>
      <c r="F240" s="39">
        <v>4</v>
      </c>
      <c r="M240" s="40"/>
      <c r="N240" s="2"/>
    </row>
    <row r="241" spans="1:64" ht="12.75">
      <c r="A241" s="48" t="s">
        <v>108</v>
      </c>
      <c r="B241" s="49" t="s">
        <v>161</v>
      </c>
      <c r="C241" s="49" t="s">
        <v>276</v>
      </c>
      <c r="D241" s="49" t="s">
        <v>552</v>
      </c>
      <c r="E241" s="49" t="s">
        <v>652</v>
      </c>
      <c r="F241" s="50">
        <v>1</v>
      </c>
      <c r="G241" s="33">
        <f>J241/F241</f>
        <v>0</v>
      </c>
      <c r="H241" s="61">
        <v>0</v>
      </c>
      <c r="I241" s="61">
        <v>0</v>
      </c>
      <c r="J241" s="33">
        <f>H241+I241</f>
        <v>0</v>
      </c>
      <c r="K241" s="50">
        <v>0.355</v>
      </c>
      <c r="L241" s="50">
        <f>F241*K241</f>
        <v>0.355</v>
      </c>
      <c r="M241" s="51" t="s">
        <v>680</v>
      </c>
      <c r="N241" s="2"/>
      <c r="Z241" s="35">
        <f>IF(AQ241="5",BJ241,0)</f>
        <v>0</v>
      </c>
      <c r="AB241" s="35">
        <f>IF(AQ241="1",BH241,0)</f>
        <v>0</v>
      </c>
      <c r="AC241" s="35">
        <f>IF(AQ241="1",BI241,0)</f>
        <v>0</v>
      </c>
      <c r="AD241" s="35">
        <f>H241</f>
        <v>0</v>
      </c>
      <c r="AE241" s="35">
        <f>I241</f>
        <v>0</v>
      </c>
      <c r="AF241" s="35">
        <f>IF(AQ241="2",BH241,0)</f>
        <v>0</v>
      </c>
      <c r="AG241" s="35">
        <f>IF(AQ241="2",BI241,0)</f>
        <v>0</v>
      </c>
      <c r="AH241" s="35">
        <f>IF(AQ241="0",BJ241,0)</f>
        <v>0</v>
      </c>
      <c r="AI241" s="10" t="s">
        <v>161</v>
      </c>
      <c r="AJ241" s="50">
        <f>IF(AN241=0,J241,0)</f>
        <v>0</v>
      </c>
      <c r="AK241" s="50">
        <f>IF(AN241=15,J241,0)</f>
        <v>0</v>
      </c>
      <c r="AL241" s="50">
        <f>IF(AN241=21,J241,0)</f>
        <v>0</v>
      </c>
      <c r="AN241" s="35">
        <v>21</v>
      </c>
      <c r="AO241" s="35">
        <f>G241*1</f>
        <v>0</v>
      </c>
      <c r="AP241" s="35">
        <f>G241*(1-1)</f>
        <v>0</v>
      </c>
      <c r="AQ241" s="52" t="s">
        <v>12</v>
      </c>
      <c r="AV241" s="35">
        <f>AW241+AX241</f>
        <v>0</v>
      </c>
      <c r="AW241" s="35">
        <f>F241*AO241</f>
        <v>0</v>
      </c>
      <c r="AX241" s="35">
        <f>F241*AP241</f>
        <v>0</v>
      </c>
      <c r="AY241" s="37" t="s">
        <v>693</v>
      </c>
      <c r="AZ241" s="37" t="s">
        <v>715</v>
      </c>
      <c r="BA241" s="10" t="s">
        <v>721</v>
      </c>
      <c r="BC241" s="35">
        <f>AW241+AX241</f>
        <v>0</v>
      </c>
      <c r="BD241" s="35">
        <f>G241/(100-BE241)*100</f>
        <v>0</v>
      </c>
      <c r="BE241" s="35">
        <v>0</v>
      </c>
      <c r="BF241" s="35">
        <f>L241</f>
        <v>0.355</v>
      </c>
      <c r="BH241" s="50">
        <f>F241*AO241</f>
        <v>0</v>
      </c>
      <c r="BI241" s="50">
        <f>F241*AP241</f>
        <v>0</v>
      </c>
      <c r="BJ241" s="50">
        <f>F241*G241</f>
        <v>0</v>
      </c>
      <c r="BK241" s="50" t="s">
        <v>729</v>
      </c>
      <c r="BL241" s="35">
        <v>767</v>
      </c>
    </row>
    <row r="242" spans="1:14" ht="12.75">
      <c r="A242" s="2"/>
      <c r="D242" s="38" t="s">
        <v>553</v>
      </c>
      <c r="F242" s="39">
        <v>1</v>
      </c>
      <c r="M242" s="40"/>
      <c r="N242" s="2"/>
    </row>
    <row r="243" spans="1:64" ht="12.75">
      <c r="A243" s="48" t="s">
        <v>109</v>
      </c>
      <c r="B243" s="49" t="s">
        <v>161</v>
      </c>
      <c r="C243" s="49" t="s">
        <v>277</v>
      </c>
      <c r="D243" s="49" t="s">
        <v>554</v>
      </c>
      <c r="E243" s="49" t="s">
        <v>652</v>
      </c>
      <c r="F243" s="50">
        <v>1</v>
      </c>
      <c r="G243" s="33">
        <f>J243/F243</f>
        <v>0</v>
      </c>
      <c r="H243" s="61">
        <v>0</v>
      </c>
      <c r="I243" s="61">
        <v>0</v>
      </c>
      <c r="J243" s="33">
        <f>H243+I243</f>
        <v>0</v>
      </c>
      <c r="K243" s="50">
        <v>0.26</v>
      </c>
      <c r="L243" s="50">
        <f>F243*K243</f>
        <v>0.26</v>
      </c>
      <c r="M243" s="51" t="s">
        <v>680</v>
      </c>
      <c r="N243" s="2"/>
      <c r="Z243" s="35">
        <f>IF(AQ243="5",BJ243,0)</f>
        <v>0</v>
      </c>
      <c r="AB243" s="35">
        <f>IF(AQ243="1",BH243,0)</f>
        <v>0</v>
      </c>
      <c r="AC243" s="35">
        <f>IF(AQ243="1",BI243,0)</f>
        <v>0</v>
      </c>
      <c r="AD243" s="35">
        <f>H243</f>
        <v>0</v>
      </c>
      <c r="AE243" s="35">
        <f>I243</f>
        <v>0</v>
      </c>
      <c r="AF243" s="35">
        <f>IF(AQ243="2",BH243,0)</f>
        <v>0</v>
      </c>
      <c r="AG243" s="35">
        <f>IF(AQ243="2",BI243,0)</f>
        <v>0</v>
      </c>
      <c r="AH243" s="35">
        <f>IF(AQ243="0",BJ243,0)</f>
        <v>0</v>
      </c>
      <c r="AI243" s="10" t="s">
        <v>161</v>
      </c>
      <c r="AJ243" s="50">
        <f>IF(AN243=0,J243,0)</f>
        <v>0</v>
      </c>
      <c r="AK243" s="50">
        <f>IF(AN243=15,J243,0)</f>
        <v>0</v>
      </c>
      <c r="AL243" s="50">
        <f>IF(AN243=21,J243,0)</f>
        <v>0</v>
      </c>
      <c r="AN243" s="35">
        <v>21</v>
      </c>
      <c r="AO243" s="35">
        <f>G243*1</f>
        <v>0</v>
      </c>
      <c r="AP243" s="35">
        <f>G243*(1-1)</f>
        <v>0</v>
      </c>
      <c r="AQ243" s="52" t="s">
        <v>12</v>
      </c>
      <c r="AV243" s="35">
        <f>AW243+AX243</f>
        <v>0</v>
      </c>
      <c r="AW243" s="35">
        <f>F243*AO243</f>
        <v>0</v>
      </c>
      <c r="AX243" s="35">
        <f>F243*AP243</f>
        <v>0</v>
      </c>
      <c r="AY243" s="37" t="s">
        <v>693</v>
      </c>
      <c r="AZ243" s="37" t="s">
        <v>715</v>
      </c>
      <c r="BA243" s="10" t="s">
        <v>721</v>
      </c>
      <c r="BC243" s="35">
        <f>AW243+AX243</f>
        <v>0</v>
      </c>
      <c r="BD243" s="35">
        <f>G243/(100-BE243)*100</f>
        <v>0</v>
      </c>
      <c r="BE243" s="35">
        <v>0</v>
      </c>
      <c r="BF243" s="35">
        <f>L243</f>
        <v>0.26</v>
      </c>
      <c r="BH243" s="50">
        <f>F243*AO243</f>
        <v>0</v>
      </c>
      <c r="BI243" s="50">
        <f>F243*AP243</f>
        <v>0</v>
      </c>
      <c r="BJ243" s="50">
        <f>F243*G243</f>
        <v>0</v>
      </c>
      <c r="BK243" s="50" t="s">
        <v>729</v>
      </c>
      <c r="BL243" s="35">
        <v>767</v>
      </c>
    </row>
    <row r="244" spans="1:14" ht="12.75">
      <c r="A244" s="2"/>
      <c r="D244" s="38" t="s">
        <v>555</v>
      </c>
      <c r="F244" s="39">
        <v>1</v>
      </c>
      <c r="M244" s="40"/>
      <c r="N244" s="2"/>
    </row>
    <row r="245" spans="1:64" ht="12.75">
      <c r="A245" s="48" t="s">
        <v>110</v>
      </c>
      <c r="B245" s="49" t="s">
        <v>161</v>
      </c>
      <c r="C245" s="49" t="s">
        <v>278</v>
      </c>
      <c r="D245" s="49" t="s">
        <v>556</v>
      </c>
      <c r="E245" s="49" t="s">
        <v>652</v>
      </c>
      <c r="F245" s="50">
        <v>2</v>
      </c>
      <c r="G245" s="33">
        <f>J245/F245</f>
        <v>0</v>
      </c>
      <c r="H245" s="61">
        <v>0</v>
      </c>
      <c r="I245" s="61">
        <v>0</v>
      </c>
      <c r="J245" s="33">
        <f>H245+I245</f>
        <v>0</v>
      </c>
      <c r="K245" s="50">
        <v>0.26</v>
      </c>
      <c r="L245" s="50">
        <f>F245*K245</f>
        <v>0.52</v>
      </c>
      <c r="M245" s="51" t="s">
        <v>680</v>
      </c>
      <c r="N245" s="2"/>
      <c r="Z245" s="35">
        <f>IF(AQ245="5",BJ245,0)</f>
        <v>0</v>
      </c>
      <c r="AB245" s="35">
        <f>IF(AQ245="1",BH245,0)</f>
        <v>0</v>
      </c>
      <c r="AC245" s="35">
        <f>IF(AQ245="1",BI245,0)</f>
        <v>0</v>
      </c>
      <c r="AD245" s="35">
        <f>H245</f>
        <v>0</v>
      </c>
      <c r="AE245" s="35">
        <f>I245</f>
        <v>0</v>
      </c>
      <c r="AF245" s="35">
        <f>IF(AQ245="2",BH245,0)</f>
        <v>0</v>
      </c>
      <c r="AG245" s="35">
        <f>IF(AQ245="2",BI245,0)</f>
        <v>0</v>
      </c>
      <c r="AH245" s="35">
        <f>IF(AQ245="0",BJ245,0)</f>
        <v>0</v>
      </c>
      <c r="AI245" s="10" t="s">
        <v>161</v>
      </c>
      <c r="AJ245" s="50">
        <f>IF(AN245=0,J245,0)</f>
        <v>0</v>
      </c>
      <c r="AK245" s="50">
        <f>IF(AN245=15,J245,0)</f>
        <v>0</v>
      </c>
      <c r="AL245" s="50">
        <f>IF(AN245=21,J245,0)</f>
        <v>0</v>
      </c>
      <c r="AN245" s="35">
        <v>21</v>
      </c>
      <c r="AO245" s="35">
        <f>G245*1</f>
        <v>0</v>
      </c>
      <c r="AP245" s="35">
        <f>G245*(1-1)</f>
        <v>0</v>
      </c>
      <c r="AQ245" s="52" t="s">
        <v>12</v>
      </c>
      <c r="AV245" s="35">
        <f>AW245+AX245</f>
        <v>0</v>
      </c>
      <c r="AW245" s="35">
        <f>F245*AO245</f>
        <v>0</v>
      </c>
      <c r="AX245" s="35">
        <f>F245*AP245</f>
        <v>0</v>
      </c>
      <c r="AY245" s="37" t="s">
        <v>693</v>
      </c>
      <c r="AZ245" s="37" t="s">
        <v>715</v>
      </c>
      <c r="BA245" s="10" t="s">
        <v>721</v>
      </c>
      <c r="BC245" s="35">
        <f>AW245+AX245</f>
        <v>0</v>
      </c>
      <c r="BD245" s="35">
        <f>G245/(100-BE245)*100</f>
        <v>0</v>
      </c>
      <c r="BE245" s="35">
        <v>0</v>
      </c>
      <c r="BF245" s="35">
        <f>L245</f>
        <v>0.52</v>
      </c>
      <c r="BH245" s="50">
        <f>F245*AO245</f>
        <v>0</v>
      </c>
      <c r="BI245" s="50">
        <f>F245*AP245</f>
        <v>0</v>
      </c>
      <c r="BJ245" s="50">
        <f>F245*G245</f>
        <v>0</v>
      </c>
      <c r="BK245" s="50" t="s">
        <v>729</v>
      </c>
      <c r="BL245" s="35">
        <v>767</v>
      </c>
    </row>
    <row r="246" spans="1:14" ht="12.75">
      <c r="A246" s="2"/>
      <c r="D246" s="38" t="s">
        <v>557</v>
      </c>
      <c r="F246" s="39">
        <v>2</v>
      </c>
      <c r="M246" s="40"/>
      <c r="N246" s="2"/>
    </row>
    <row r="247" spans="1:64" ht="12.75">
      <c r="A247" s="31" t="s">
        <v>111</v>
      </c>
      <c r="B247" s="32" t="s">
        <v>161</v>
      </c>
      <c r="C247" s="32" t="s">
        <v>279</v>
      </c>
      <c r="D247" s="32" t="s">
        <v>558</v>
      </c>
      <c r="E247" s="32" t="s">
        <v>652</v>
      </c>
      <c r="F247" s="33">
        <v>10</v>
      </c>
      <c r="G247" s="33">
        <f>J247/F247</f>
        <v>0</v>
      </c>
      <c r="H247" s="61">
        <v>0</v>
      </c>
      <c r="I247" s="61">
        <v>0</v>
      </c>
      <c r="J247" s="33">
        <f>H247+I247</f>
        <v>0</v>
      </c>
      <c r="K247" s="33">
        <v>0.013</v>
      </c>
      <c r="L247" s="33">
        <f>F247*K247</f>
        <v>0.13</v>
      </c>
      <c r="M247" s="34" t="s">
        <v>680</v>
      </c>
      <c r="N247" s="2"/>
      <c r="Z247" s="35">
        <f>IF(AQ247="5",BJ247,0)</f>
        <v>0</v>
      </c>
      <c r="AB247" s="35">
        <f>IF(AQ247="1",BH247,0)</f>
        <v>0</v>
      </c>
      <c r="AC247" s="35">
        <f>IF(AQ247="1",BI247,0)</f>
        <v>0</v>
      </c>
      <c r="AD247" s="35">
        <f>H247</f>
        <v>0</v>
      </c>
      <c r="AE247" s="35">
        <f>I247</f>
        <v>0</v>
      </c>
      <c r="AF247" s="35">
        <f>IF(AQ247="2",BH247,0)</f>
        <v>0</v>
      </c>
      <c r="AG247" s="35">
        <f>IF(AQ247="2",BI247,0)</f>
        <v>0</v>
      </c>
      <c r="AH247" s="35">
        <f>IF(AQ247="0",BJ247,0)</f>
        <v>0</v>
      </c>
      <c r="AI247" s="10" t="s">
        <v>161</v>
      </c>
      <c r="AJ247" s="33">
        <f>IF(AN247=0,J247,0)</f>
        <v>0</v>
      </c>
      <c r="AK247" s="33">
        <f>IF(AN247=15,J247,0)</f>
        <v>0</v>
      </c>
      <c r="AL247" s="33">
        <f>IF(AN247=21,J247,0)</f>
        <v>0</v>
      </c>
      <c r="AN247" s="35">
        <v>21</v>
      </c>
      <c r="AO247" s="35">
        <f>G247*0.869281045751634</f>
        <v>0</v>
      </c>
      <c r="AP247" s="35">
        <f>G247*(1-0.869281045751634)</f>
        <v>0</v>
      </c>
      <c r="AQ247" s="36" t="s">
        <v>12</v>
      </c>
      <c r="AV247" s="35">
        <f>AW247+AX247</f>
        <v>0</v>
      </c>
      <c r="AW247" s="35">
        <f>F247*AO247</f>
        <v>0</v>
      </c>
      <c r="AX247" s="35">
        <f>F247*AP247</f>
        <v>0</v>
      </c>
      <c r="AY247" s="37" t="s">
        <v>693</v>
      </c>
      <c r="AZ247" s="37" t="s">
        <v>715</v>
      </c>
      <c r="BA247" s="10" t="s">
        <v>721</v>
      </c>
      <c r="BC247" s="35">
        <f>AW247+AX247</f>
        <v>0</v>
      </c>
      <c r="BD247" s="35">
        <f>G247/(100-BE247)*100</f>
        <v>0</v>
      </c>
      <c r="BE247" s="35">
        <v>0</v>
      </c>
      <c r="BF247" s="35">
        <f>L247</f>
        <v>0.13</v>
      </c>
      <c r="BH247" s="33">
        <f>F247*AO247</f>
        <v>0</v>
      </c>
      <c r="BI247" s="33">
        <f>F247*AP247</f>
        <v>0</v>
      </c>
      <c r="BJ247" s="33">
        <f>F247*G247</f>
        <v>0</v>
      </c>
      <c r="BK247" s="33" t="s">
        <v>728</v>
      </c>
      <c r="BL247" s="35">
        <v>767</v>
      </c>
    </row>
    <row r="248" spans="1:14" ht="12.75">
      <c r="A248" s="2"/>
      <c r="D248" s="38" t="s">
        <v>559</v>
      </c>
      <c r="F248" s="39">
        <v>10</v>
      </c>
      <c r="M248" s="40"/>
      <c r="N248" s="2"/>
    </row>
    <row r="249" spans="1:64" ht="12.75">
      <c r="A249" s="31" t="s">
        <v>112</v>
      </c>
      <c r="B249" s="32" t="s">
        <v>161</v>
      </c>
      <c r="C249" s="32" t="s">
        <v>280</v>
      </c>
      <c r="D249" s="32" t="s">
        <v>560</v>
      </c>
      <c r="E249" s="32" t="s">
        <v>651</v>
      </c>
      <c r="F249" s="33">
        <v>450.34</v>
      </c>
      <c r="G249" s="33">
        <f>J249/F249</f>
        <v>0</v>
      </c>
      <c r="H249" s="61">
        <v>0</v>
      </c>
      <c r="I249" s="61">
        <v>0</v>
      </c>
      <c r="J249" s="33">
        <f>H249+I249</f>
        <v>0</v>
      </c>
      <c r="K249" s="33">
        <v>5E-05</v>
      </c>
      <c r="L249" s="33">
        <f>F249*K249</f>
        <v>0.022517</v>
      </c>
      <c r="M249" s="34" t="s">
        <v>680</v>
      </c>
      <c r="N249" s="2"/>
      <c r="Z249" s="35">
        <f>IF(AQ249="5",BJ249,0)</f>
        <v>0</v>
      </c>
      <c r="AB249" s="35">
        <f>IF(AQ249="1",BH249,0)</f>
        <v>0</v>
      </c>
      <c r="AC249" s="35">
        <f>IF(AQ249="1",BI249,0)</f>
        <v>0</v>
      </c>
      <c r="AD249" s="35">
        <f>H249</f>
        <v>0</v>
      </c>
      <c r="AE249" s="35">
        <f>I249</f>
        <v>0</v>
      </c>
      <c r="AF249" s="35">
        <f>IF(AQ249="2",BH249,0)</f>
        <v>0</v>
      </c>
      <c r="AG249" s="35">
        <f>IF(AQ249="2",BI249,0)</f>
        <v>0</v>
      </c>
      <c r="AH249" s="35">
        <f>IF(AQ249="0",BJ249,0)</f>
        <v>0</v>
      </c>
      <c r="AI249" s="10" t="s">
        <v>161</v>
      </c>
      <c r="AJ249" s="33">
        <f>IF(AN249=0,J249,0)</f>
        <v>0</v>
      </c>
      <c r="AK249" s="33">
        <f>IF(AN249=15,J249,0)</f>
        <v>0</v>
      </c>
      <c r="AL249" s="33">
        <f>IF(AN249=21,J249,0)</f>
        <v>0</v>
      </c>
      <c r="AN249" s="35">
        <v>21</v>
      </c>
      <c r="AO249" s="35">
        <f>G249*0.170431195956877</f>
        <v>0</v>
      </c>
      <c r="AP249" s="35">
        <f>G249*(1-0.170431195956877)</f>
        <v>0</v>
      </c>
      <c r="AQ249" s="36" t="s">
        <v>12</v>
      </c>
      <c r="AV249" s="35">
        <f>AW249+AX249</f>
        <v>0</v>
      </c>
      <c r="AW249" s="35">
        <f>F249*AO249</f>
        <v>0</v>
      </c>
      <c r="AX249" s="35">
        <f>F249*AP249</f>
        <v>0</v>
      </c>
      <c r="AY249" s="37" t="s">
        <v>693</v>
      </c>
      <c r="AZ249" s="37" t="s">
        <v>715</v>
      </c>
      <c r="BA249" s="10" t="s">
        <v>721</v>
      </c>
      <c r="BC249" s="35">
        <f>AW249+AX249</f>
        <v>0</v>
      </c>
      <c r="BD249" s="35">
        <f>G249/(100-BE249)*100</f>
        <v>0</v>
      </c>
      <c r="BE249" s="35">
        <v>0</v>
      </c>
      <c r="BF249" s="35">
        <f>L249</f>
        <v>0.022517</v>
      </c>
      <c r="BH249" s="33">
        <f>F249*AO249</f>
        <v>0</v>
      </c>
      <c r="BI249" s="33">
        <f>F249*AP249</f>
        <v>0</v>
      </c>
      <c r="BJ249" s="33">
        <f>F249*G249</f>
        <v>0</v>
      </c>
      <c r="BK249" s="33" t="s">
        <v>728</v>
      </c>
      <c r="BL249" s="35">
        <v>767</v>
      </c>
    </row>
    <row r="250" spans="1:14" ht="12.75">
      <c r="A250" s="2"/>
      <c r="D250" s="38" t="s">
        <v>561</v>
      </c>
      <c r="F250" s="39">
        <v>450.34</v>
      </c>
      <c r="M250" s="40"/>
      <c r="N250" s="2"/>
    </row>
    <row r="251" spans="1:64" ht="12.75">
      <c r="A251" s="48" t="s">
        <v>113</v>
      </c>
      <c r="B251" s="49" t="s">
        <v>161</v>
      </c>
      <c r="C251" s="49" t="s">
        <v>281</v>
      </c>
      <c r="D251" s="49" t="s">
        <v>562</v>
      </c>
      <c r="E251" s="49" t="s">
        <v>654</v>
      </c>
      <c r="F251" s="50">
        <v>0.46385</v>
      </c>
      <c r="G251" s="33">
        <f>J251/F251</f>
        <v>0</v>
      </c>
      <c r="H251" s="61">
        <v>0</v>
      </c>
      <c r="I251" s="61">
        <v>0</v>
      </c>
      <c r="J251" s="33">
        <f>H251+I251</f>
        <v>0</v>
      </c>
      <c r="K251" s="50">
        <v>1</v>
      </c>
      <c r="L251" s="50">
        <f>F251*K251</f>
        <v>0.46385</v>
      </c>
      <c r="M251" s="51" t="s">
        <v>680</v>
      </c>
      <c r="N251" s="2"/>
      <c r="Z251" s="35">
        <f>IF(AQ251="5",BJ251,0)</f>
        <v>0</v>
      </c>
      <c r="AB251" s="35">
        <f>IF(AQ251="1",BH251,0)</f>
        <v>0</v>
      </c>
      <c r="AC251" s="35">
        <f>IF(AQ251="1",BI251,0)</f>
        <v>0</v>
      </c>
      <c r="AD251" s="35">
        <f>H251</f>
        <v>0</v>
      </c>
      <c r="AE251" s="35">
        <f>I251</f>
        <v>0</v>
      </c>
      <c r="AF251" s="35">
        <f>IF(AQ251="2",BH251,0)</f>
        <v>0</v>
      </c>
      <c r="AG251" s="35">
        <f>IF(AQ251="2",BI251,0)</f>
        <v>0</v>
      </c>
      <c r="AH251" s="35">
        <f>IF(AQ251="0",BJ251,0)</f>
        <v>0</v>
      </c>
      <c r="AI251" s="10" t="s">
        <v>161</v>
      </c>
      <c r="AJ251" s="50">
        <f>IF(AN251=0,J251,0)</f>
        <v>0</v>
      </c>
      <c r="AK251" s="50">
        <f>IF(AN251=15,J251,0)</f>
        <v>0</v>
      </c>
      <c r="AL251" s="50">
        <f>IF(AN251=21,J251,0)</f>
        <v>0</v>
      </c>
      <c r="AN251" s="35">
        <v>21</v>
      </c>
      <c r="AO251" s="35">
        <f>G251*1</f>
        <v>0</v>
      </c>
      <c r="AP251" s="35">
        <f>G251*(1-1)</f>
        <v>0</v>
      </c>
      <c r="AQ251" s="52" t="s">
        <v>12</v>
      </c>
      <c r="AV251" s="35">
        <f>AW251+AX251</f>
        <v>0</v>
      </c>
      <c r="AW251" s="35">
        <f>F251*AO251</f>
        <v>0</v>
      </c>
      <c r="AX251" s="35">
        <f>F251*AP251</f>
        <v>0</v>
      </c>
      <c r="AY251" s="37" t="s">
        <v>693</v>
      </c>
      <c r="AZ251" s="37" t="s">
        <v>715</v>
      </c>
      <c r="BA251" s="10" t="s">
        <v>721</v>
      </c>
      <c r="BC251" s="35">
        <f>AW251+AX251</f>
        <v>0</v>
      </c>
      <c r="BD251" s="35">
        <f>G251/(100-BE251)*100</f>
        <v>0</v>
      </c>
      <c r="BE251" s="35">
        <v>0</v>
      </c>
      <c r="BF251" s="35">
        <f>L251</f>
        <v>0.46385</v>
      </c>
      <c r="BH251" s="50">
        <f>F251*AO251</f>
        <v>0</v>
      </c>
      <c r="BI251" s="50">
        <f>F251*AP251</f>
        <v>0</v>
      </c>
      <c r="BJ251" s="50">
        <f>F251*G251</f>
        <v>0</v>
      </c>
      <c r="BK251" s="50" t="s">
        <v>729</v>
      </c>
      <c r="BL251" s="35">
        <v>767</v>
      </c>
    </row>
    <row r="252" spans="1:14" ht="12.75">
      <c r="A252" s="2"/>
      <c r="D252" s="38" t="s">
        <v>563</v>
      </c>
      <c r="F252" s="39">
        <v>0.45034</v>
      </c>
      <c r="M252" s="40"/>
      <c r="N252" s="2"/>
    </row>
    <row r="253" spans="1:14" ht="12.75">
      <c r="A253" s="2"/>
      <c r="D253" s="38" t="s">
        <v>564</v>
      </c>
      <c r="F253" s="39">
        <v>0.01351</v>
      </c>
      <c r="M253" s="40"/>
      <c r="N253" s="2"/>
    </row>
    <row r="254" spans="1:64" ht="12.75">
      <c r="A254" s="31" t="s">
        <v>114</v>
      </c>
      <c r="B254" s="32" t="s">
        <v>161</v>
      </c>
      <c r="C254" s="32" t="s">
        <v>282</v>
      </c>
      <c r="D254" s="32" t="s">
        <v>565</v>
      </c>
      <c r="E254" s="32" t="s">
        <v>649</v>
      </c>
      <c r="F254" s="33">
        <v>596.4935</v>
      </c>
      <c r="G254" s="33">
        <f>J254/F254</f>
        <v>0</v>
      </c>
      <c r="H254" s="61">
        <v>0</v>
      </c>
      <c r="I254" s="61">
        <v>0</v>
      </c>
      <c r="J254" s="33">
        <f>H254+I254</f>
        <v>0</v>
      </c>
      <c r="K254" s="33">
        <v>0.00017</v>
      </c>
      <c r="L254" s="33">
        <f>F254*K254</f>
        <v>0.10140389500000001</v>
      </c>
      <c r="M254" s="34" t="s">
        <v>680</v>
      </c>
      <c r="N254" s="2"/>
      <c r="Z254" s="35">
        <f>IF(AQ254="5",BJ254,0)</f>
        <v>0</v>
      </c>
      <c r="AB254" s="35">
        <f>IF(AQ254="1",BH254,0)</f>
        <v>0</v>
      </c>
      <c r="AC254" s="35">
        <f>IF(AQ254="1",BI254,0)</f>
        <v>0</v>
      </c>
      <c r="AD254" s="35">
        <f>H254</f>
        <v>0</v>
      </c>
      <c r="AE254" s="35">
        <f>I254</f>
        <v>0</v>
      </c>
      <c r="AF254" s="35">
        <f>IF(AQ254="2",BH254,0)</f>
        <v>0</v>
      </c>
      <c r="AG254" s="35">
        <f>IF(AQ254="2",BI254,0)</f>
        <v>0</v>
      </c>
      <c r="AH254" s="35">
        <f>IF(AQ254="0",BJ254,0)</f>
        <v>0</v>
      </c>
      <c r="AI254" s="10" t="s">
        <v>161</v>
      </c>
      <c r="AJ254" s="33">
        <f>IF(AN254=0,J254,0)</f>
        <v>0</v>
      </c>
      <c r="AK254" s="33">
        <f>IF(AN254=15,J254,0)</f>
        <v>0</v>
      </c>
      <c r="AL254" s="33">
        <f>IF(AN254=21,J254,0)</f>
        <v>0</v>
      </c>
      <c r="AN254" s="35">
        <v>21</v>
      </c>
      <c r="AO254" s="35">
        <f>G254*0.0653051086571944</f>
        <v>0</v>
      </c>
      <c r="AP254" s="35">
        <f>G254*(1-0.0653051086571944)</f>
        <v>0</v>
      </c>
      <c r="AQ254" s="36" t="s">
        <v>12</v>
      </c>
      <c r="AV254" s="35">
        <f>AW254+AX254</f>
        <v>0</v>
      </c>
      <c r="AW254" s="35">
        <f>F254*AO254</f>
        <v>0</v>
      </c>
      <c r="AX254" s="35">
        <f>F254*AP254</f>
        <v>0</v>
      </c>
      <c r="AY254" s="37" t="s">
        <v>693</v>
      </c>
      <c r="AZ254" s="37" t="s">
        <v>715</v>
      </c>
      <c r="BA254" s="10" t="s">
        <v>721</v>
      </c>
      <c r="BC254" s="35">
        <f>AW254+AX254</f>
        <v>0</v>
      </c>
      <c r="BD254" s="35">
        <f>G254/(100-BE254)*100</f>
        <v>0</v>
      </c>
      <c r="BE254" s="35">
        <v>0</v>
      </c>
      <c r="BF254" s="35">
        <f>L254</f>
        <v>0.10140389500000001</v>
      </c>
      <c r="BH254" s="33">
        <f>F254*AO254</f>
        <v>0</v>
      </c>
      <c r="BI254" s="33">
        <f>F254*AP254</f>
        <v>0</v>
      </c>
      <c r="BJ254" s="33">
        <f>F254*G254</f>
        <v>0</v>
      </c>
      <c r="BK254" s="33" t="s">
        <v>728</v>
      </c>
      <c r="BL254" s="35">
        <v>767</v>
      </c>
    </row>
    <row r="255" spans="1:14" ht="12.75">
      <c r="A255" s="2"/>
      <c r="D255" s="38" t="s">
        <v>566</v>
      </c>
      <c r="F255" s="39">
        <v>417.4345</v>
      </c>
      <c r="M255" s="40"/>
      <c r="N255" s="2"/>
    </row>
    <row r="256" spans="1:14" ht="12.75">
      <c r="A256" s="2"/>
      <c r="D256" s="38" t="s">
        <v>567</v>
      </c>
      <c r="F256" s="39">
        <v>149.989</v>
      </c>
      <c r="M256" s="40"/>
      <c r="N256" s="2"/>
    </row>
    <row r="257" spans="1:14" ht="12.75">
      <c r="A257" s="2"/>
      <c r="D257" s="38" t="s">
        <v>568</v>
      </c>
      <c r="F257" s="39">
        <v>29.07</v>
      </c>
      <c r="M257" s="40"/>
      <c r="N257" s="2"/>
    </row>
    <row r="258" spans="1:64" ht="12.75">
      <c r="A258" s="48" t="s">
        <v>115</v>
      </c>
      <c r="B258" s="49" t="s">
        <v>161</v>
      </c>
      <c r="C258" s="49" t="s">
        <v>283</v>
      </c>
      <c r="D258" s="49" t="s">
        <v>569</v>
      </c>
      <c r="E258" s="49" t="s">
        <v>649</v>
      </c>
      <c r="F258" s="50">
        <v>614.38831</v>
      </c>
      <c r="G258" s="33">
        <f>J258/F258</f>
        <v>0</v>
      </c>
      <c r="H258" s="61">
        <v>0</v>
      </c>
      <c r="I258" s="61">
        <v>0</v>
      </c>
      <c r="J258" s="33">
        <f>H258+I258</f>
        <v>0</v>
      </c>
      <c r="K258" s="50">
        <v>0.01216</v>
      </c>
      <c r="L258" s="50">
        <f>F258*K258</f>
        <v>7.470961849600001</v>
      </c>
      <c r="M258" s="51" t="s">
        <v>680</v>
      </c>
      <c r="N258" s="2"/>
      <c r="Z258" s="35">
        <f>IF(AQ258="5",BJ258,0)</f>
        <v>0</v>
      </c>
      <c r="AB258" s="35">
        <f>IF(AQ258="1",BH258,0)</f>
        <v>0</v>
      </c>
      <c r="AC258" s="35">
        <f>IF(AQ258="1",BI258,0)</f>
        <v>0</v>
      </c>
      <c r="AD258" s="35">
        <f>H258</f>
        <v>0</v>
      </c>
      <c r="AE258" s="35">
        <f>I258</f>
        <v>0</v>
      </c>
      <c r="AF258" s="35">
        <f>IF(AQ258="2",BH258,0)</f>
        <v>0</v>
      </c>
      <c r="AG258" s="35">
        <f>IF(AQ258="2",BI258,0)</f>
        <v>0</v>
      </c>
      <c r="AH258" s="35">
        <f>IF(AQ258="0",BJ258,0)</f>
        <v>0</v>
      </c>
      <c r="AI258" s="10" t="s">
        <v>161</v>
      </c>
      <c r="AJ258" s="50">
        <f>IF(AN258=0,J258,0)</f>
        <v>0</v>
      </c>
      <c r="AK258" s="50">
        <f>IF(AN258=15,J258,0)</f>
        <v>0</v>
      </c>
      <c r="AL258" s="50">
        <f>IF(AN258=21,J258,0)</f>
        <v>0</v>
      </c>
      <c r="AN258" s="35">
        <v>21</v>
      </c>
      <c r="AO258" s="35">
        <f>G258*1</f>
        <v>0</v>
      </c>
      <c r="AP258" s="35">
        <f>G258*(1-1)</f>
        <v>0</v>
      </c>
      <c r="AQ258" s="52" t="s">
        <v>12</v>
      </c>
      <c r="AV258" s="35">
        <f>AW258+AX258</f>
        <v>0</v>
      </c>
      <c r="AW258" s="35">
        <f>F258*AO258</f>
        <v>0</v>
      </c>
      <c r="AX258" s="35">
        <f>F258*AP258</f>
        <v>0</v>
      </c>
      <c r="AY258" s="37" t="s">
        <v>693</v>
      </c>
      <c r="AZ258" s="37" t="s">
        <v>715</v>
      </c>
      <c r="BA258" s="10" t="s">
        <v>721</v>
      </c>
      <c r="BC258" s="35">
        <f>AW258+AX258</f>
        <v>0</v>
      </c>
      <c r="BD258" s="35">
        <f>G258/(100-BE258)*100</f>
        <v>0</v>
      </c>
      <c r="BE258" s="35">
        <v>0</v>
      </c>
      <c r="BF258" s="35">
        <f>L258</f>
        <v>7.470961849600001</v>
      </c>
      <c r="BH258" s="50">
        <f>F258*AO258</f>
        <v>0</v>
      </c>
      <c r="BI258" s="50">
        <f>F258*AP258</f>
        <v>0</v>
      </c>
      <c r="BJ258" s="50">
        <f>F258*G258</f>
        <v>0</v>
      </c>
      <c r="BK258" s="50" t="s">
        <v>729</v>
      </c>
      <c r="BL258" s="35">
        <v>767</v>
      </c>
    </row>
    <row r="259" spans="1:14" ht="12.75">
      <c r="A259" s="2"/>
      <c r="D259" s="38" t="s">
        <v>570</v>
      </c>
      <c r="F259" s="39">
        <v>596.4935</v>
      </c>
      <c r="M259" s="40"/>
      <c r="N259" s="2"/>
    </row>
    <row r="260" spans="1:14" ht="12.75">
      <c r="A260" s="2"/>
      <c r="D260" s="38" t="s">
        <v>571</v>
      </c>
      <c r="F260" s="39">
        <v>17.89481</v>
      </c>
      <c r="M260" s="40"/>
      <c r="N260" s="2"/>
    </row>
    <row r="261" spans="1:64" ht="12.75">
      <c r="A261" s="31" t="s">
        <v>116</v>
      </c>
      <c r="B261" s="32" t="s">
        <v>161</v>
      </c>
      <c r="C261" s="32" t="s">
        <v>284</v>
      </c>
      <c r="D261" s="32" t="s">
        <v>572</v>
      </c>
      <c r="E261" s="32" t="s">
        <v>654</v>
      </c>
      <c r="F261" s="33">
        <v>10.0231</v>
      </c>
      <c r="G261" s="33">
        <f>J261/F261</f>
        <v>0</v>
      </c>
      <c r="H261" s="61">
        <v>0</v>
      </c>
      <c r="I261" s="61">
        <v>0</v>
      </c>
      <c r="J261" s="33">
        <f>H261+I261</f>
        <v>0</v>
      </c>
      <c r="K261" s="33">
        <v>0</v>
      </c>
      <c r="L261" s="33">
        <f>F261*K261</f>
        <v>0</v>
      </c>
      <c r="M261" s="34" t="s">
        <v>680</v>
      </c>
      <c r="N261" s="2"/>
      <c r="Z261" s="35">
        <f>H261+I261</f>
        <v>0</v>
      </c>
      <c r="AB261" s="35">
        <f>IF(AQ261="1",BH261,0)</f>
        <v>0</v>
      </c>
      <c r="AC261" s="35">
        <f>IF(AQ261="1",BI261,0)</f>
        <v>0</v>
      </c>
      <c r="AD261" s="35">
        <f>IF(AQ261="7",BH261,0)</f>
        <v>0</v>
      </c>
      <c r="AE261" s="35">
        <f>IF(AQ261="7",BI261,0)</f>
        <v>0</v>
      </c>
      <c r="AF261" s="35">
        <f>IF(AQ261="2",BH261,0)</f>
        <v>0</v>
      </c>
      <c r="AG261" s="35">
        <f>IF(AQ261="2",BI261,0)</f>
        <v>0</v>
      </c>
      <c r="AH261" s="35">
        <f>IF(AQ261="0",BJ261,0)</f>
        <v>0</v>
      </c>
      <c r="AI261" s="10" t="s">
        <v>161</v>
      </c>
      <c r="AJ261" s="33">
        <f>IF(AN261=0,J261,0)</f>
        <v>0</v>
      </c>
      <c r="AK261" s="33">
        <f>IF(AN261=15,J261,0)</f>
        <v>0</v>
      </c>
      <c r="AL261" s="33">
        <f>IF(AN261=21,J261,0)</f>
        <v>0</v>
      </c>
      <c r="AN261" s="35">
        <v>21</v>
      </c>
      <c r="AO261" s="35">
        <f>G261*0</f>
        <v>0</v>
      </c>
      <c r="AP261" s="35">
        <f>G261*(1-0)</f>
        <v>0</v>
      </c>
      <c r="AQ261" s="36" t="s">
        <v>10</v>
      </c>
      <c r="AV261" s="35">
        <f>AW261+AX261</f>
        <v>0</v>
      </c>
      <c r="AW261" s="35">
        <f>F261*AO261</f>
        <v>0</v>
      </c>
      <c r="AX261" s="35">
        <f>F261*AP261</f>
        <v>0</v>
      </c>
      <c r="AY261" s="37" t="s">
        <v>693</v>
      </c>
      <c r="AZ261" s="37" t="s">
        <v>715</v>
      </c>
      <c r="BA261" s="10" t="s">
        <v>721</v>
      </c>
      <c r="BC261" s="35">
        <f>AW261+AX261</f>
        <v>0</v>
      </c>
      <c r="BD261" s="35">
        <f>G261/(100-BE261)*100</f>
        <v>0</v>
      </c>
      <c r="BE261" s="35">
        <v>0</v>
      </c>
      <c r="BF261" s="35">
        <f>L261</f>
        <v>0</v>
      </c>
      <c r="BH261" s="33">
        <f>F261*AO261</f>
        <v>0</v>
      </c>
      <c r="BI261" s="33">
        <f>F261*AP261</f>
        <v>0</v>
      </c>
      <c r="BJ261" s="33">
        <f>F261*G261</f>
        <v>0</v>
      </c>
      <c r="BK261" s="33" t="s">
        <v>728</v>
      </c>
      <c r="BL261" s="35">
        <v>767</v>
      </c>
    </row>
    <row r="262" spans="1:14" ht="12.75">
      <c r="A262" s="2"/>
      <c r="D262" s="38" t="s">
        <v>573</v>
      </c>
      <c r="F262" s="39">
        <v>10.0231</v>
      </c>
      <c r="M262" s="40"/>
      <c r="N262" s="2"/>
    </row>
    <row r="263" spans="1:47" ht="12.75">
      <c r="A263" s="26"/>
      <c r="B263" s="27" t="s">
        <v>161</v>
      </c>
      <c r="C263" s="27" t="s">
        <v>187</v>
      </c>
      <c r="D263" s="27" t="s">
        <v>373</v>
      </c>
      <c r="E263" s="28" t="s">
        <v>5</v>
      </c>
      <c r="F263" s="28" t="s">
        <v>5</v>
      </c>
      <c r="G263" s="28" t="s">
        <v>5</v>
      </c>
      <c r="H263" s="29">
        <f>SUM(H264:H273)</f>
        <v>0</v>
      </c>
      <c r="I263" s="29">
        <f>SUM(I264:I273)</f>
        <v>0</v>
      </c>
      <c r="J263" s="29">
        <f>SUM(J264:J273)</f>
        <v>0</v>
      </c>
      <c r="K263" s="10"/>
      <c r="L263" s="29">
        <f>SUM(L264:L273)</f>
        <v>0.022804649999999996</v>
      </c>
      <c r="M263" s="30"/>
      <c r="N263" s="2"/>
      <c r="AI263" s="10" t="s">
        <v>161</v>
      </c>
      <c r="AS263" s="29">
        <f>SUM(AJ264:AJ273)</f>
        <v>0</v>
      </c>
      <c r="AT263" s="29">
        <f>SUM(AK264:AK273)</f>
        <v>0</v>
      </c>
      <c r="AU263" s="29">
        <f>SUM(AL264:AL273)</f>
        <v>0</v>
      </c>
    </row>
    <row r="264" spans="1:64" ht="12.75">
      <c r="A264" s="31" t="s">
        <v>117</v>
      </c>
      <c r="B264" s="32" t="s">
        <v>161</v>
      </c>
      <c r="C264" s="32" t="s">
        <v>285</v>
      </c>
      <c r="D264" s="32" t="s">
        <v>574</v>
      </c>
      <c r="E264" s="32" t="s">
        <v>649</v>
      </c>
      <c r="F264" s="33">
        <v>0.465</v>
      </c>
      <c r="G264" s="33">
        <f>J264/F264</f>
        <v>0</v>
      </c>
      <c r="H264" s="61">
        <v>0</v>
      </c>
      <c r="I264" s="61">
        <v>0</v>
      </c>
      <c r="J264" s="33">
        <f>H264+I264</f>
        <v>0</v>
      </c>
      <c r="K264" s="33">
        <v>0.00021</v>
      </c>
      <c r="L264" s="33">
        <f>F264*K264</f>
        <v>9.765000000000002E-05</v>
      </c>
      <c r="M264" s="34" t="s">
        <v>680</v>
      </c>
      <c r="N264" s="2"/>
      <c r="Z264" s="35">
        <f>IF(AQ264="5",BJ264,0)</f>
        <v>0</v>
      </c>
      <c r="AB264" s="35">
        <f>IF(AQ264="1",BH264,0)</f>
        <v>0</v>
      </c>
      <c r="AC264" s="35">
        <f>IF(AQ264="1",BI264,0)</f>
        <v>0</v>
      </c>
      <c r="AD264" s="35">
        <f>H264</f>
        <v>0</v>
      </c>
      <c r="AE264" s="35">
        <f>I264</f>
        <v>0</v>
      </c>
      <c r="AF264" s="35">
        <f>IF(AQ264="2",BH264,0)</f>
        <v>0</v>
      </c>
      <c r="AG264" s="35">
        <f>IF(AQ264="2",BI264,0)</f>
        <v>0</v>
      </c>
      <c r="AH264" s="35">
        <f>IF(AQ264="0",BJ264,0)</f>
        <v>0</v>
      </c>
      <c r="AI264" s="10" t="s">
        <v>161</v>
      </c>
      <c r="AJ264" s="33">
        <f>IF(AN264=0,J264,0)</f>
        <v>0</v>
      </c>
      <c r="AK264" s="33">
        <f>IF(AN264=15,J264,0)</f>
        <v>0</v>
      </c>
      <c r="AL264" s="33">
        <f>IF(AN264=21,J264,0)</f>
        <v>0</v>
      </c>
      <c r="AN264" s="35">
        <v>21</v>
      </c>
      <c r="AO264" s="35">
        <f>G264*0.493869179600887</f>
        <v>0</v>
      </c>
      <c r="AP264" s="35">
        <f>G264*(1-0.493869179600887)</f>
        <v>0</v>
      </c>
      <c r="AQ264" s="36" t="s">
        <v>12</v>
      </c>
      <c r="AV264" s="35">
        <f>AW264+AX264</f>
        <v>0</v>
      </c>
      <c r="AW264" s="35">
        <f>F264*AO264</f>
        <v>0</v>
      </c>
      <c r="AX264" s="35">
        <f>F264*AP264</f>
        <v>0</v>
      </c>
      <c r="AY264" s="37" t="s">
        <v>695</v>
      </c>
      <c r="AZ264" s="37" t="s">
        <v>716</v>
      </c>
      <c r="BA264" s="10" t="s">
        <v>721</v>
      </c>
      <c r="BC264" s="35">
        <f>AW264+AX264</f>
        <v>0</v>
      </c>
      <c r="BD264" s="35">
        <f>G264/(100-BE264)*100</f>
        <v>0</v>
      </c>
      <c r="BE264" s="35">
        <v>0</v>
      </c>
      <c r="BF264" s="35">
        <f>L264</f>
        <v>9.765000000000002E-05</v>
      </c>
      <c r="BH264" s="33">
        <f>F264*AO264</f>
        <v>0</v>
      </c>
      <c r="BI264" s="33">
        <f>F264*AP264</f>
        <v>0</v>
      </c>
      <c r="BJ264" s="33">
        <f>F264*G264</f>
        <v>0</v>
      </c>
      <c r="BK264" s="33" t="s">
        <v>728</v>
      </c>
      <c r="BL264" s="35">
        <v>781</v>
      </c>
    </row>
    <row r="265" spans="1:14" ht="12.75">
      <c r="A265" s="2"/>
      <c r="D265" s="38" t="s">
        <v>575</v>
      </c>
      <c r="F265" s="39">
        <v>0.465</v>
      </c>
      <c r="M265" s="40"/>
      <c r="N265" s="2"/>
    </row>
    <row r="266" spans="1:64" ht="12.75">
      <c r="A266" s="31" t="s">
        <v>118</v>
      </c>
      <c r="B266" s="32" t="s">
        <v>161</v>
      </c>
      <c r="C266" s="32" t="s">
        <v>286</v>
      </c>
      <c r="D266" s="32" t="s">
        <v>576</v>
      </c>
      <c r="E266" s="32" t="s">
        <v>650</v>
      </c>
      <c r="F266" s="33">
        <v>0.465</v>
      </c>
      <c r="G266" s="33">
        <f>J266/F266</f>
        <v>0</v>
      </c>
      <c r="H266" s="61">
        <v>0</v>
      </c>
      <c r="I266" s="61">
        <v>0</v>
      </c>
      <c r="J266" s="33">
        <f>H266+I266</f>
        <v>0</v>
      </c>
      <c r="K266" s="33">
        <v>0</v>
      </c>
      <c r="L266" s="33">
        <f>F266*K266</f>
        <v>0</v>
      </c>
      <c r="M266" s="34" t="s">
        <v>680</v>
      </c>
      <c r="N266" s="2"/>
      <c r="Z266" s="35">
        <f>IF(AQ266="5",BJ266,0)</f>
        <v>0</v>
      </c>
      <c r="AB266" s="35">
        <f>IF(AQ266="1",BH266,0)</f>
        <v>0</v>
      </c>
      <c r="AC266" s="35">
        <f>IF(AQ266="1",BI266,0)</f>
        <v>0</v>
      </c>
      <c r="AD266" s="35">
        <f>H266</f>
        <v>0</v>
      </c>
      <c r="AE266" s="35">
        <f>I266</f>
        <v>0</v>
      </c>
      <c r="AF266" s="35">
        <f>IF(AQ266="2",BH266,0)</f>
        <v>0</v>
      </c>
      <c r="AG266" s="35">
        <f>IF(AQ266="2",BI266,0)</f>
        <v>0</v>
      </c>
      <c r="AH266" s="35">
        <f>IF(AQ266="0",BJ266,0)</f>
        <v>0</v>
      </c>
      <c r="AI266" s="10" t="s">
        <v>161</v>
      </c>
      <c r="AJ266" s="33">
        <f>IF(AN266=0,J266,0)</f>
        <v>0</v>
      </c>
      <c r="AK266" s="33">
        <f>IF(AN266=15,J266,0)</f>
        <v>0</v>
      </c>
      <c r="AL266" s="33">
        <f>IF(AN266=21,J266,0)</f>
        <v>0</v>
      </c>
      <c r="AN266" s="35">
        <v>21</v>
      </c>
      <c r="AO266" s="35">
        <f>G266*0</f>
        <v>0</v>
      </c>
      <c r="AP266" s="35">
        <f>G266*(1-0)</f>
        <v>0</v>
      </c>
      <c r="AQ266" s="36" t="s">
        <v>12</v>
      </c>
      <c r="AV266" s="35">
        <f>AW266+AX266</f>
        <v>0</v>
      </c>
      <c r="AW266" s="35">
        <f>F266*AO266</f>
        <v>0</v>
      </c>
      <c r="AX266" s="35">
        <f>F266*AP266</f>
        <v>0</v>
      </c>
      <c r="AY266" s="37" t="s">
        <v>695</v>
      </c>
      <c r="AZ266" s="37" t="s">
        <v>716</v>
      </c>
      <c r="BA266" s="10" t="s">
        <v>721</v>
      </c>
      <c r="BC266" s="35">
        <f>AW266+AX266</f>
        <v>0</v>
      </c>
      <c r="BD266" s="35">
        <f>G266/(100-BE266)*100</f>
        <v>0</v>
      </c>
      <c r="BE266" s="35">
        <v>0</v>
      </c>
      <c r="BF266" s="35">
        <f>L266</f>
        <v>0</v>
      </c>
      <c r="BH266" s="33">
        <f>F266*AO266</f>
        <v>0</v>
      </c>
      <c r="BI266" s="33">
        <f>F266*AP266</f>
        <v>0</v>
      </c>
      <c r="BJ266" s="33">
        <f>F266*G266</f>
        <v>0</v>
      </c>
      <c r="BK266" s="33" t="s">
        <v>728</v>
      </c>
      <c r="BL266" s="35">
        <v>781</v>
      </c>
    </row>
    <row r="267" spans="1:14" ht="12.75">
      <c r="A267" s="2"/>
      <c r="D267" s="38" t="s">
        <v>575</v>
      </c>
      <c r="F267" s="39">
        <v>0.465</v>
      </c>
      <c r="M267" s="40"/>
      <c r="N267" s="2"/>
    </row>
    <row r="268" spans="1:64" ht="12.75">
      <c r="A268" s="48" t="s">
        <v>119</v>
      </c>
      <c r="B268" s="49" t="s">
        <v>161</v>
      </c>
      <c r="C268" s="49" t="s">
        <v>287</v>
      </c>
      <c r="D268" s="49" t="s">
        <v>821</v>
      </c>
      <c r="E268" s="49" t="s">
        <v>649</v>
      </c>
      <c r="F268" s="50">
        <v>0.5115</v>
      </c>
      <c r="G268" s="33">
        <f>J268/F268</f>
        <v>0</v>
      </c>
      <c r="H268" s="61">
        <v>0</v>
      </c>
      <c r="I268" s="61">
        <v>0</v>
      </c>
      <c r="J268" s="33">
        <f>H268+I268</f>
        <v>0</v>
      </c>
      <c r="K268" s="50">
        <v>0.018</v>
      </c>
      <c r="L268" s="50">
        <f>F268*K268</f>
        <v>0.009206999999999998</v>
      </c>
      <c r="M268" s="51" t="s">
        <v>680</v>
      </c>
      <c r="N268" s="2"/>
      <c r="Z268" s="35">
        <f>IF(AQ268="5",BJ268,0)</f>
        <v>0</v>
      </c>
      <c r="AB268" s="35">
        <f>IF(AQ268="1",BH268,0)</f>
        <v>0</v>
      </c>
      <c r="AC268" s="35">
        <f>IF(AQ268="1",BI268,0)</f>
        <v>0</v>
      </c>
      <c r="AD268" s="35">
        <f>H268</f>
        <v>0</v>
      </c>
      <c r="AE268" s="35">
        <f>I268</f>
        <v>0</v>
      </c>
      <c r="AF268" s="35">
        <f>IF(AQ268="2",BH268,0)</f>
        <v>0</v>
      </c>
      <c r="AG268" s="35">
        <f>IF(AQ268="2",BI268,0)</f>
        <v>0</v>
      </c>
      <c r="AH268" s="35">
        <f>IF(AQ268="0",BJ268,0)</f>
        <v>0</v>
      </c>
      <c r="AI268" s="10" t="s">
        <v>161</v>
      </c>
      <c r="AJ268" s="50">
        <f>IF(AN268=0,J268,0)</f>
        <v>0</v>
      </c>
      <c r="AK268" s="50">
        <f>IF(AN268=15,J268,0)</f>
        <v>0</v>
      </c>
      <c r="AL268" s="50">
        <f>IF(AN268=21,J268,0)</f>
        <v>0</v>
      </c>
      <c r="AN268" s="35">
        <v>21</v>
      </c>
      <c r="AO268" s="35">
        <f>G268*1</f>
        <v>0</v>
      </c>
      <c r="AP268" s="35">
        <f>G268*(1-1)</f>
        <v>0</v>
      </c>
      <c r="AQ268" s="52" t="s">
        <v>12</v>
      </c>
      <c r="AV268" s="35">
        <f>AW268+AX268</f>
        <v>0</v>
      </c>
      <c r="AW268" s="35">
        <f>F268*AO268</f>
        <v>0</v>
      </c>
      <c r="AX268" s="35">
        <f>F268*AP268</f>
        <v>0</v>
      </c>
      <c r="AY268" s="37" t="s">
        <v>695</v>
      </c>
      <c r="AZ268" s="37" t="s">
        <v>716</v>
      </c>
      <c r="BA268" s="10" t="s">
        <v>721</v>
      </c>
      <c r="BC268" s="35">
        <f>AW268+AX268</f>
        <v>0</v>
      </c>
      <c r="BD268" s="35">
        <f>G268/(100-BE268)*100</f>
        <v>0</v>
      </c>
      <c r="BE268" s="35">
        <v>0</v>
      </c>
      <c r="BF268" s="35">
        <f>L268</f>
        <v>0.009206999999999998</v>
      </c>
      <c r="BH268" s="50">
        <f>F268*AO268</f>
        <v>0</v>
      </c>
      <c r="BI268" s="50">
        <f>F268*AP268</f>
        <v>0</v>
      </c>
      <c r="BJ268" s="50">
        <f>F268*G268</f>
        <v>0</v>
      </c>
      <c r="BK268" s="50" t="s">
        <v>729</v>
      </c>
      <c r="BL268" s="35">
        <v>781</v>
      </c>
    </row>
    <row r="269" spans="1:14" ht="12.75">
      <c r="A269" s="2"/>
      <c r="D269" s="38" t="s">
        <v>575</v>
      </c>
      <c r="F269" s="39">
        <v>0.465</v>
      </c>
      <c r="M269" s="40"/>
      <c r="N269" s="2"/>
    </row>
    <row r="270" spans="1:14" ht="12.75">
      <c r="A270" s="2"/>
      <c r="D270" s="38" t="s">
        <v>577</v>
      </c>
      <c r="F270" s="39">
        <v>0.0465</v>
      </c>
      <c r="M270" s="40"/>
      <c r="N270" s="2"/>
    </row>
    <row r="271" spans="1:64" ht="12.75">
      <c r="A271" s="48" t="s">
        <v>120</v>
      </c>
      <c r="B271" s="49" t="s">
        <v>161</v>
      </c>
      <c r="C271" s="49" t="s">
        <v>288</v>
      </c>
      <c r="D271" s="49" t="s">
        <v>822</v>
      </c>
      <c r="E271" s="49" t="s">
        <v>651</v>
      </c>
      <c r="F271" s="50">
        <v>13.5</v>
      </c>
      <c r="G271" s="33">
        <f>J271/F271</f>
        <v>0</v>
      </c>
      <c r="H271" s="61">
        <v>0</v>
      </c>
      <c r="I271" s="61">
        <v>0</v>
      </c>
      <c r="J271" s="33">
        <f>H271+I271</f>
        <v>0</v>
      </c>
      <c r="K271" s="50">
        <v>0.001</v>
      </c>
      <c r="L271" s="50">
        <f>F271*K271</f>
        <v>0.0135</v>
      </c>
      <c r="M271" s="51" t="s">
        <v>680</v>
      </c>
      <c r="N271" s="2"/>
      <c r="Z271" s="35">
        <f>IF(AQ271="5",BJ271,0)</f>
        <v>0</v>
      </c>
      <c r="AB271" s="35">
        <f>IF(AQ271="1",BH271,0)</f>
        <v>0</v>
      </c>
      <c r="AC271" s="35">
        <f>IF(AQ271="1",BI271,0)</f>
        <v>0</v>
      </c>
      <c r="AD271" s="35">
        <f>H271</f>
        <v>0</v>
      </c>
      <c r="AE271" s="35">
        <f>I271</f>
        <v>0</v>
      </c>
      <c r="AF271" s="35">
        <f>IF(AQ271="2",BH271,0)</f>
        <v>0</v>
      </c>
      <c r="AG271" s="35">
        <f>IF(AQ271="2",BI271,0)</f>
        <v>0</v>
      </c>
      <c r="AH271" s="35">
        <f>IF(AQ271="0",BJ271,0)</f>
        <v>0</v>
      </c>
      <c r="AI271" s="10" t="s">
        <v>161</v>
      </c>
      <c r="AJ271" s="50">
        <f>IF(AN271=0,J271,0)</f>
        <v>0</v>
      </c>
      <c r="AK271" s="50">
        <f>IF(AN271=15,J271,0)</f>
        <v>0</v>
      </c>
      <c r="AL271" s="50">
        <f>IF(AN271=21,J271,0)</f>
        <v>0</v>
      </c>
      <c r="AN271" s="35">
        <v>21</v>
      </c>
      <c r="AO271" s="35">
        <f>G271*1</f>
        <v>0</v>
      </c>
      <c r="AP271" s="35">
        <f>G271*(1-1)</f>
        <v>0</v>
      </c>
      <c r="AQ271" s="52" t="s">
        <v>12</v>
      </c>
      <c r="AV271" s="35">
        <f>AW271+AX271</f>
        <v>0</v>
      </c>
      <c r="AW271" s="35">
        <f>F271*AO271</f>
        <v>0</v>
      </c>
      <c r="AX271" s="35">
        <f>F271*AP271</f>
        <v>0</v>
      </c>
      <c r="AY271" s="37" t="s">
        <v>695</v>
      </c>
      <c r="AZ271" s="37" t="s">
        <v>716</v>
      </c>
      <c r="BA271" s="10" t="s">
        <v>721</v>
      </c>
      <c r="BC271" s="35">
        <f>AW271+AX271</f>
        <v>0</v>
      </c>
      <c r="BD271" s="35">
        <f>G271/(100-BE271)*100</f>
        <v>0</v>
      </c>
      <c r="BE271" s="35">
        <v>0</v>
      </c>
      <c r="BF271" s="35">
        <f>L271</f>
        <v>0.0135</v>
      </c>
      <c r="BH271" s="50">
        <f>F271*AO271</f>
        <v>0</v>
      </c>
      <c r="BI271" s="50">
        <f>F271*AP271</f>
        <v>0</v>
      </c>
      <c r="BJ271" s="50">
        <f>F271*G271</f>
        <v>0</v>
      </c>
      <c r="BK271" s="50" t="s">
        <v>729</v>
      </c>
      <c r="BL271" s="35">
        <v>781</v>
      </c>
    </row>
    <row r="272" spans="1:14" ht="12.75">
      <c r="A272" s="2"/>
      <c r="D272" s="38" t="s">
        <v>578</v>
      </c>
      <c r="F272" s="39">
        <v>13.5</v>
      </c>
      <c r="M272" s="40"/>
      <c r="N272" s="2"/>
    </row>
    <row r="273" spans="1:64" ht="12.75">
      <c r="A273" s="31" t="s">
        <v>121</v>
      </c>
      <c r="B273" s="32" t="s">
        <v>161</v>
      </c>
      <c r="C273" s="32" t="s">
        <v>289</v>
      </c>
      <c r="D273" s="32" t="s">
        <v>579</v>
      </c>
      <c r="E273" s="32" t="s">
        <v>654</v>
      </c>
      <c r="F273" s="33">
        <v>0.0228</v>
      </c>
      <c r="G273" s="33">
        <f>J273/F273</f>
        <v>0</v>
      </c>
      <c r="H273" s="61">
        <v>0</v>
      </c>
      <c r="I273" s="61">
        <v>0</v>
      </c>
      <c r="J273" s="33">
        <f>H273+I273</f>
        <v>0</v>
      </c>
      <c r="K273" s="33">
        <v>0</v>
      </c>
      <c r="L273" s="33">
        <f>F273*K273</f>
        <v>0</v>
      </c>
      <c r="M273" s="34" t="s">
        <v>680</v>
      </c>
      <c r="N273" s="2"/>
      <c r="Z273" s="35">
        <f>H273+I273</f>
        <v>0</v>
      </c>
      <c r="AB273" s="35">
        <f>IF(AQ273="1",BH273,0)</f>
        <v>0</v>
      </c>
      <c r="AC273" s="35">
        <f>IF(AQ273="1",BI273,0)</f>
        <v>0</v>
      </c>
      <c r="AD273" s="35">
        <f>IF(AQ273="7",BH273,0)</f>
        <v>0</v>
      </c>
      <c r="AE273" s="35">
        <f>IF(AQ273="7",BI273,0)</f>
        <v>0</v>
      </c>
      <c r="AF273" s="35">
        <f>IF(AQ273="2",BH273,0)</f>
        <v>0</v>
      </c>
      <c r="AG273" s="35">
        <f>IF(AQ273="2",BI273,0)</f>
        <v>0</v>
      </c>
      <c r="AH273" s="35">
        <f>IF(AQ273="0",BJ273,0)</f>
        <v>0</v>
      </c>
      <c r="AI273" s="10" t="s">
        <v>161</v>
      </c>
      <c r="AJ273" s="33">
        <f>IF(AN273=0,J273,0)</f>
        <v>0</v>
      </c>
      <c r="AK273" s="33">
        <f>IF(AN273=15,J273,0)</f>
        <v>0</v>
      </c>
      <c r="AL273" s="33">
        <f>IF(AN273=21,J273,0)</f>
        <v>0</v>
      </c>
      <c r="AN273" s="35">
        <v>21</v>
      </c>
      <c r="AO273" s="35">
        <f>G273*0</f>
        <v>0</v>
      </c>
      <c r="AP273" s="35">
        <f>G273*(1-0)</f>
        <v>0</v>
      </c>
      <c r="AQ273" s="36" t="s">
        <v>10</v>
      </c>
      <c r="AV273" s="35">
        <f>AW273+AX273</f>
        <v>0</v>
      </c>
      <c r="AW273" s="35">
        <f>F273*AO273</f>
        <v>0</v>
      </c>
      <c r="AX273" s="35">
        <f>F273*AP273</f>
        <v>0</v>
      </c>
      <c r="AY273" s="37" t="s">
        <v>695</v>
      </c>
      <c r="AZ273" s="37" t="s">
        <v>716</v>
      </c>
      <c r="BA273" s="10" t="s">
        <v>721</v>
      </c>
      <c r="BC273" s="35">
        <f>AW273+AX273</f>
        <v>0</v>
      </c>
      <c r="BD273" s="35">
        <f>G273/(100-BE273)*100</f>
        <v>0</v>
      </c>
      <c r="BE273" s="35">
        <v>0</v>
      </c>
      <c r="BF273" s="35">
        <f>L273</f>
        <v>0</v>
      </c>
      <c r="BH273" s="33">
        <f>F273*AO273</f>
        <v>0</v>
      </c>
      <c r="BI273" s="33">
        <f>F273*AP273</f>
        <v>0</v>
      </c>
      <c r="BJ273" s="33">
        <f>F273*G273</f>
        <v>0</v>
      </c>
      <c r="BK273" s="33" t="s">
        <v>728</v>
      </c>
      <c r="BL273" s="35">
        <v>781</v>
      </c>
    </row>
    <row r="274" spans="1:14" ht="12.75">
      <c r="A274" s="2"/>
      <c r="D274" s="38" t="s">
        <v>580</v>
      </c>
      <c r="F274" s="39">
        <v>0.0228</v>
      </c>
      <c r="M274" s="40"/>
      <c r="N274" s="2"/>
    </row>
    <row r="275" spans="1:14" ht="12.75">
      <c r="A275" s="42"/>
      <c r="B275" s="43" t="s">
        <v>162</v>
      </c>
      <c r="C275" s="43"/>
      <c r="D275" s="43" t="s">
        <v>581</v>
      </c>
      <c r="E275" s="44" t="s">
        <v>5</v>
      </c>
      <c r="F275" s="44" t="s">
        <v>5</v>
      </c>
      <c r="G275" s="44" t="s">
        <v>5</v>
      </c>
      <c r="H275" s="45">
        <f>H276+H323+H340+H347</f>
        <v>0</v>
      </c>
      <c r="I275" s="45">
        <f>I276+I323+I340+I347</f>
        <v>0</v>
      </c>
      <c r="J275" s="45">
        <f>J276+J323+J340+J347</f>
        <v>0</v>
      </c>
      <c r="K275" s="46"/>
      <c r="L275" s="45">
        <f>L276+L323+L340+L347</f>
        <v>68.48523709599999</v>
      </c>
      <c r="M275" s="47"/>
      <c r="N275" s="2"/>
    </row>
    <row r="276" spans="1:47" ht="12.75">
      <c r="A276" s="26"/>
      <c r="B276" s="27" t="s">
        <v>162</v>
      </c>
      <c r="C276" s="27" t="s">
        <v>168</v>
      </c>
      <c r="D276" s="27" t="s">
        <v>336</v>
      </c>
      <c r="E276" s="28" t="s">
        <v>5</v>
      </c>
      <c r="F276" s="28" t="s">
        <v>5</v>
      </c>
      <c r="G276" s="28" t="s">
        <v>5</v>
      </c>
      <c r="H276" s="29">
        <f>SUM(H277:H321)</f>
        <v>0</v>
      </c>
      <c r="I276" s="29">
        <f>SUM(I277:I321)</f>
        <v>0</v>
      </c>
      <c r="J276" s="29">
        <f>SUM(J277:J321)</f>
        <v>0</v>
      </c>
      <c r="K276" s="10"/>
      <c r="L276" s="29">
        <f>SUM(L277:L321)</f>
        <v>1.5467784999999998</v>
      </c>
      <c r="M276" s="30"/>
      <c r="N276" s="2"/>
      <c r="AI276" s="10" t="s">
        <v>162</v>
      </c>
      <c r="AS276" s="29">
        <f>SUM(AJ277:AJ321)</f>
        <v>0</v>
      </c>
      <c r="AT276" s="29">
        <f>SUM(AK277:AK321)</f>
        <v>0</v>
      </c>
      <c r="AU276" s="29">
        <f>SUM(AL277:AL321)</f>
        <v>0</v>
      </c>
    </row>
    <row r="277" spans="1:64" ht="12.75">
      <c r="A277" s="31" t="s">
        <v>122</v>
      </c>
      <c r="B277" s="32" t="s">
        <v>162</v>
      </c>
      <c r="C277" s="32" t="s">
        <v>290</v>
      </c>
      <c r="D277" s="32" t="s">
        <v>582</v>
      </c>
      <c r="E277" s="32" t="s">
        <v>650</v>
      </c>
      <c r="F277" s="33">
        <v>215.05</v>
      </c>
      <c r="G277" s="33">
        <f>J277/F277</f>
        <v>0</v>
      </c>
      <c r="H277" s="61">
        <v>0</v>
      </c>
      <c r="I277" s="61">
        <v>0</v>
      </c>
      <c r="J277" s="33">
        <f>H277+I277</f>
        <v>0</v>
      </c>
      <c r="K277" s="33">
        <v>0.00224</v>
      </c>
      <c r="L277" s="33">
        <f>F277*K277</f>
        <v>0.481712</v>
      </c>
      <c r="M277" s="34" t="s">
        <v>680</v>
      </c>
      <c r="N277" s="2"/>
      <c r="Z277" s="35">
        <f>IF(AQ277="5",BJ277,0)</f>
        <v>0</v>
      </c>
      <c r="AB277" s="35">
        <f>IF(AQ277="1",BH277,0)</f>
        <v>0</v>
      </c>
      <c r="AC277" s="35">
        <f>IF(AQ277="1",BI277,0)</f>
        <v>0</v>
      </c>
      <c r="AD277" s="35">
        <f>H277</f>
        <v>0</v>
      </c>
      <c r="AE277" s="35">
        <f>I277</f>
        <v>0</v>
      </c>
      <c r="AF277" s="35">
        <f>IF(AQ277="2",BH277,0)</f>
        <v>0</v>
      </c>
      <c r="AG277" s="35">
        <f>IF(AQ277="2",BI277,0)</f>
        <v>0</v>
      </c>
      <c r="AH277" s="35">
        <f>IF(AQ277="0",BJ277,0)</f>
        <v>0</v>
      </c>
      <c r="AI277" s="10" t="s">
        <v>162</v>
      </c>
      <c r="AJ277" s="33">
        <f>IF(AN277=0,J277,0)</f>
        <v>0</v>
      </c>
      <c r="AK277" s="33">
        <f>IF(AN277=15,J277,0)</f>
        <v>0</v>
      </c>
      <c r="AL277" s="33">
        <f>IF(AN277=21,J277,0)</f>
        <v>0</v>
      </c>
      <c r="AN277" s="35">
        <v>21</v>
      </c>
      <c r="AO277" s="35">
        <f>G277*0.171020833333333</f>
        <v>0</v>
      </c>
      <c r="AP277" s="35">
        <f>G277*(1-0.171020833333333)</f>
        <v>0</v>
      </c>
      <c r="AQ277" s="36" t="s">
        <v>12</v>
      </c>
      <c r="AV277" s="35">
        <f>AW277+AX277</f>
        <v>0</v>
      </c>
      <c r="AW277" s="35">
        <f>F277*AO277</f>
        <v>0</v>
      </c>
      <c r="AX277" s="35">
        <f>F277*AP277</f>
        <v>0</v>
      </c>
      <c r="AY277" s="37" t="s">
        <v>692</v>
      </c>
      <c r="AZ277" s="37" t="s">
        <v>717</v>
      </c>
      <c r="BA277" s="10" t="s">
        <v>722</v>
      </c>
      <c r="BC277" s="35">
        <f>AW277+AX277</f>
        <v>0</v>
      </c>
      <c r="BD277" s="35">
        <f>G277/(100-BE277)*100</f>
        <v>0</v>
      </c>
      <c r="BE277" s="35">
        <v>0</v>
      </c>
      <c r="BF277" s="35">
        <f>L277</f>
        <v>0.481712</v>
      </c>
      <c r="BH277" s="33">
        <f>F277*AO277</f>
        <v>0</v>
      </c>
      <c r="BI277" s="33">
        <f>F277*AP277</f>
        <v>0</v>
      </c>
      <c r="BJ277" s="33">
        <f>F277*G277</f>
        <v>0</v>
      </c>
      <c r="BK277" s="33" t="s">
        <v>728</v>
      </c>
      <c r="BL277" s="35">
        <v>764</v>
      </c>
    </row>
    <row r="278" spans="1:14" ht="12.75">
      <c r="A278" s="2"/>
      <c r="D278" s="38" t="s">
        <v>583</v>
      </c>
      <c r="F278" s="39">
        <v>215.05</v>
      </c>
      <c r="M278" s="40"/>
      <c r="N278" s="2"/>
    </row>
    <row r="279" spans="1:64" ht="12.75">
      <c r="A279" s="31" t="s">
        <v>123</v>
      </c>
      <c r="B279" s="32" t="s">
        <v>162</v>
      </c>
      <c r="C279" s="32" t="s">
        <v>291</v>
      </c>
      <c r="D279" s="32" t="s">
        <v>584</v>
      </c>
      <c r="E279" s="32" t="s">
        <v>650</v>
      </c>
      <c r="F279" s="33">
        <v>2.2</v>
      </c>
      <c r="G279" s="33">
        <f>J279/F279</f>
        <v>0</v>
      </c>
      <c r="H279" s="61">
        <v>0</v>
      </c>
      <c r="I279" s="61">
        <v>0</v>
      </c>
      <c r="J279" s="33">
        <f>H279+I279</f>
        <v>0</v>
      </c>
      <c r="K279" s="33">
        <v>0.00231</v>
      </c>
      <c r="L279" s="33">
        <f>F279*K279</f>
        <v>0.005082000000000001</v>
      </c>
      <c r="M279" s="34" t="s">
        <v>680</v>
      </c>
      <c r="N279" s="2"/>
      <c r="Z279" s="35">
        <f>IF(AQ279="5",BJ279,0)</f>
        <v>0</v>
      </c>
      <c r="AB279" s="35">
        <f>IF(AQ279="1",BH279,0)</f>
        <v>0</v>
      </c>
      <c r="AC279" s="35">
        <f>IF(AQ279="1",BI279,0)</f>
        <v>0</v>
      </c>
      <c r="AD279" s="35">
        <f>H279</f>
        <v>0</v>
      </c>
      <c r="AE279" s="35">
        <f>I279</f>
        <v>0</v>
      </c>
      <c r="AF279" s="35">
        <f>IF(AQ279="2",BH279,0)</f>
        <v>0</v>
      </c>
      <c r="AG279" s="35">
        <f>IF(AQ279="2",BI279,0)</f>
        <v>0</v>
      </c>
      <c r="AH279" s="35">
        <f>IF(AQ279="0",BJ279,0)</f>
        <v>0</v>
      </c>
      <c r="AI279" s="10" t="s">
        <v>162</v>
      </c>
      <c r="AJ279" s="33">
        <f>IF(AN279=0,J279,0)</f>
        <v>0</v>
      </c>
      <c r="AK279" s="33">
        <f>IF(AN279=15,J279,0)</f>
        <v>0</v>
      </c>
      <c r="AL279" s="33">
        <f>IF(AN279=21,J279,0)</f>
        <v>0</v>
      </c>
      <c r="AN279" s="35">
        <v>21</v>
      </c>
      <c r="AO279" s="35">
        <f>G279*0.248875305623472</f>
        <v>0</v>
      </c>
      <c r="AP279" s="35">
        <f>G279*(1-0.248875305623472)</f>
        <v>0</v>
      </c>
      <c r="AQ279" s="36" t="s">
        <v>12</v>
      </c>
      <c r="AV279" s="35">
        <f>AW279+AX279</f>
        <v>0</v>
      </c>
      <c r="AW279" s="35">
        <f>F279*AO279</f>
        <v>0</v>
      </c>
      <c r="AX279" s="35">
        <f>F279*AP279</f>
        <v>0</v>
      </c>
      <c r="AY279" s="37" t="s">
        <v>692</v>
      </c>
      <c r="AZ279" s="37" t="s">
        <v>717</v>
      </c>
      <c r="BA279" s="10" t="s">
        <v>722</v>
      </c>
      <c r="BC279" s="35">
        <f>AW279+AX279</f>
        <v>0</v>
      </c>
      <c r="BD279" s="35">
        <f>G279/(100-BE279)*100</f>
        <v>0</v>
      </c>
      <c r="BE279" s="35">
        <v>0</v>
      </c>
      <c r="BF279" s="35">
        <f>L279</f>
        <v>0.005082000000000001</v>
      </c>
      <c r="BH279" s="33">
        <f>F279*AO279</f>
        <v>0</v>
      </c>
      <c r="BI279" s="33">
        <f>F279*AP279</f>
        <v>0</v>
      </c>
      <c r="BJ279" s="33">
        <f>F279*G279</f>
        <v>0</v>
      </c>
      <c r="BK279" s="33" t="s">
        <v>728</v>
      </c>
      <c r="BL279" s="35">
        <v>764</v>
      </c>
    </row>
    <row r="280" spans="1:14" ht="12.75">
      <c r="A280" s="2"/>
      <c r="D280" s="38" t="s">
        <v>585</v>
      </c>
      <c r="F280" s="39">
        <v>2.2</v>
      </c>
      <c r="M280" s="40"/>
      <c r="N280" s="2"/>
    </row>
    <row r="281" spans="1:64" ht="12.75">
      <c r="A281" s="31" t="s">
        <v>124</v>
      </c>
      <c r="B281" s="32" t="s">
        <v>162</v>
      </c>
      <c r="C281" s="32" t="s">
        <v>292</v>
      </c>
      <c r="D281" s="32" t="s">
        <v>586</v>
      </c>
      <c r="E281" s="32" t="s">
        <v>650</v>
      </c>
      <c r="F281" s="33">
        <v>4.4</v>
      </c>
      <c r="G281" s="33">
        <f>J281/F281</f>
        <v>0</v>
      </c>
      <c r="H281" s="61">
        <v>0</v>
      </c>
      <c r="I281" s="61">
        <v>0</v>
      </c>
      <c r="J281" s="33">
        <f>H281+I281</f>
        <v>0</v>
      </c>
      <c r="K281" s="33">
        <v>0.00609</v>
      </c>
      <c r="L281" s="33">
        <f>F281*K281</f>
        <v>0.026796</v>
      </c>
      <c r="M281" s="34" t="s">
        <v>680</v>
      </c>
      <c r="N281" s="2"/>
      <c r="Z281" s="35">
        <f>IF(AQ281="5",BJ281,0)</f>
        <v>0</v>
      </c>
      <c r="AB281" s="35">
        <f>IF(AQ281="1",BH281,0)</f>
        <v>0</v>
      </c>
      <c r="AC281" s="35">
        <f>IF(AQ281="1",BI281,0)</f>
        <v>0</v>
      </c>
      <c r="AD281" s="35">
        <f>H281</f>
        <v>0</v>
      </c>
      <c r="AE281" s="35">
        <f>I281</f>
        <v>0</v>
      </c>
      <c r="AF281" s="35">
        <f>IF(AQ281="2",BH281,0)</f>
        <v>0</v>
      </c>
      <c r="AG281" s="35">
        <f>IF(AQ281="2",BI281,0)</f>
        <v>0</v>
      </c>
      <c r="AH281" s="35">
        <f>IF(AQ281="0",BJ281,0)</f>
        <v>0</v>
      </c>
      <c r="AI281" s="10" t="s">
        <v>162</v>
      </c>
      <c r="AJ281" s="33">
        <f>IF(AN281=0,J281,0)</f>
        <v>0</v>
      </c>
      <c r="AK281" s="33">
        <f>IF(AN281=15,J281,0)</f>
        <v>0</v>
      </c>
      <c r="AL281" s="33">
        <f>IF(AN281=21,J281,0)</f>
        <v>0</v>
      </c>
      <c r="AN281" s="35">
        <v>21</v>
      </c>
      <c r="AO281" s="35">
        <f>G281*0.450163025261297</f>
        <v>0</v>
      </c>
      <c r="AP281" s="35">
        <f>G281*(1-0.450163025261297)</f>
        <v>0</v>
      </c>
      <c r="AQ281" s="36" t="s">
        <v>12</v>
      </c>
      <c r="AV281" s="35">
        <f>AW281+AX281</f>
        <v>0</v>
      </c>
      <c r="AW281" s="35">
        <f>F281*AO281</f>
        <v>0</v>
      </c>
      <c r="AX281" s="35">
        <f>F281*AP281</f>
        <v>0</v>
      </c>
      <c r="AY281" s="37" t="s">
        <v>692</v>
      </c>
      <c r="AZ281" s="37" t="s">
        <v>717</v>
      </c>
      <c r="BA281" s="10" t="s">
        <v>722</v>
      </c>
      <c r="BC281" s="35">
        <f>AW281+AX281</f>
        <v>0</v>
      </c>
      <c r="BD281" s="35">
        <f>G281/(100-BE281)*100</f>
        <v>0</v>
      </c>
      <c r="BE281" s="35">
        <v>0</v>
      </c>
      <c r="BF281" s="35">
        <f>L281</f>
        <v>0.026796</v>
      </c>
      <c r="BH281" s="33">
        <f>F281*AO281</f>
        <v>0</v>
      </c>
      <c r="BI281" s="33">
        <f>F281*AP281</f>
        <v>0</v>
      </c>
      <c r="BJ281" s="33">
        <f>F281*G281</f>
        <v>0</v>
      </c>
      <c r="BK281" s="33" t="s">
        <v>728</v>
      </c>
      <c r="BL281" s="35">
        <v>764</v>
      </c>
    </row>
    <row r="282" spans="1:14" ht="12.75">
      <c r="A282" s="2"/>
      <c r="D282" s="38" t="s">
        <v>587</v>
      </c>
      <c r="F282" s="39">
        <v>4.4</v>
      </c>
      <c r="M282" s="40"/>
      <c r="N282" s="2"/>
    </row>
    <row r="283" spans="1:64" ht="12.75">
      <c r="A283" s="31" t="s">
        <v>125</v>
      </c>
      <c r="B283" s="32" t="s">
        <v>162</v>
      </c>
      <c r="C283" s="32" t="s">
        <v>293</v>
      </c>
      <c r="D283" s="32" t="s">
        <v>588</v>
      </c>
      <c r="E283" s="32" t="s">
        <v>650</v>
      </c>
      <c r="F283" s="33">
        <v>16.05</v>
      </c>
      <c r="G283" s="33">
        <f>J283/F283</f>
        <v>0</v>
      </c>
      <c r="H283" s="61">
        <v>0</v>
      </c>
      <c r="I283" s="61">
        <v>0</v>
      </c>
      <c r="J283" s="33">
        <f>H283+I283</f>
        <v>0</v>
      </c>
      <c r="K283" s="33">
        <v>0.00415</v>
      </c>
      <c r="L283" s="33">
        <f>F283*K283</f>
        <v>0.0666075</v>
      </c>
      <c r="M283" s="34" t="s">
        <v>680</v>
      </c>
      <c r="N283" s="2"/>
      <c r="Z283" s="35">
        <f>IF(AQ283="5",BJ283,0)</f>
        <v>0</v>
      </c>
      <c r="AB283" s="35">
        <f>IF(AQ283="1",BH283,0)</f>
        <v>0</v>
      </c>
      <c r="AC283" s="35">
        <f>IF(AQ283="1",BI283,0)</f>
        <v>0</v>
      </c>
      <c r="AD283" s="35">
        <f>H283</f>
        <v>0</v>
      </c>
      <c r="AE283" s="35">
        <f>I283</f>
        <v>0</v>
      </c>
      <c r="AF283" s="35">
        <f>IF(AQ283="2",BH283,0)</f>
        <v>0</v>
      </c>
      <c r="AG283" s="35">
        <f>IF(AQ283="2",BI283,0)</f>
        <v>0</v>
      </c>
      <c r="AH283" s="35">
        <f>IF(AQ283="0",BJ283,0)</f>
        <v>0</v>
      </c>
      <c r="AI283" s="10" t="s">
        <v>162</v>
      </c>
      <c r="AJ283" s="33">
        <f>IF(AN283=0,J283,0)</f>
        <v>0</v>
      </c>
      <c r="AK283" s="33">
        <f>IF(AN283=15,J283,0)</f>
        <v>0</v>
      </c>
      <c r="AL283" s="33">
        <f>IF(AN283=21,J283,0)</f>
        <v>0</v>
      </c>
      <c r="AN283" s="35">
        <v>21</v>
      </c>
      <c r="AO283" s="35">
        <f>G283*0.485041841004184</f>
        <v>0</v>
      </c>
      <c r="AP283" s="35">
        <f>G283*(1-0.485041841004184)</f>
        <v>0</v>
      </c>
      <c r="AQ283" s="36" t="s">
        <v>12</v>
      </c>
      <c r="AV283" s="35">
        <f>AW283+AX283</f>
        <v>0</v>
      </c>
      <c r="AW283" s="35">
        <f>F283*AO283</f>
        <v>0</v>
      </c>
      <c r="AX283" s="35">
        <f>F283*AP283</f>
        <v>0</v>
      </c>
      <c r="AY283" s="37" t="s">
        <v>692</v>
      </c>
      <c r="AZ283" s="37" t="s">
        <v>717</v>
      </c>
      <c r="BA283" s="10" t="s">
        <v>722</v>
      </c>
      <c r="BC283" s="35">
        <f>AW283+AX283</f>
        <v>0</v>
      </c>
      <c r="BD283" s="35">
        <f>G283/(100-BE283)*100</f>
        <v>0</v>
      </c>
      <c r="BE283" s="35">
        <v>0</v>
      </c>
      <c r="BF283" s="35">
        <f>L283</f>
        <v>0.0666075</v>
      </c>
      <c r="BH283" s="33">
        <f>F283*AO283</f>
        <v>0</v>
      </c>
      <c r="BI283" s="33">
        <f>F283*AP283</f>
        <v>0</v>
      </c>
      <c r="BJ283" s="33">
        <f>F283*G283</f>
        <v>0</v>
      </c>
      <c r="BK283" s="33" t="s">
        <v>728</v>
      </c>
      <c r="BL283" s="35">
        <v>764</v>
      </c>
    </row>
    <row r="284" spans="1:14" ht="12.75">
      <c r="A284" s="2"/>
      <c r="D284" s="38" t="s">
        <v>589</v>
      </c>
      <c r="F284" s="39">
        <v>16.05</v>
      </c>
      <c r="M284" s="40"/>
      <c r="N284" s="2"/>
    </row>
    <row r="285" spans="1:64" ht="12.75">
      <c r="A285" s="31" t="s">
        <v>126</v>
      </c>
      <c r="B285" s="32" t="s">
        <v>162</v>
      </c>
      <c r="C285" s="32" t="s">
        <v>294</v>
      </c>
      <c r="D285" s="32" t="s">
        <v>590</v>
      </c>
      <c r="E285" s="32" t="s">
        <v>652</v>
      </c>
      <c r="F285" s="33">
        <v>1</v>
      </c>
      <c r="G285" s="33">
        <f>J285/F285</f>
        <v>0</v>
      </c>
      <c r="H285" s="61">
        <v>0</v>
      </c>
      <c r="I285" s="61">
        <v>0</v>
      </c>
      <c r="J285" s="33">
        <f>H285+I285</f>
        <v>0</v>
      </c>
      <c r="K285" s="33">
        <v>0.00046</v>
      </c>
      <c r="L285" s="33">
        <f>F285*K285</f>
        <v>0.00046</v>
      </c>
      <c r="M285" s="34" t="s">
        <v>680</v>
      </c>
      <c r="N285" s="2"/>
      <c r="Z285" s="35">
        <f>IF(AQ285="5",BJ285,0)</f>
        <v>0</v>
      </c>
      <c r="AB285" s="35">
        <f>IF(AQ285="1",BH285,0)</f>
        <v>0</v>
      </c>
      <c r="AC285" s="35">
        <f>IF(AQ285="1",BI285,0)</f>
        <v>0</v>
      </c>
      <c r="AD285" s="35">
        <f>H285</f>
        <v>0</v>
      </c>
      <c r="AE285" s="35">
        <f>I285</f>
        <v>0</v>
      </c>
      <c r="AF285" s="35">
        <f>IF(AQ285="2",BH285,0)</f>
        <v>0</v>
      </c>
      <c r="AG285" s="35">
        <f>IF(AQ285="2",BI285,0)</f>
        <v>0</v>
      </c>
      <c r="AH285" s="35">
        <f>IF(AQ285="0",BJ285,0)</f>
        <v>0</v>
      </c>
      <c r="AI285" s="10" t="s">
        <v>162</v>
      </c>
      <c r="AJ285" s="33">
        <f>IF(AN285=0,J285,0)</f>
        <v>0</v>
      </c>
      <c r="AK285" s="33">
        <f>IF(AN285=15,J285,0)</f>
        <v>0</v>
      </c>
      <c r="AL285" s="33">
        <f>IF(AN285=21,J285,0)</f>
        <v>0</v>
      </c>
      <c r="AN285" s="35">
        <v>21</v>
      </c>
      <c r="AO285" s="35">
        <f>G285*0.0551958943904754</f>
        <v>0</v>
      </c>
      <c r="AP285" s="35">
        <f>G285*(1-0.0551958943904754)</f>
        <v>0</v>
      </c>
      <c r="AQ285" s="36" t="s">
        <v>12</v>
      </c>
      <c r="AV285" s="35">
        <f>AW285+AX285</f>
        <v>0</v>
      </c>
      <c r="AW285" s="35">
        <f>F285*AO285</f>
        <v>0</v>
      </c>
      <c r="AX285" s="35">
        <f>F285*AP285</f>
        <v>0</v>
      </c>
      <c r="AY285" s="37" t="s">
        <v>692</v>
      </c>
      <c r="AZ285" s="37" t="s">
        <v>717</v>
      </c>
      <c r="BA285" s="10" t="s">
        <v>722</v>
      </c>
      <c r="BC285" s="35">
        <f>AW285+AX285</f>
        <v>0</v>
      </c>
      <c r="BD285" s="35">
        <f>G285/(100-BE285)*100</f>
        <v>0</v>
      </c>
      <c r="BE285" s="35">
        <v>0</v>
      </c>
      <c r="BF285" s="35">
        <f>L285</f>
        <v>0.00046</v>
      </c>
      <c r="BH285" s="33">
        <f>F285*AO285</f>
        <v>0</v>
      </c>
      <c r="BI285" s="33">
        <f>F285*AP285</f>
        <v>0</v>
      </c>
      <c r="BJ285" s="33">
        <f>F285*G285</f>
        <v>0</v>
      </c>
      <c r="BK285" s="33" t="s">
        <v>728</v>
      </c>
      <c r="BL285" s="35">
        <v>764</v>
      </c>
    </row>
    <row r="286" spans="1:14" ht="12.75">
      <c r="A286" s="2"/>
      <c r="D286" s="38" t="s">
        <v>390</v>
      </c>
      <c r="F286" s="39">
        <v>1</v>
      </c>
      <c r="M286" s="40"/>
      <c r="N286" s="2"/>
    </row>
    <row r="287" spans="1:64" ht="12.75">
      <c r="A287" s="31" t="s">
        <v>127</v>
      </c>
      <c r="B287" s="32" t="s">
        <v>162</v>
      </c>
      <c r="C287" s="32" t="s">
        <v>295</v>
      </c>
      <c r="D287" s="32" t="s">
        <v>591</v>
      </c>
      <c r="E287" s="32" t="s">
        <v>650</v>
      </c>
      <c r="F287" s="33">
        <v>28</v>
      </c>
      <c r="G287" s="33">
        <f>J287/F287</f>
        <v>0</v>
      </c>
      <c r="H287" s="61">
        <v>0</v>
      </c>
      <c r="I287" s="61">
        <v>0</v>
      </c>
      <c r="J287" s="33">
        <f>H287+I287</f>
        <v>0</v>
      </c>
      <c r="K287" s="33">
        <v>0.00194</v>
      </c>
      <c r="L287" s="33">
        <f>F287*K287</f>
        <v>0.05432</v>
      </c>
      <c r="M287" s="34" t="s">
        <v>680</v>
      </c>
      <c r="N287" s="2"/>
      <c r="Z287" s="35">
        <f>IF(AQ287="5",BJ287,0)</f>
        <v>0</v>
      </c>
      <c r="AB287" s="35">
        <f>IF(AQ287="1",BH287,0)</f>
        <v>0</v>
      </c>
      <c r="AC287" s="35">
        <f>IF(AQ287="1",BI287,0)</f>
        <v>0</v>
      </c>
      <c r="AD287" s="35">
        <f>H287</f>
        <v>0</v>
      </c>
      <c r="AE287" s="35">
        <f>I287</f>
        <v>0</v>
      </c>
      <c r="AF287" s="35">
        <f>IF(AQ287="2",BH287,0)</f>
        <v>0</v>
      </c>
      <c r="AG287" s="35">
        <f>IF(AQ287="2",BI287,0)</f>
        <v>0</v>
      </c>
      <c r="AH287" s="35">
        <f>IF(AQ287="0",BJ287,0)</f>
        <v>0</v>
      </c>
      <c r="AI287" s="10" t="s">
        <v>162</v>
      </c>
      <c r="AJ287" s="33">
        <f>IF(AN287=0,J287,0)</f>
        <v>0</v>
      </c>
      <c r="AK287" s="33">
        <f>IF(AN287=15,J287,0)</f>
        <v>0</v>
      </c>
      <c r="AL287" s="33">
        <f>IF(AN287=21,J287,0)</f>
        <v>0</v>
      </c>
      <c r="AN287" s="35">
        <v>21</v>
      </c>
      <c r="AO287" s="35">
        <f>G287*0.0663859275053305</f>
        <v>0</v>
      </c>
      <c r="AP287" s="35">
        <f>G287*(1-0.0663859275053305)</f>
        <v>0</v>
      </c>
      <c r="AQ287" s="36" t="s">
        <v>12</v>
      </c>
      <c r="AV287" s="35">
        <f>AW287+AX287</f>
        <v>0</v>
      </c>
      <c r="AW287" s="35">
        <f>F287*AO287</f>
        <v>0</v>
      </c>
      <c r="AX287" s="35">
        <f>F287*AP287</f>
        <v>0</v>
      </c>
      <c r="AY287" s="37" t="s">
        <v>692</v>
      </c>
      <c r="AZ287" s="37" t="s">
        <v>717</v>
      </c>
      <c r="BA287" s="10" t="s">
        <v>722</v>
      </c>
      <c r="BC287" s="35">
        <f>AW287+AX287</f>
        <v>0</v>
      </c>
      <c r="BD287" s="35">
        <f>G287/(100-BE287)*100</f>
        <v>0</v>
      </c>
      <c r="BE287" s="35">
        <v>0</v>
      </c>
      <c r="BF287" s="35">
        <f>L287</f>
        <v>0.05432</v>
      </c>
      <c r="BH287" s="33">
        <f>F287*AO287</f>
        <v>0</v>
      </c>
      <c r="BI287" s="33">
        <f>F287*AP287</f>
        <v>0</v>
      </c>
      <c r="BJ287" s="33">
        <f>F287*G287</f>
        <v>0</v>
      </c>
      <c r="BK287" s="33" t="s">
        <v>728</v>
      </c>
      <c r="BL287" s="35">
        <v>764</v>
      </c>
    </row>
    <row r="288" spans="1:14" ht="12.75">
      <c r="A288" s="2"/>
      <c r="D288" s="38" t="s">
        <v>592</v>
      </c>
      <c r="F288" s="39">
        <v>28</v>
      </c>
      <c r="M288" s="40"/>
      <c r="N288" s="2"/>
    </row>
    <row r="289" spans="1:64" ht="12.75">
      <c r="A289" s="48" t="s">
        <v>128</v>
      </c>
      <c r="B289" s="49" t="s">
        <v>162</v>
      </c>
      <c r="C289" s="49" t="s">
        <v>296</v>
      </c>
      <c r="D289" s="49" t="s">
        <v>593</v>
      </c>
      <c r="E289" s="49" t="s">
        <v>650</v>
      </c>
      <c r="F289" s="50">
        <v>28</v>
      </c>
      <c r="G289" s="33">
        <f>J289/F289</f>
        <v>0</v>
      </c>
      <c r="H289" s="61">
        <v>0</v>
      </c>
      <c r="I289" s="61">
        <v>0</v>
      </c>
      <c r="J289" s="33">
        <f>H289+I289</f>
        <v>0</v>
      </c>
      <c r="K289" s="50">
        <v>0.00054</v>
      </c>
      <c r="L289" s="50">
        <f>F289*K289</f>
        <v>0.01512</v>
      </c>
      <c r="M289" s="51" t="s">
        <v>680</v>
      </c>
      <c r="N289" s="2"/>
      <c r="Z289" s="35">
        <f>IF(AQ289="5",BJ289,0)</f>
        <v>0</v>
      </c>
      <c r="AB289" s="35">
        <f>IF(AQ289="1",BH289,0)</f>
        <v>0</v>
      </c>
      <c r="AC289" s="35">
        <f>IF(AQ289="1",BI289,0)</f>
        <v>0</v>
      </c>
      <c r="AD289" s="35">
        <f>H289</f>
        <v>0</v>
      </c>
      <c r="AE289" s="35">
        <f>I289</f>
        <v>0</v>
      </c>
      <c r="AF289" s="35">
        <f>IF(AQ289="2",BH289,0)</f>
        <v>0</v>
      </c>
      <c r="AG289" s="35">
        <f>IF(AQ289="2",BI289,0)</f>
        <v>0</v>
      </c>
      <c r="AH289" s="35">
        <f>IF(AQ289="0",BJ289,0)</f>
        <v>0</v>
      </c>
      <c r="AI289" s="10" t="s">
        <v>162</v>
      </c>
      <c r="AJ289" s="50">
        <f>IF(AN289=0,J289,0)</f>
        <v>0</v>
      </c>
      <c r="AK289" s="50">
        <f>IF(AN289=15,J289,0)</f>
        <v>0</v>
      </c>
      <c r="AL289" s="50">
        <f>IF(AN289=21,J289,0)</f>
        <v>0</v>
      </c>
      <c r="AN289" s="35">
        <v>21</v>
      </c>
      <c r="AO289" s="35">
        <f>G289*1</f>
        <v>0</v>
      </c>
      <c r="AP289" s="35">
        <f>G289*(1-1)</f>
        <v>0</v>
      </c>
      <c r="AQ289" s="52" t="s">
        <v>12</v>
      </c>
      <c r="AV289" s="35">
        <f>AW289+AX289</f>
        <v>0</v>
      </c>
      <c r="AW289" s="35">
        <f>F289*AO289</f>
        <v>0</v>
      </c>
      <c r="AX289" s="35">
        <f>F289*AP289</f>
        <v>0</v>
      </c>
      <c r="AY289" s="37" t="s">
        <v>692</v>
      </c>
      <c r="AZ289" s="37" t="s">
        <v>717</v>
      </c>
      <c r="BA289" s="10" t="s">
        <v>722</v>
      </c>
      <c r="BC289" s="35">
        <f>AW289+AX289</f>
        <v>0</v>
      </c>
      <c r="BD289" s="35">
        <f>G289/(100-BE289)*100</f>
        <v>0</v>
      </c>
      <c r="BE289" s="35">
        <v>0</v>
      </c>
      <c r="BF289" s="35">
        <f>L289</f>
        <v>0.01512</v>
      </c>
      <c r="BH289" s="50">
        <f>F289*AO289</f>
        <v>0</v>
      </c>
      <c r="BI289" s="50">
        <f>F289*AP289</f>
        <v>0</v>
      </c>
      <c r="BJ289" s="50">
        <f>F289*G289</f>
        <v>0</v>
      </c>
      <c r="BK289" s="50" t="s">
        <v>729</v>
      </c>
      <c r="BL289" s="35">
        <v>764</v>
      </c>
    </row>
    <row r="290" spans="1:14" ht="12.75">
      <c r="A290" s="2"/>
      <c r="D290" s="38" t="s">
        <v>592</v>
      </c>
      <c r="F290" s="39">
        <v>28</v>
      </c>
      <c r="M290" s="40"/>
      <c r="N290" s="2"/>
    </row>
    <row r="291" spans="1:64" ht="12.75">
      <c r="A291" s="31" t="s">
        <v>129</v>
      </c>
      <c r="B291" s="32" t="s">
        <v>162</v>
      </c>
      <c r="C291" s="32" t="s">
        <v>297</v>
      </c>
      <c r="D291" s="32" t="s">
        <v>594</v>
      </c>
      <c r="E291" s="32" t="s">
        <v>652</v>
      </c>
      <c r="F291" s="33">
        <v>26</v>
      </c>
      <c r="G291" s="33">
        <f>J291/F291</f>
        <v>0</v>
      </c>
      <c r="H291" s="61">
        <v>0</v>
      </c>
      <c r="I291" s="61">
        <v>0</v>
      </c>
      <c r="J291" s="33">
        <f>H291+I291</f>
        <v>0</v>
      </c>
      <c r="K291" s="33">
        <v>0.00022</v>
      </c>
      <c r="L291" s="33">
        <f>F291*K291</f>
        <v>0.00572</v>
      </c>
      <c r="M291" s="34" t="s">
        <v>680</v>
      </c>
      <c r="N291" s="2"/>
      <c r="Z291" s="35">
        <f>IF(AQ291="5",BJ291,0)</f>
        <v>0</v>
      </c>
      <c r="AB291" s="35">
        <f>IF(AQ291="1",BH291,0)</f>
        <v>0</v>
      </c>
      <c r="AC291" s="35">
        <f>IF(AQ291="1",BI291,0)</f>
        <v>0</v>
      </c>
      <c r="AD291" s="35">
        <f>H291</f>
        <v>0</v>
      </c>
      <c r="AE291" s="35">
        <f>I291</f>
        <v>0</v>
      </c>
      <c r="AF291" s="35">
        <f>IF(AQ291="2",BH291,0)</f>
        <v>0</v>
      </c>
      <c r="AG291" s="35">
        <f>IF(AQ291="2",BI291,0)</f>
        <v>0</v>
      </c>
      <c r="AH291" s="35">
        <f>IF(AQ291="0",BJ291,0)</f>
        <v>0</v>
      </c>
      <c r="AI291" s="10" t="s">
        <v>162</v>
      </c>
      <c r="AJ291" s="33">
        <f>IF(AN291=0,J291,0)</f>
        <v>0</v>
      </c>
      <c r="AK291" s="33">
        <f>IF(AN291=15,J291,0)</f>
        <v>0</v>
      </c>
      <c r="AL291" s="33">
        <f>IF(AN291=21,J291,0)</f>
        <v>0</v>
      </c>
      <c r="AN291" s="35">
        <v>21</v>
      </c>
      <c r="AO291" s="35">
        <f>G291*0.0584412470023981</f>
        <v>0</v>
      </c>
      <c r="AP291" s="35">
        <f>G291*(1-0.0584412470023981)</f>
        <v>0</v>
      </c>
      <c r="AQ291" s="36" t="s">
        <v>12</v>
      </c>
      <c r="AV291" s="35">
        <f>AW291+AX291</f>
        <v>0</v>
      </c>
      <c r="AW291" s="35">
        <f>F291*AO291</f>
        <v>0</v>
      </c>
      <c r="AX291" s="35">
        <f>F291*AP291</f>
        <v>0</v>
      </c>
      <c r="AY291" s="37" t="s">
        <v>692</v>
      </c>
      <c r="AZ291" s="37" t="s">
        <v>717</v>
      </c>
      <c r="BA291" s="10" t="s">
        <v>722</v>
      </c>
      <c r="BC291" s="35">
        <f>AW291+AX291</f>
        <v>0</v>
      </c>
      <c r="BD291" s="35">
        <f>G291/(100-BE291)*100</f>
        <v>0</v>
      </c>
      <c r="BE291" s="35">
        <v>0</v>
      </c>
      <c r="BF291" s="35">
        <f>L291</f>
        <v>0.00572</v>
      </c>
      <c r="BH291" s="33">
        <f>F291*AO291</f>
        <v>0</v>
      </c>
      <c r="BI291" s="33">
        <f>F291*AP291</f>
        <v>0</v>
      </c>
      <c r="BJ291" s="33">
        <f>F291*G291</f>
        <v>0</v>
      </c>
      <c r="BK291" s="33" t="s">
        <v>728</v>
      </c>
      <c r="BL291" s="35">
        <v>764</v>
      </c>
    </row>
    <row r="292" spans="1:14" ht="12.75">
      <c r="A292" s="2"/>
      <c r="D292" s="38" t="s">
        <v>595</v>
      </c>
      <c r="F292" s="39">
        <v>26</v>
      </c>
      <c r="M292" s="40"/>
      <c r="N292" s="2"/>
    </row>
    <row r="293" spans="1:64" ht="12.75">
      <c r="A293" s="48" t="s">
        <v>130</v>
      </c>
      <c r="B293" s="49" t="s">
        <v>162</v>
      </c>
      <c r="C293" s="49" t="s">
        <v>298</v>
      </c>
      <c r="D293" s="49" t="s">
        <v>596</v>
      </c>
      <c r="E293" s="49" t="s">
        <v>652</v>
      </c>
      <c r="F293" s="50">
        <v>26</v>
      </c>
      <c r="G293" s="33">
        <f>J293/F293</f>
        <v>0</v>
      </c>
      <c r="H293" s="61">
        <v>0</v>
      </c>
      <c r="I293" s="61">
        <v>0</v>
      </c>
      <c r="J293" s="33">
        <f>H293+I293</f>
        <v>0</v>
      </c>
      <c r="K293" s="50">
        <v>0</v>
      </c>
      <c r="L293" s="50">
        <f>F293*K293</f>
        <v>0</v>
      </c>
      <c r="M293" s="51" t="s">
        <v>681</v>
      </c>
      <c r="N293" s="2"/>
      <c r="Z293" s="35">
        <f>IF(AQ293="5",BJ293,0)</f>
        <v>0</v>
      </c>
      <c r="AB293" s="35">
        <f>IF(AQ293="1",BH293,0)</f>
        <v>0</v>
      </c>
      <c r="AC293" s="35">
        <f>IF(AQ293="1",BI293,0)</f>
        <v>0</v>
      </c>
      <c r="AD293" s="35">
        <f>H293</f>
        <v>0</v>
      </c>
      <c r="AE293" s="35">
        <f>I293</f>
        <v>0</v>
      </c>
      <c r="AF293" s="35">
        <f>IF(AQ293="2",BH293,0)</f>
        <v>0</v>
      </c>
      <c r="AG293" s="35">
        <f>IF(AQ293="2",BI293,0)</f>
        <v>0</v>
      </c>
      <c r="AH293" s="35">
        <f>IF(AQ293="0",BJ293,0)</f>
        <v>0</v>
      </c>
      <c r="AI293" s="10" t="s">
        <v>162</v>
      </c>
      <c r="AJ293" s="50">
        <f>IF(AN293=0,J293,0)</f>
        <v>0</v>
      </c>
      <c r="AK293" s="50">
        <f>IF(AN293=15,J293,0)</f>
        <v>0</v>
      </c>
      <c r="AL293" s="50">
        <f>IF(AN293=21,J293,0)</f>
        <v>0</v>
      </c>
      <c r="AN293" s="35">
        <v>21</v>
      </c>
      <c r="AO293" s="35">
        <f>G293*1</f>
        <v>0</v>
      </c>
      <c r="AP293" s="35">
        <f>G293*(1-1)</f>
        <v>0</v>
      </c>
      <c r="AQ293" s="52" t="s">
        <v>12</v>
      </c>
      <c r="AV293" s="35">
        <f>AW293+AX293</f>
        <v>0</v>
      </c>
      <c r="AW293" s="35">
        <f>F293*AO293</f>
        <v>0</v>
      </c>
      <c r="AX293" s="35">
        <f>F293*AP293</f>
        <v>0</v>
      </c>
      <c r="AY293" s="37" t="s">
        <v>692</v>
      </c>
      <c r="AZ293" s="37" t="s">
        <v>717</v>
      </c>
      <c r="BA293" s="10" t="s">
        <v>722</v>
      </c>
      <c r="BC293" s="35">
        <f>AW293+AX293</f>
        <v>0</v>
      </c>
      <c r="BD293" s="35">
        <f>G293/(100-BE293)*100</f>
        <v>0</v>
      </c>
      <c r="BE293" s="35">
        <v>0</v>
      </c>
      <c r="BF293" s="35">
        <f>L293</f>
        <v>0</v>
      </c>
      <c r="BH293" s="50">
        <f>F293*AO293</f>
        <v>0</v>
      </c>
      <c r="BI293" s="50">
        <f>F293*AP293</f>
        <v>0</v>
      </c>
      <c r="BJ293" s="50">
        <f>F293*G293</f>
        <v>0</v>
      </c>
      <c r="BK293" s="50" t="s">
        <v>729</v>
      </c>
      <c r="BL293" s="35">
        <v>764</v>
      </c>
    </row>
    <row r="294" spans="1:14" ht="12.75">
      <c r="A294" s="2"/>
      <c r="D294" s="38" t="s">
        <v>597</v>
      </c>
      <c r="F294" s="39">
        <v>26</v>
      </c>
      <c r="M294" s="40"/>
      <c r="N294" s="2"/>
    </row>
    <row r="295" spans="1:64" ht="12.75">
      <c r="A295" s="31" t="s">
        <v>131</v>
      </c>
      <c r="B295" s="32" t="s">
        <v>162</v>
      </c>
      <c r="C295" s="32" t="s">
        <v>299</v>
      </c>
      <c r="D295" s="32" t="s">
        <v>598</v>
      </c>
      <c r="E295" s="32" t="s">
        <v>652</v>
      </c>
      <c r="F295" s="33">
        <v>26</v>
      </c>
      <c r="G295" s="33">
        <f>J295/F295</f>
        <v>0</v>
      </c>
      <c r="H295" s="61">
        <v>0</v>
      </c>
      <c r="I295" s="61">
        <v>0</v>
      </c>
      <c r="J295" s="33">
        <f>H295+I295</f>
        <v>0</v>
      </c>
      <c r="K295" s="33">
        <v>5E-05</v>
      </c>
      <c r="L295" s="33">
        <f>F295*K295</f>
        <v>0.0013000000000000002</v>
      </c>
      <c r="M295" s="34" t="s">
        <v>680</v>
      </c>
      <c r="N295" s="2"/>
      <c r="Z295" s="35">
        <f>IF(AQ295="5",BJ295,0)</f>
        <v>0</v>
      </c>
      <c r="AB295" s="35">
        <f>IF(AQ295="1",BH295,0)</f>
        <v>0</v>
      </c>
      <c r="AC295" s="35">
        <f>IF(AQ295="1",BI295,0)</f>
        <v>0</v>
      </c>
      <c r="AD295" s="35">
        <f>H295</f>
        <v>0</v>
      </c>
      <c r="AE295" s="35">
        <f>I295</f>
        <v>0</v>
      </c>
      <c r="AF295" s="35">
        <f>IF(AQ295="2",BH295,0)</f>
        <v>0</v>
      </c>
      <c r="AG295" s="35">
        <f>IF(AQ295="2",BI295,0)</f>
        <v>0</v>
      </c>
      <c r="AH295" s="35">
        <f>IF(AQ295="0",BJ295,0)</f>
        <v>0</v>
      </c>
      <c r="AI295" s="10" t="s">
        <v>162</v>
      </c>
      <c r="AJ295" s="33">
        <f>IF(AN295=0,J295,0)</f>
        <v>0</v>
      </c>
      <c r="AK295" s="33">
        <f>IF(AN295=15,J295,0)</f>
        <v>0</v>
      </c>
      <c r="AL295" s="33">
        <f>IF(AN295=21,J295,0)</f>
        <v>0</v>
      </c>
      <c r="AN295" s="35">
        <v>21</v>
      </c>
      <c r="AO295" s="35">
        <f>G295*0.0973958333333333</f>
        <v>0</v>
      </c>
      <c r="AP295" s="35">
        <f>G295*(1-0.0973958333333333)</f>
        <v>0</v>
      </c>
      <c r="AQ295" s="36" t="s">
        <v>12</v>
      </c>
      <c r="AV295" s="35">
        <f>AW295+AX295</f>
        <v>0</v>
      </c>
      <c r="AW295" s="35">
        <f>F295*AO295</f>
        <v>0</v>
      </c>
      <c r="AX295" s="35">
        <f>F295*AP295</f>
        <v>0</v>
      </c>
      <c r="AY295" s="37" t="s">
        <v>692</v>
      </c>
      <c r="AZ295" s="37" t="s">
        <v>717</v>
      </c>
      <c r="BA295" s="10" t="s">
        <v>722</v>
      </c>
      <c r="BC295" s="35">
        <f>AW295+AX295</f>
        <v>0</v>
      </c>
      <c r="BD295" s="35">
        <f>G295/(100-BE295)*100</f>
        <v>0</v>
      </c>
      <c r="BE295" s="35">
        <v>0</v>
      </c>
      <c r="BF295" s="35">
        <f>L295</f>
        <v>0.0013000000000000002</v>
      </c>
      <c r="BH295" s="33">
        <f>F295*AO295</f>
        <v>0</v>
      </c>
      <c r="BI295" s="33">
        <f>F295*AP295</f>
        <v>0</v>
      </c>
      <c r="BJ295" s="33">
        <f>F295*G295</f>
        <v>0</v>
      </c>
      <c r="BK295" s="33" t="s">
        <v>728</v>
      </c>
      <c r="BL295" s="35">
        <v>764</v>
      </c>
    </row>
    <row r="296" spans="1:14" ht="12.75">
      <c r="A296" s="2"/>
      <c r="D296" s="38" t="s">
        <v>595</v>
      </c>
      <c r="F296" s="39">
        <v>26</v>
      </c>
      <c r="M296" s="40"/>
      <c r="N296" s="2"/>
    </row>
    <row r="297" spans="1:64" ht="12.75">
      <c r="A297" s="48" t="s">
        <v>132</v>
      </c>
      <c r="B297" s="49" t="s">
        <v>162</v>
      </c>
      <c r="C297" s="49" t="s">
        <v>300</v>
      </c>
      <c r="D297" s="49" t="s">
        <v>599</v>
      </c>
      <c r="E297" s="49" t="s">
        <v>652</v>
      </c>
      <c r="F297" s="50">
        <v>26</v>
      </c>
      <c r="G297" s="33">
        <f>J297/F297</f>
        <v>0</v>
      </c>
      <c r="H297" s="61">
        <v>0</v>
      </c>
      <c r="I297" s="61">
        <v>0</v>
      </c>
      <c r="J297" s="33">
        <f>H297+I297</f>
        <v>0</v>
      </c>
      <c r="K297" s="50">
        <v>0</v>
      </c>
      <c r="L297" s="50">
        <f>F297*K297</f>
        <v>0</v>
      </c>
      <c r="M297" s="51" t="s">
        <v>680</v>
      </c>
      <c r="N297" s="2"/>
      <c r="Z297" s="35">
        <f>IF(AQ297="5",BJ297,0)</f>
        <v>0</v>
      </c>
      <c r="AB297" s="35">
        <f>IF(AQ297="1",BH297,0)</f>
        <v>0</v>
      </c>
      <c r="AC297" s="35">
        <f>IF(AQ297="1",BI297,0)</f>
        <v>0</v>
      </c>
      <c r="AD297" s="35">
        <f>H297</f>
        <v>0</v>
      </c>
      <c r="AE297" s="35">
        <f>I297</f>
        <v>0</v>
      </c>
      <c r="AF297" s="35">
        <f>IF(AQ297="2",BH297,0)</f>
        <v>0</v>
      </c>
      <c r="AG297" s="35">
        <f>IF(AQ297="2",BI297,0)</f>
        <v>0</v>
      </c>
      <c r="AH297" s="35">
        <f>IF(AQ297="0",BJ297,0)</f>
        <v>0</v>
      </c>
      <c r="AI297" s="10" t="s">
        <v>162</v>
      </c>
      <c r="AJ297" s="50">
        <f>IF(AN297=0,J297,0)</f>
        <v>0</v>
      </c>
      <c r="AK297" s="50">
        <f>IF(AN297=15,J297,0)</f>
        <v>0</v>
      </c>
      <c r="AL297" s="50">
        <f>IF(AN297=21,J297,0)</f>
        <v>0</v>
      </c>
      <c r="AN297" s="35">
        <v>21</v>
      </c>
      <c r="AO297" s="35">
        <f>G297*1</f>
        <v>0</v>
      </c>
      <c r="AP297" s="35">
        <f>G297*(1-1)</f>
        <v>0</v>
      </c>
      <c r="AQ297" s="52" t="s">
        <v>12</v>
      </c>
      <c r="AV297" s="35">
        <f>AW297+AX297</f>
        <v>0</v>
      </c>
      <c r="AW297" s="35">
        <f>F297*AO297</f>
        <v>0</v>
      </c>
      <c r="AX297" s="35">
        <f>F297*AP297</f>
        <v>0</v>
      </c>
      <c r="AY297" s="37" t="s">
        <v>692</v>
      </c>
      <c r="AZ297" s="37" t="s">
        <v>717</v>
      </c>
      <c r="BA297" s="10" t="s">
        <v>722</v>
      </c>
      <c r="BC297" s="35">
        <f>AW297+AX297</f>
        <v>0</v>
      </c>
      <c r="BD297" s="35">
        <f>G297/(100-BE297)*100</f>
        <v>0</v>
      </c>
      <c r="BE297" s="35">
        <v>0</v>
      </c>
      <c r="BF297" s="35">
        <f>L297</f>
        <v>0</v>
      </c>
      <c r="BH297" s="50">
        <f>F297*AO297</f>
        <v>0</v>
      </c>
      <c r="BI297" s="50">
        <f>F297*AP297</f>
        <v>0</v>
      </c>
      <c r="BJ297" s="50">
        <f>F297*G297</f>
        <v>0</v>
      </c>
      <c r="BK297" s="50" t="s">
        <v>729</v>
      </c>
      <c r="BL297" s="35">
        <v>764</v>
      </c>
    </row>
    <row r="298" spans="1:14" ht="12.75">
      <c r="A298" s="2"/>
      <c r="D298" s="38" t="s">
        <v>595</v>
      </c>
      <c r="F298" s="39">
        <v>26</v>
      </c>
      <c r="M298" s="40"/>
      <c r="N298" s="2"/>
    </row>
    <row r="299" spans="1:64" ht="12.75">
      <c r="A299" s="31" t="s">
        <v>133</v>
      </c>
      <c r="B299" s="32" t="s">
        <v>162</v>
      </c>
      <c r="C299" s="32" t="s">
        <v>301</v>
      </c>
      <c r="D299" s="32" t="s">
        <v>600</v>
      </c>
      <c r="E299" s="32" t="s">
        <v>650</v>
      </c>
      <c r="F299" s="33">
        <v>328.3</v>
      </c>
      <c r="G299" s="33">
        <f>J299/F299</f>
        <v>0</v>
      </c>
      <c r="H299" s="61">
        <v>0</v>
      </c>
      <c r="I299" s="61">
        <v>0</v>
      </c>
      <c r="J299" s="33">
        <f>H299+I299</f>
        <v>0</v>
      </c>
      <c r="K299" s="33">
        <v>7E-05</v>
      </c>
      <c r="L299" s="33">
        <f>F299*K299</f>
        <v>0.022980999999999998</v>
      </c>
      <c r="M299" s="34" t="s">
        <v>680</v>
      </c>
      <c r="N299" s="2"/>
      <c r="Z299" s="35">
        <f>IF(AQ299="5",BJ299,0)</f>
        <v>0</v>
      </c>
      <c r="AB299" s="35">
        <f>IF(AQ299="1",BH299,0)</f>
        <v>0</v>
      </c>
      <c r="AC299" s="35">
        <f>IF(AQ299="1",BI299,0)</f>
        <v>0</v>
      </c>
      <c r="AD299" s="35">
        <f>H299</f>
        <v>0</v>
      </c>
      <c r="AE299" s="35">
        <f>I299</f>
        <v>0</v>
      </c>
      <c r="AF299" s="35">
        <f>IF(AQ299="2",BH299,0)</f>
        <v>0</v>
      </c>
      <c r="AG299" s="35">
        <f>IF(AQ299="2",BI299,0)</f>
        <v>0</v>
      </c>
      <c r="AH299" s="35">
        <f>IF(AQ299="0",BJ299,0)</f>
        <v>0</v>
      </c>
      <c r="AI299" s="10" t="s">
        <v>162</v>
      </c>
      <c r="AJ299" s="33">
        <f>IF(AN299=0,J299,0)</f>
        <v>0</v>
      </c>
      <c r="AK299" s="33">
        <f>IF(AN299=15,J299,0)</f>
        <v>0</v>
      </c>
      <c r="AL299" s="33">
        <f>IF(AN299=21,J299,0)</f>
        <v>0</v>
      </c>
      <c r="AN299" s="35">
        <v>21</v>
      </c>
      <c r="AO299" s="35">
        <f>G299*0.0377966101694915</f>
        <v>0</v>
      </c>
      <c r="AP299" s="35">
        <f>G299*(1-0.0377966101694915)</f>
        <v>0</v>
      </c>
      <c r="AQ299" s="36" t="s">
        <v>12</v>
      </c>
      <c r="AV299" s="35">
        <f>AW299+AX299</f>
        <v>0</v>
      </c>
      <c r="AW299" s="35">
        <f>F299*AO299</f>
        <v>0</v>
      </c>
      <c r="AX299" s="35">
        <f>F299*AP299</f>
        <v>0</v>
      </c>
      <c r="AY299" s="37" t="s">
        <v>692</v>
      </c>
      <c r="AZ299" s="37" t="s">
        <v>717</v>
      </c>
      <c r="BA299" s="10" t="s">
        <v>722</v>
      </c>
      <c r="BC299" s="35">
        <f>AW299+AX299</f>
        <v>0</v>
      </c>
      <c r="BD299" s="35">
        <f>G299/(100-BE299)*100</f>
        <v>0</v>
      </c>
      <c r="BE299" s="35">
        <v>0</v>
      </c>
      <c r="BF299" s="35">
        <f>L299</f>
        <v>0.022980999999999998</v>
      </c>
      <c r="BH299" s="33">
        <f>F299*AO299</f>
        <v>0</v>
      </c>
      <c r="BI299" s="33">
        <f>F299*AP299</f>
        <v>0</v>
      </c>
      <c r="BJ299" s="33">
        <f>F299*G299</f>
        <v>0</v>
      </c>
      <c r="BK299" s="33" t="s">
        <v>728</v>
      </c>
      <c r="BL299" s="35">
        <v>764</v>
      </c>
    </row>
    <row r="300" spans="1:14" ht="12.75">
      <c r="A300" s="2"/>
      <c r="D300" s="38" t="s">
        <v>601</v>
      </c>
      <c r="F300" s="39">
        <v>328.3</v>
      </c>
      <c r="M300" s="40"/>
      <c r="N300" s="2"/>
    </row>
    <row r="301" spans="1:64" ht="12.75">
      <c r="A301" s="48" t="s">
        <v>134</v>
      </c>
      <c r="B301" s="49" t="s">
        <v>162</v>
      </c>
      <c r="C301" s="49" t="s">
        <v>302</v>
      </c>
      <c r="D301" s="49" t="s">
        <v>602</v>
      </c>
      <c r="E301" s="49" t="s">
        <v>650</v>
      </c>
      <c r="F301" s="50">
        <v>330</v>
      </c>
      <c r="G301" s="33">
        <f>J301/F301</f>
        <v>0</v>
      </c>
      <c r="H301" s="61">
        <v>0</v>
      </c>
      <c r="I301" s="61">
        <v>0</v>
      </c>
      <c r="J301" s="33">
        <f>H301+I301</f>
        <v>0</v>
      </c>
      <c r="K301" s="50">
        <v>0.00081</v>
      </c>
      <c r="L301" s="50">
        <f>F301*K301</f>
        <v>0.2673</v>
      </c>
      <c r="M301" s="51" t="s">
        <v>680</v>
      </c>
      <c r="N301" s="2"/>
      <c r="Z301" s="35">
        <f>IF(AQ301="5",BJ301,0)</f>
        <v>0</v>
      </c>
      <c r="AB301" s="35">
        <f>IF(AQ301="1",BH301,0)</f>
        <v>0</v>
      </c>
      <c r="AC301" s="35">
        <f>IF(AQ301="1",BI301,0)</f>
        <v>0</v>
      </c>
      <c r="AD301" s="35">
        <f>H301</f>
        <v>0</v>
      </c>
      <c r="AE301" s="35">
        <f>I301</f>
        <v>0</v>
      </c>
      <c r="AF301" s="35">
        <f>IF(AQ301="2",BH301,0)</f>
        <v>0</v>
      </c>
      <c r="AG301" s="35">
        <f>IF(AQ301="2",BI301,0)</f>
        <v>0</v>
      </c>
      <c r="AH301" s="35">
        <f>IF(AQ301="0",BJ301,0)</f>
        <v>0</v>
      </c>
      <c r="AI301" s="10" t="s">
        <v>162</v>
      </c>
      <c r="AJ301" s="50">
        <f>IF(AN301=0,J301,0)</f>
        <v>0</v>
      </c>
      <c r="AK301" s="50">
        <f>IF(AN301=15,J301,0)</f>
        <v>0</v>
      </c>
      <c r="AL301" s="50">
        <f>IF(AN301=21,J301,0)</f>
        <v>0</v>
      </c>
      <c r="AN301" s="35">
        <v>21</v>
      </c>
      <c r="AO301" s="35">
        <f>G301*1</f>
        <v>0</v>
      </c>
      <c r="AP301" s="35">
        <f>G301*(1-1)</f>
        <v>0</v>
      </c>
      <c r="AQ301" s="52" t="s">
        <v>12</v>
      </c>
      <c r="AV301" s="35">
        <f>AW301+AX301</f>
        <v>0</v>
      </c>
      <c r="AW301" s="35">
        <f>F301*AO301</f>
        <v>0</v>
      </c>
      <c r="AX301" s="35">
        <f>F301*AP301</f>
        <v>0</v>
      </c>
      <c r="AY301" s="37" t="s">
        <v>692</v>
      </c>
      <c r="AZ301" s="37" t="s">
        <v>717</v>
      </c>
      <c r="BA301" s="10" t="s">
        <v>722</v>
      </c>
      <c r="BC301" s="35">
        <f>AW301+AX301</f>
        <v>0</v>
      </c>
      <c r="BD301" s="35">
        <f>G301/(100-BE301)*100</f>
        <v>0</v>
      </c>
      <c r="BE301" s="35">
        <v>0</v>
      </c>
      <c r="BF301" s="35">
        <f>L301</f>
        <v>0.2673</v>
      </c>
      <c r="BH301" s="50">
        <f>F301*AO301</f>
        <v>0</v>
      </c>
      <c r="BI301" s="50">
        <f>F301*AP301</f>
        <v>0</v>
      </c>
      <c r="BJ301" s="50">
        <f>F301*G301</f>
        <v>0</v>
      </c>
      <c r="BK301" s="50" t="s">
        <v>729</v>
      </c>
      <c r="BL301" s="35">
        <v>764</v>
      </c>
    </row>
    <row r="302" spans="1:14" ht="12.75">
      <c r="A302" s="2"/>
      <c r="D302" s="38" t="s">
        <v>603</v>
      </c>
      <c r="F302" s="39">
        <v>330</v>
      </c>
      <c r="M302" s="40"/>
      <c r="N302" s="2"/>
    </row>
    <row r="303" spans="1:64" ht="12.75">
      <c r="A303" s="31" t="s">
        <v>135</v>
      </c>
      <c r="B303" s="32" t="s">
        <v>162</v>
      </c>
      <c r="C303" s="32" t="s">
        <v>303</v>
      </c>
      <c r="D303" s="32" t="s">
        <v>604</v>
      </c>
      <c r="E303" s="32" t="s">
        <v>652</v>
      </c>
      <c r="F303" s="33">
        <v>330</v>
      </c>
      <c r="G303" s="33">
        <f>J303/F303</f>
        <v>0</v>
      </c>
      <c r="H303" s="61">
        <v>0</v>
      </c>
      <c r="I303" s="61">
        <v>0</v>
      </c>
      <c r="J303" s="33">
        <f>H303+I303</f>
        <v>0</v>
      </c>
      <c r="K303" s="33">
        <v>5E-05</v>
      </c>
      <c r="L303" s="33">
        <f>F303*K303</f>
        <v>0.0165</v>
      </c>
      <c r="M303" s="34" t="s">
        <v>680</v>
      </c>
      <c r="N303" s="2"/>
      <c r="Z303" s="35">
        <f>IF(AQ303="5",BJ303,0)</f>
        <v>0</v>
      </c>
      <c r="AB303" s="35">
        <f>IF(AQ303="1",BH303,0)</f>
        <v>0</v>
      </c>
      <c r="AC303" s="35">
        <f>IF(AQ303="1",BI303,0)</f>
        <v>0</v>
      </c>
      <c r="AD303" s="35">
        <f>H303</f>
        <v>0</v>
      </c>
      <c r="AE303" s="35">
        <f>I303</f>
        <v>0</v>
      </c>
      <c r="AF303" s="35">
        <f>IF(AQ303="2",BH303,0)</f>
        <v>0</v>
      </c>
      <c r="AG303" s="35">
        <f>IF(AQ303="2",BI303,0)</f>
        <v>0</v>
      </c>
      <c r="AH303" s="35">
        <f>IF(AQ303="0",BJ303,0)</f>
        <v>0</v>
      </c>
      <c r="AI303" s="10" t="s">
        <v>162</v>
      </c>
      <c r="AJ303" s="33">
        <f>IF(AN303=0,J303,0)</f>
        <v>0</v>
      </c>
      <c r="AK303" s="33">
        <f>IF(AN303=15,J303,0)</f>
        <v>0</v>
      </c>
      <c r="AL303" s="33">
        <f>IF(AN303=21,J303,0)</f>
        <v>0</v>
      </c>
      <c r="AN303" s="35">
        <v>21</v>
      </c>
      <c r="AO303" s="35">
        <f>G303*0.0743389960403628</f>
        <v>0</v>
      </c>
      <c r="AP303" s="35">
        <f>G303*(1-0.0743389960403628)</f>
        <v>0</v>
      </c>
      <c r="AQ303" s="36" t="s">
        <v>12</v>
      </c>
      <c r="AV303" s="35">
        <f>AW303+AX303</f>
        <v>0</v>
      </c>
      <c r="AW303" s="35">
        <f>F303*AO303</f>
        <v>0</v>
      </c>
      <c r="AX303" s="35">
        <f>F303*AP303</f>
        <v>0</v>
      </c>
      <c r="AY303" s="37" t="s">
        <v>692</v>
      </c>
      <c r="AZ303" s="37" t="s">
        <v>717</v>
      </c>
      <c r="BA303" s="10" t="s">
        <v>722</v>
      </c>
      <c r="BC303" s="35">
        <f>AW303+AX303</f>
        <v>0</v>
      </c>
      <c r="BD303" s="35">
        <f>G303/(100-BE303)*100</f>
        <v>0</v>
      </c>
      <c r="BE303" s="35">
        <v>0</v>
      </c>
      <c r="BF303" s="35">
        <f>L303</f>
        <v>0.0165</v>
      </c>
      <c r="BH303" s="33">
        <f>F303*AO303</f>
        <v>0</v>
      </c>
      <c r="BI303" s="33">
        <f>F303*AP303</f>
        <v>0</v>
      </c>
      <c r="BJ303" s="33">
        <f>F303*G303</f>
        <v>0</v>
      </c>
      <c r="BK303" s="33" t="s">
        <v>728</v>
      </c>
      <c r="BL303" s="35">
        <v>764</v>
      </c>
    </row>
    <row r="304" spans="1:14" ht="12.75">
      <c r="A304" s="2"/>
      <c r="D304" s="38" t="s">
        <v>603</v>
      </c>
      <c r="F304" s="39">
        <v>330</v>
      </c>
      <c r="M304" s="40"/>
      <c r="N304" s="2"/>
    </row>
    <row r="305" spans="1:64" ht="12.75">
      <c r="A305" s="48" t="s">
        <v>136</v>
      </c>
      <c r="B305" s="49" t="s">
        <v>162</v>
      </c>
      <c r="C305" s="49" t="s">
        <v>304</v>
      </c>
      <c r="D305" s="49" t="s">
        <v>823</v>
      </c>
      <c r="E305" s="49" t="s">
        <v>652</v>
      </c>
      <c r="F305" s="50">
        <v>330</v>
      </c>
      <c r="G305" s="33">
        <f>J305/F305</f>
        <v>0</v>
      </c>
      <c r="H305" s="61">
        <v>0</v>
      </c>
      <c r="I305" s="61">
        <v>0</v>
      </c>
      <c r="J305" s="33">
        <f>H305+I305</f>
        <v>0</v>
      </c>
      <c r="K305" s="50">
        <v>0.00079</v>
      </c>
      <c r="L305" s="50">
        <f>F305*K305</f>
        <v>0.2607</v>
      </c>
      <c r="M305" s="51" t="s">
        <v>680</v>
      </c>
      <c r="N305" s="2"/>
      <c r="Z305" s="35">
        <f>IF(AQ305="5",BJ305,0)</f>
        <v>0</v>
      </c>
      <c r="AB305" s="35">
        <f>IF(AQ305="1",BH305,0)</f>
        <v>0</v>
      </c>
      <c r="AC305" s="35">
        <f>IF(AQ305="1",BI305,0)</f>
        <v>0</v>
      </c>
      <c r="AD305" s="35">
        <f>H305</f>
        <v>0</v>
      </c>
      <c r="AE305" s="35">
        <f>I305</f>
        <v>0</v>
      </c>
      <c r="AF305" s="35">
        <f>IF(AQ305="2",BH305,0)</f>
        <v>0</v>
      </c>
      <c r="AG305" s="35">
        <f>IF(AQ305="2",BI305,0)</f>
        <v>0</v>
      </c>
      <c r="AH305" s="35">
        <f>IF(AQ305="0",BJ305,0)</f>
        <v>0</v>
      </c>
      <c r="AI305" s="10" t="s">
        <v>162</v>
      </c>
      <c r="AJ305" s="50">
        <f>IF(AN305=0,J305,0)</f>
        <v>0</v>
      </c>
      <c r="AK305" s="50">
        <f>IF(AN305=15,J305,0)</f>
        <v>0</v>
      </c>
      <c r="AL305" s="50">
        <f>IF(AN305=21,J305,0)</f>
        <v>0</v>
      </c>
      <c r="AN305" s="35">
        <v>21</v>
      </c>
      <c r="AO305" s="35">
        <f>G305*1</f>
        <v>0</v>
      </c>
      <c r="AP305" s="35">
        <f>G305*(1-1)</f>
        <v>0</v>
      </c>
      <c r="AQ305" s="52" t="s">
        <v>12</v>
      </c>
      <c r="AV305" s="35">
        <f>AW305+AX305</f>
        <v>0</v>
      </c>
      <c r="AW305" s="35">
        <f>F305*AO305</f>
        <v>0</v>
      </c>
      <c r="AX305" s="35">
        <f>F305*AP305</f>
        <v>0</v>
      </c>
      <c r="AY305" s="37" t="s">
        <v>692</v>
      </c>
      <c r="AZ305" s="37" t="s">
        <v>717</v>
      </c>
      <c r="BA305" s="10" t="s">
        <v>722</v>
      </c>
      <c r="BC305" s="35">
        <f>AW305+AX305</f>
        <v>0</v>
      </c>
      <c r="BD305" s="35">
        <f>G305/(100-BE305)*100</f>
        <v>0</v>
      </c>
      <c r="BE305" s="35">
        <v>0</v>
      </c>
      <c r="BF305" s="35">
        <f>L305</f>
        <v>0.2607</v>
      </c>
      <c r="BH305" s="50">
        <f>F305*AO305</f>
        <v>0</v>
      </c>
      <c r="BI305" s="50">
        <f>F305*AP305</f>
        <v>0</v>
      </c>
      <c r="BJ305" s="50">
        <f>F305*G305</f>
        <v>0</v>
      </c>
      <c r="BK305" s="50" t="s">
        <v>729</v>
      </c>
      <c r="BL305" s="35">
        <v>764</v>
      </c>
    </row>
    <row r="306" spans="1:14" ht="12.75">
      <c r="A306" s="2"/>
      <c r="D306" s="38" t="s">
        <v>603</v>
      </c>
      <c r="F306" s="39">
        <v>330</v>
      </c>
      <c r="M306" s="40"/>
      <c r="N306" s="2"/>
    </row>
    <row r="307" spans="1:64" ht="12.75">
      <c r="A307" s="31" t="s">
        <v>137</v>
      </c>
      <c r="B307" s="32" t="s">
        <v>162</v>
      </c>
      <c r="C307" s="32" t="s">
        <v>305</v>
      </c>
      <c r="D307" s="32" t="s">
        <v>605</v>
      </c>
      <c r="E307" s="32" t="s">
        <v>650</v>
      </c>
      <c r="F307" s="33">
        <v>164</v>
      </c>
      <c r="G307" s="33">
        <f>J307/F307</f>
        <v>0</v>
      </c>
      <c r="H307" s="61">
        <v>0</v>
      </c>
      <c r="I307" s="61">
        <v>0</v>
      </c>
      <c r="J307" s="33">
        <f>H307+I307</f>
        <v>0</v>
      </c>
      <c r="K307" s="33">
        <v>5E-05</v>
      </c>
      <c r="L307" s="33">
        <f>F307*K307</f>
        <v>0.0082</v>
      </c>
      <c r="M307" s="34" t="s">
        <v>680</v>
      </c>
      <c r="N307" s="2"/>
      <c r="Z307" s="35">
        <f>IF(AQ307="5",BJ307,0)</f>
        <v>0</v>
      </c>
      <c r="AB307" s="35">
        <f>IF(AQ307="1",BH307,0)</f>
        <v>0</v>
      </c>
      <c r="AC307" s="35">
        <f>IF(AQ307="1",BI307,0)</f>
        <v>0</v>
      </c>
      <c r="AD307" s="35">
        <f>H307</f>
        <v>0</v>
      </c>
      <c r="AE307" s="35">
        <f>I307</f>
        <v>0</v>
      </c>
      <c r="AF307" s="35">
        <f>IF(AQ307="2",BH307,0)</f>
        <v>0</v>
      </c>
      <c r="AG307" s="35">
        <f>IF(AQ307="2",BI307,0)</f>
        <v>0</v>
      </c>
      <c r="AH307" s="35">
        <f>IF(AQ307="0",BJ307,0)</f>
        <v>0</v>
      </c>
      <c r="AI307" s="10" t="s">
        <v>162</v>
      </c>
      <c r="AJ307" s="33">
        <f>IF(AN307=0,J307,0)</f>
        <v>0</v>
      </c>
      <c r="AK307" s="33">
        <f>IF(AN307=15,J307,0)</f>
        <v>0</v>
      </c>
      <c r="AL307" s="33">
        <f>IF(AN307=21,J307,0)</f>
        <v>0</v>
      </c>
      <c r="AN307" s="35">
        <v>21</v>
      </c>
      <c r="AO307" s="35">
        <f>G307*0.0343283582089552</f>
        <v>0</v>
      </c>
      <c r="AP307" s="35">
        <f>G307*(1-0.0343283582089552)</f>
        <v>0</v>
      </c>
      <c r="AQ307" s="36" t="s">
        <v>12</v>
      </c>
      <c r="AV307" s="35">
        <f>AW307+AX307</f>
        <v>0</v>
      </c>
      <c r="AW307" s="35">
        <f>F307*AO307</f>
        <v>0</v>
      </c>
      <c r="AX307" s="35">
        <f>F307*AP307</f>
        <v>0</v>
      </c>
      <c r="AY307" s="37" t="s">
        <v>692</v>
      </c>
      <c r="AZ307" s="37" t="s">
        <v>717</v>
      </c>
      <c r="BA307" s="10" t="s">
        <v>722</v>
      </c>
      <c r="BC307" s="35">
        <f>AW307+AX307</f>
        <v>0</v>
      </c>
      <c r="BD307" s="35">
        <f>G307/(100-BE307)*100</f>
        <v>0</v>
      </c>
      <c r="BE307" s="35">
        <v>0</v>
      </c>
      <c r="BF307" s="35">
        <f>L307</f>
        <v>0.0082</v>
      </c>
      <c r="BH307" s="33">
        <f>F307*AO307</f>
        <v>0</v>
      </c>
      <c r="BI307" s="33">
        <f>F307*AP307</f>
        <v>0</v>
      </c>
      <c r="BJ307" s="33">
        <f>F307*G307</f>
        <v>0</v>
      </c>
      <c r="BK307" s="33" t="s">
        <v>728</v>
      </c>
      <c r="BL307" s="35">
        <v>764</v>
      </c>
    </row>
    <row r="308" spans="1:14" ht="12.75">
      <c r="A308" s="2"/>
      <c r="D308" s="38" t="s">
        <v>606</v>
      </c>
      <c r="F308" s="39">
        <v>164</v>
      </c>
      <c r="M308" s="40"/>
      <c r="N308" s="2"/>
    </row>
    <row r="309" spans="1:64" ht="12.75">
      <c r="A309" s="48" t="s">
        <v>138</v>
      </c>
      <c r="B309" s="49" t="s">
        <v>162</v>
      </c>
      <c r="C309" s="49" t="s">
        <v>306</v>
      </c>
      <c r="D309" s="49" t="s">
        <v>607</v>
      </c>
      <c r="E309" s="49" t="s">
        <v>650</v>
      </c>
      <c r="F309" s="50">
        <v>164</v>
      </c>
      <c r="G309" s="33">
        <f>J309/F309</f>
        <v>0</v>
      </c>
      <c r="H309" s="61">
        <v>0</v>
      </c>
      <c r="I309" s="61">
        <v>0</v>
      </c>
      <c r="J309" s="33">
        <f>H309+I309</f>
        <v>0</v>
      </c>
      <c r="K309" s="50">
        <v>0.0008</v>
      </c>
      <c r="L309" s="50">
        <f>F309*K309</f>
        <v>0.1312</v>
      </c>
      <c r="M309" s="51" t="s">
        <v>680</v>
      </c>
      <c r="N309" s="2"/>
      <c r="Z309" s="35">
        <f>IF(AQ309="5",BJ309,0)</f>
        <v>0</v>
      </c>
      <c r="AB309" s="35">
        <f>IF(AQ309="1",BH309,0)</f>
        <v>0</v>
      </c>
      <c r="AC309" s="35">
        <f>IF(AQ309="1",BI309,0)</f>
        <v>0</v>
      </c>
      <c r="AD309" s="35">
        <f>H309</f>
        <v>0</v>
      </c>
      <c r="AE309" s="35">
        <f>I309</f>
        <v>0</v>
      </c>
      <c r="AF309" s="35">
        <f>IF(AQ309="2",BH309,0)</f>
        <v>0</v>
      </c>
      <c r="AG309" s="35">
        <f>IF(AQ309="2",BI309,0)</f>
        <v>0</v>
      </c>
      <c r="AH309" s="35">
        <f>IF(AQ309="0",BJ309,0)</f>
        <v>0</v>
      </c>
      <c r="AI309" s="10" t="s">
        <v>162</v>
      </c>
      <c r="AJ309" s="50">
        <f>IF(AN309=0,J309,0)</f>
        <v>0</v>
      </c>
      <c r="AK309" s="50">
        <f>IF(AN309=15,J309,0)</f>
        <v>0</v>
      </c>
      <c r="AL309" s="50">
        <f>IF(AN309=21,J309,0)</f>
        <v>0</v>
      </c>
      <c r="AN309" s="35">
        <v>21</v>
      </c>
      <c r="AO309" s="35">
        <f>G309*1</f>
        <v>0</v>
      </c>
      <c r="AP309" s="35">
        <f>G309*(1-1)</f>
        <v>0</v>
      </c>
      <c r="AQ309" s="52" t="s">
        <v>12</v>
      </c>
      <c r="AV309" s="35">
        <f>AW309+AX309</f>
        <v>0</v>
      </c>
      <c r="AW309" s="35">
        <f>F309*AO309</f>
        <v>0</v>
      </c>
      <c r="AX309" s="35">
        <f>F309*AP309</f>
        <v>0</v>
      </c>
      <c r="AY309" s="37" t="s">
        <v>692</v>
      </c>
      <c r="AZ309" s="37" t="s">
        <v>717</v>
      </c>
      <c r="BA309" s="10" t="s">
        <v>722</v>
      </c>
      <c r="BC309" s="35">
        <f>AW309+AX309</f>
        <v>0</v>
      </c>
      <c r="BD309" s="35">
        <f>G309/(100-BE309)*100</f>
        <v>0</v>
      </c>
      <c r="BE309" s="35">
        <v>0</v>
      </c>
      <c r="BF309" s="35">
        <f>L309</f>
        <v>0.1312</v>
      </c>
      <c r="BH309" s="50">
        <f>F309*AO309</f>
        <v>0</v>
      </c>
      <c r="BI309" s="50">
        <f>F309*AP309</f>
        <v>0</v>
      </c>
      <c r="BJ309" s="50">
        <f>F309*G309</f>
        <v>0</v>
      </c>
      <c r="BK309" s="50" t="s">
        <v>729</v>
      </c>
      <c r="BL309" s="35">
        <v>764</v>
      </c>
    </row>
    <row r="310" spans="1:14" ht="12.75">
      <c r="A310" s="2"/>
      <c r="D310" s="38" t="s">
        <v>608</v>
      </c>
      <c r="F310" s="39">
        <v>164</v>
      </c>
      <c r="M310" s="40"/>
      <c r="N310" s="2"/>
    </row>
    <row r="311" spans="1:64" ht="12.75">
      <c r="A311" s="31" t="s">
        <v>139</v>
      </c>
      <c r="B311" s="32" t="s">
        <v>162</v>
      </c>
      <c r="C311" s="32" t="s">
        <v>307</v>
      </c>
      <c r="D311" s="32" t="s">
        <v>609</v>
      </c>
      <c r="E311" s="32" t="s">
        <v>652</v>
      </c>
      <c r="F311" s="33">
        <v>78</v>
      </c>
      <c r="G311" s="33">
        <f>J311/F311</f>
        <v>0</v>
      </c>
      <c r="H311" s="61">
        <v>0</v>
      </c>
      <c r="I311" s="61">
        <v>0</v>
      </c>
      <c r="J311" s="33">
        <f>H311+I311</f>
        <v>0</v>
      </c>
      <c r="K311" s="33">
        <v>0.00153</v>
      </c>
      <c r="L311" s="33">
        <f>F311*K311</f>
        <v>0.11933999999999999</v>
      </c>
      <c r="M311" s="34" t="s">
        <v>680</v>
      </c>
      <c r="N311" s="2"/>
      <c r="Z311" s="35">
        <f>IF(AQ311="5",BJ311,0)</f>
        <v>0</v>
      </c>
      <c r="AB311" s="35">
        <f>IF(AQ311="1",BH311,0)</f>
        <v>0</v>
      </c>
      <c r="AC311" s="35">
        <f>IF(AQ311="1",BI311,0)</f>
        <v>0</v>
      </c>
      <c r="AD311" s="35">
        <f>H311</f>
        <v>0</v>
      </c>
      <c r="AE311" s="35">
        <f>I311</f>
        <v>0</v>
      </c>
      <c r="AF311" s="35">
        <f>IF(AQ311="2",BH311,0)</f>
        <v>0</v>
      </c>
      <c r="AG311" s="35">
        <f>IF(AQ311="2",BI311,0)</f>
        <v>0</v>
      </c>
      <c r="AH311" s="35">
        <f>IF(AQ311="0",BJ311,0)</f>
        <v>0</v>
      </c>
      <c r="AI311" s="10" t="s">
        <v>162</v>
      </c>
      <c r="AJ311" s="33">
        <f>IF(AN311=0,J311,0)</f>
        <v>0</v>
      </c>
      <c r="AK311" s="33">
        <f>IF(AN311=15,J311,0)</f>
        <v>0</v>
      </c>
      <c r="AL311" s="33">
        <f>IF(AN311=21,J311,0)</f>
        <v>0</v>
      </c>
      <c r="AN311" s="35">
        <v>21</v>
      </c>
      <c r="AO311" s="35">
        <f>G311*0.652506679951089</f>
        <v>0</v>
      </c>
      <c r="AP311" s="35">
        <f>G311*(1-0.652506679951089)</f>
        <v>0</v>
      </c>
      <c r="AQ311" s="36" t="s">
        <v>12</v>
      </c>
      <c r="AV311" s="35">
        <f>AW311+AX311</f>
        <v>0</v>
      </c>
      <c r="AW311" s="35">
        <f>F311*AO311</f>
        <v>0</v>
      </c>
      <c r="AX311" s="35">
        <f>F311*AP311</f>
        <v>0</v>
      </c>
      <c r="AY311" s="37" t="s">
        <v>692</v>
      </c>
      <c r="AZ311" s="37" t="s">
        <v>717</v>
      </c>
      <c r="BA311" s="10" t="s">
        <v>722</v>
      </c>
      <c r="BC311" s="35">
        <f>AW311+AX311</f>
        <v>0</v>
      </c>
      <c r="BD311" s="35">
        <f>G311/(100-BE311)*100</f>
        <v>0</v>
      </c>
      <c r="BE311" s="35">
        <v>0</v>
      </c>
      <c r="BF311" s="35">
        <f>L311</f>
        <v>0.11933999999999999</v>
      </c>
      <c r="BH311" s="33">
        <f>F311*AO311</f>
        <v>0</v>
      </c>
      <c r="BI311" s="33">
        <f>F311*AP311</f>
        <v>0</v>
      </c>
      <c r="BJ311" s="33">
        <f>F311*G311</f>
        <v>0</v>
      </c>
      <c r="BK311" s="33" t="s">
        <v>728</v>
      </c>
      <c r="BL311" s="35">
        <v>764</v>
      </c>
    </row>
    <row r="312" spans="1:14" ht="12.75">
      <c r="A312" s="2"/>
      <c r="D312" s="38" t="s">
        <v>610</v>
      </c>
      <c r="F312" s="39">
        <v>78</v>
      </c>
      <c r="M312" s="40"/>
      <c r="N312" s="2"/>
    </row>
    <row r="313" spans="1:64" ht="12.75">
      <c r="A313" s="31" t="s">
        <v>140</v>
      </c>
      <c r="B313" s="32" t="s">
        <v>162</v>
      </c>
      <c r="C313" s="32" t="s">
        <v>308</v>
      </c>
      <c r="D313" s="32" t="s">
        <v>611</v>
      </c>
      <c r="E313" s="32" t="s">
        <v>652</v>
      </c>
      <c r="F313" s="33">
        <v>26</v>
      </c>
      <c r="G313" s="33">
        <f>J313/F313</f>
        <v>0</v>
      </c>
      <c r="H313" s="61">
        <v>0</v>
      </c>
      <c r="I313" s="61">
        <v>0</v>
      </c>
      <c r="J313" s="33">
        <f>H313+I313</f>
        <v>0</v>
      </c>
      <c r="K313" s="33">
        <v>0.0015</v>
      </c>
      <c r="L313" s="33">
        <f>F313*K313</f>
        <v>0.039</v>
      </c>
      <c r="M313" s="34" t="s">
        <v>680</v>
      </c>
      <c r="N313" s="2"/>
      <c r="Z313" s="35">
        <f>IF(AQ313="5",BJ313,0)</f>
        <v>0</v>
      </c>
      <c r="AB313" s="35">
        <f>IF(AQ313="1",BH313,0)</f>
        <v>0</v>
      </c>
      <c r="AC313" s="35">
        <f>IF(AQ313="1",BI313,0)</f>
        <v>0</v>
      </c>
      <c r="AD313" s="35">
        <f>H313</f>
        <v>0</v>
      </c>
      <c r="AE313" s="35">
        <f>I313</f>
        <v>0</v>
      </c>
      <c r="AF313" s="35">
        <f>IF(AQ313="2",BH313,0)</f>
        <v>0</v>
      </c>
      <c r="AG313" s="35">
        <f>IF(AQ313="2",BI313,0)</f>
        <v>0</v>
      </c>
      <c r="AH313" s="35">
        <f>IF(AQ313="0",BJ313,0)</f>
        <v>0</v>
      </c>
      <c r="AI313" s="10" t="s">
        <v>162</v>
      </c>
      <c r="AJ313" s="33">
        <f>IF(AN313=0,J313,0)</f>
        <v>0</v>
      </c>
      <c r="AK313" s="33">
        <f>IF(AN313=15,J313,0)</f>
        <v>0</v>
      </c>
      <c r="AL313" s="33">
        <f>IF(AN313=21,J313,0)</f>
        <v>0</v>
      </c>
      <c r="AN313" s="35">
        <v>21</v>
      </c>
      <c r="AO313" s="35">
        <f>G313*0.521155555555555</f>
        <v>0</v>
      </c>
      <c r="AP313" s="35">
        <f>G313*(1-0.521155555555555)</f>
        <v>0</v>
      </c>
      <c r="AQ313" s="36" t="s">
        <v>12</v>
      </c>
      <c r="AV313" s="35">
        <f>AW313+AX313</f>
        <v>0</v>
      </c>
      <c r="AW313" s="35">
        <f>F313*AO313</f>
        <v>0</v>
      </c>
      <c r="AX313" s="35">
        <f>F313*AP313</f>
        <v>0</v>
      </c>
      <c r="AY313" s="37" t="s">
        <v>692</v>
      </c>
      <c r="AZ313" s="37" t="s">
        <v>717</v>
      </c>
      <c r="BA313" s="10" t="s">
        <v>722</v>
      </c>
      <c r="BC313" s="35">
        <f>AW313+AX313</f>
        <v>0</v>
      </c>
      <c r="BD313" s="35">
        <f>G313/(100-BE313)*100</f>
        <v>0</v>
      </c>
      <c r="BE313" s="35">
        <v>0</v>
      </c>
      <c r="BF313" s="35">
        <f>L313</f>
        <v>0.039</v>
      </c>
      <c r="BH313" s="33">
        <f>F313*AO313</f>
        <v>0</v>
      </c>
      <c r="BI313" s="33">
        <f>F313*AP313</f>
        <v>0</v>
      </c>
      <c r="BJ313" s="33">
        <f>F313*G313</f>
        <v>0</v>
      </c>
      <c r="BK313" s="33" t="s">
        <v>728</v>
      </c>
      <c r="BL313" s="35">
        <v>764</v>
      </c>
    </row>
    <row r="314" spans="1:14" ht="12.75">
      <c r="A314" s="2"/>
      <c r="D314" s="38" t="s">
        <v>595</v>
      </c>
      <c r="F314" s="39">
        <v>26</v>
      </c>
      <c r="M314" s="40"/>
      <c r="N314" s="2"/>
    </row>
    <row r="315" spans="1:64" ht="12.75">
      <c r="A315" s="31" t="s">
        <v>141</v>
      </c>
      <c r="B315" s="32" t="s">
        <v>162</v>
      </c>
      <c r="C315" s="32" t="s">
        <v>309</v>
      </c>
      <c r="D315" s="32" t="s">
        <v>612</v>
      </c>
      <c r="E315" s="32" t="s">
        <v>652</v>
      </c>
      <c r="F315" s="33">
        <v>16</v>
      </c>
      <c r="G315" s="33">
        <f>J315/F315</f>
        <v>0</v>
      </c>
      <c r="H315" s="61">
        <v>0</v>
      </c>
      <c r="I315" s="61">
        <v>0</v>
      </c>
      <c r="J315" s="33">
        <f>H315+I315</f>
        <v>0</v>
      </c>
      <c r="K315" s="33">
        <v>0.0015</v>
      </c>
      <c r="L315" s="33">
        <f>F315*K315</f>
        <v>0.024</v>
      </c>
      <c r="M315" s="34" t="s">
        <v>680</v>
      </c>
      <c r="N315" s="2"/>
      <c r="Z315" s="35">
        <f>IF(AQ315="5",BJ315,0)</f>
        <v>0</v>
      </c>
      <c r="AB315" s="35">
        <f>IF(AQ315="1",BH315,0)</f>
        <v>0</v>
      </c>
      <c r="AC315" s="35">
        <f>IF(AQ315="1",BI315,0)</f>
        <v>0</v>
      </c>
      <c r="AD315" s="35">
        <f>H315</f>
        <v>0</v>
      </c>
      <c r="AE315" s="35">
        <f>I315</f>
        <v>0</v>
      </c>
      <c r="AF315" s="35">
        <f>IF(AQ315="2",BH315,0)</f>
        <v>0</v>
      </c>
      <c r="AG315" s="35">
        <f>IF(AQ315="2",BI315,0)</f>
        <v>0</v>
      </c>
      <c r="AH315" s="35">
        <f>IF(AQ315="0",BJ315,0)</f>
        <v>0</v>
      </c>
      <c r="AI315" s="10" t="s">
        <v>162</v>
      </c>
      <c r="AJ315" s="33">
        <f>IF(AN315=0,J315,0)</f>
        <v>0</v>
      </c>
      <c r="AK315" s="33">
        <f>IF(AN315=15,J315,0)</f>
        <v>0</v>
      </c>
      <c r="AL315" s="33">
        <f>IF(AN315=21,J315,0)</f>
        <v>0</v>
      </c>
      <c r="AN315" s="35">
        <v>21</v>
      </c>
      <c r="AO315" s="35">
        <f>G315*0.593081761006289</f>
        <v>0</v>
      </c>
      <c r="AP315" s="35">
        <f>G315*(1-0.593081761006289)</f>
        <v>0</v>
      </c>
      <c r="AQ315" s="36" t="s">
        <v>12</v>
      </c>
      <c r="AV315" s="35">
        <f>AW315+AX315</f>
        <v>0</v>
      </c>
      <c r="AW315" s="35">
        <f>F315*AO315</f>
        <v>0</v>
      </c>
      <c r="AX315" s="35">
        <f>F315*AP315</f>
        <v>0</v>
      </c>
      <c r="AY315" s="37" t="s">
        <v>692</v>
      </c>
      <c r="AZ315" s="37" t="s">
        <v>717</v>
      </c>
      <c r="BA315" s="10" t="s">
        <v>722</v>
      </c>
      <c r="BC315" s="35">
        <f>AW315+AX315</f>
        <v>0</v>
      </c>
      <c r="BD315" s="35">
        <f>G315/(100-BE315)*100</f>
        <v>0</v>
      </c>
      <c r="BE315" s="35">
        <v>0</v>
      </c>
      <c r="BF315" s="35">
        <f>L315</f>
        <v>0.024</v>
      </c>
      <c r="BH315" s="33">
        <f>F315*AO315</f>
        <v>0</v>
      </c>
      <c r="BI315" s="33">
        <f>F315*AP315</f>
        <v>0</v>
      </c>
      <c r="BJ315" s="33">
        <f>F315*G315</f>
        <v>0</v>
      </c>
      <c r="BK315" s="33" t="s">
        <v>728</v>
      </c>
      <c r="BL315" s="35">
        <v>764</v>
      </c>
    </row>
    <row r="316" spans="1:14" ht="12.75">
      <c r="A316" s="2"/>
      <c r="D316" s="38" t="s">
        <v>613</v>
      </c>
      <c r="F316" s="39">
        <v>16</v>
      </c>
      <c r="M316" s="40"/>
      <c r="N316" s="2"/>
    </row>
    <row r="317" spans="1:64" ht="12.75">
      <c r="A317" s="31" t="s">
        <v>142</v>
      </c>
      <c r="B317" s="32" t="s">
        <v>162</v>
      </c>
      <c r="C317" s="32" t="s">
        <v>310</v>
      </c>
      <c r="D317" s="32" t="s">
        <v>614</v>
      </c>
      <c r="E317" s="32" t="s">
        <v>652</v>
      </c>
      <c r="F317" s="33">
        <v>2</v>
      </c>
      <c r="G317" s="33">
        <f>J317/F317</f>
        <v>0</v>
      </c>
      <c r="H317" s="61">
        <v>0</v>
      </c>
      <c r="I317" s="61">
        <v>0</v>
      </c>
      <c r="J317" s="33">
        <f>H317+I317</f>
        <v>0</v>
      </c>
      <c r="K317" s="33">
        <v>0.0002</v>
      </c>
      <c r="L317" s="33">
        <f>F317*K317</f>
        <v>0.0004</v>
      </c>
      <c r="M317" s="34" t="s">
        <v>680</v>
      </c>
      <c r="N317" s="2"/>
      <c r="Z317" s="35">
        <f>IF(AQ317="5",BJ317,0)</f>
        <v>0</v>
      </c>
      <c r="AB317" s="35">
        <f>IF(AQ317="1",BH317,0)</f>
        <v>0</v>
      </c>
      <c r="AC317" s="35">
        <f>IF(AQ317="1",BI317,0)</f>
        <v>0</v>
      </c>
      <c r="AD317" s="35">
        <f>H317</f>
        <v>0</v>
      </c>
      <c r="AE317" s="35">
        <f>I317</f>
        <v>0</v>
      </c>
      <c r="AF317" s="35">
        <f>IF(AQ317="2",BH317,0)</f>
        <v>0</v>
      </c>
      <c r="AG317" s="35">
        <f>IF(AQ317="2",BI317,0)</f>
        <v>0</v>
      </c>
      <c r="AH317" s="35">
        <f>IF(AQ317="0",BJ317,0)</f>
        <v>0</v>
      </c>
      <c r="AI317" s="10" t="s">
        <v>162</v>
      </c>
      <c r="AJ317" s="33">
        <f>IF(AN317=0,J317,0)</f>
        <v>0</v>
      </c>
      <c r="AK317" s="33">
        <f>IF(AN317=15,J317,0)</f>
        <v>0</v>
      </c>
      <c r="AL317" s="33">
        <f>IF(AN317=21,J317,0)</f>
        <v>0</v>
      </c>
      <c r="AN317" s="35">
        <v>21</v>
      </c>
      <c r="AO317" s="35">
        <f>G317*0.0561797752808989</f>
        <v>0</v>
      </c>
      <c r="AP317" s="35">
        <f>G317*(1-0.0561797752808989)</f>
        <v>0</v>
      </c>
      <c r="AQ317" s="36" t="s">
        <v>12</v>
      </c>
      <c r="AV317" s="35">
        <f>AW317+AX317</f>
        <v>0</v>
      </c>
      <c r="AW317" s="35">
        <f>F317*AO317</f>
        <v>0</v>
      </c>
      <c r="AX317" s="35">
        <f>F317*AP317</f>
        <v>0</v>
      </c>
      <c r="AY317" s="37" t="s">
        <v>692</v>
      </c>
      <c r="AZ317" s="37" t="s">
        <v>717</v>
      </c>
      <c r="BA317" s="10" t="s">
        <v>722</v>
      </c>
      <c r="BC317" s="35">
        <f>AW317+AX317</f>
        <v>0</v>
      </c>
      <c r="BD317" s="35">
        <f>G317/(100-BE317)*100</f>
        <v>0</v>
      </c>
      <c r="BE317" s="35">
        <v>0</v>
      </c>
      <c r="BF317" s="35">
        <f>L317</f>
        <v>0.0004</v>
      </c>
      <c r="BH317" s="33">
        <f>F317*AO317</f>
        <v>0</v>
      </c>
      <c r="BI317" s="33">
        <f>F317*AP317</f>
        <v>0</v>
      </c>
      <c r="BJ317" s="33">
        <f>F317*G317</f>
        <v>0</v>
      </c>
      <c r="BK317" s="33" t="s">
        <v>728</v>
      </c>
      <c r="BL317" s="35">
        <v>764</v>
      </c>
    </row>
    <row r="318" spans="1:14" ht="12.75">
      <c r="A318" s="2"/>
      <c r="D318" s="38" t="s">
        <v>615</v>
      </c>
      <c r="F318" s="39">
        <v>2</v>
      </c>
      <c r="M318" s="40"/>
      <c r="N318" s="2"/>
    </row>
    <row r="319" spans="1:64" ht="12.75">
      <c r="A319" s="48" t="s">
        <v>143</v>
      </c>
      <c r="B319" s="49" t="s">
        <v>162</v>
      </c>
      <c r="C319" s="49" t="s">
        <v>311</v>
      </c>
      <c r="D319" s="49" t="s">
        <v>824</v>
      </c>
      <c r="E319" s="49" t="s">
        <v>652</v>
      </c>
      <c r="F319" s="50">
        <v>2</v>
      </c>
      <c r="G319" s="33">
        <f>J319/F319</f>
        <v>0</v>
      </c>
      <c r="H319" s="61">
        <v>0</v>
      </c>
      <c r="I319" s="61">
        <v>0</v>
      </c>
      <c r="J319" s="33">
        <f>H319+I319</f>
        <v>0</v>
      </c>
      <c r="K319" s="50">
        <v>2E-05</v>
      </c>
      <c r="L319" s="50">
        <f>F319*K319</f>
        <v>4E-05</v>
      </c>
      <c r="M319" s="51" t="s">
        <v>680</v>
      </c>
      <c r="N319" s="2"/>
      <c r="Z319" s="35">
        <f>IF(AQ319="5",BJ319,0)</f>
        <v>0</v>
      </c>
      <c r="AB319" s="35">
        <f>IF(AQ319="1",BH319,0)</f>
        <v>0</v>
      </c>
      <c r="AC319" s="35">
        <f>IF(AQ319="1",BI319,0)</f>
        <v>0</v>
      </c>
      <c r="AD319" s="35">
        <f>H319</f>
        <v>0</v>
      </c>
      <c r="AE319" s="35">
        <f>I319</f>
        <v>0</v>
      </c>
      <c r="AF319" s="35">
        <f>IF(AQ319="2",BH319,0)</f>
        <v>0</v>
      </c>
      <c r="AG319" s="35">
        <f>IF(AQ319="2",BI319,0)</f>
        <v>0</v>
      </c>
      <c r="AH319" s="35">
        <f>IF(AQ319="0",BJ319,0)</f>
        <v>0</v>
      </c>
      <c r="AI319" s="10" t="s">
        <v>162</v>
      </c>
      <c r="AJ319" s="50">
        <f>IF(AN319=0,J319,0)</f>
        <v>0</v>
      </c>
      <c r="AK319" s="50">
        <f>IF(AN319=15,J319,0)</f>
        <v>0</v>
      </c>
      <c r="AL319" s="50">
        <f>IF(AN319=21,J319,0)</f>
        <v>0</v>
      </c>
      <c r="AN319" s="35">
        <v>21</v>
      </c>
      <c r="AO319" s="35">
        <f>G319*1</f>
        <v>0</v>
      </c>
      <c r="AP319" s="35">
        <f>G319*(1-1)</f>
        <v>0</v>
      </c>
      <c r="AQ319" s="52" t="s">
        <v>12</v>
      </c>
      <c r="AV319" s="35">
        <f>AW319+AX319</f>
        <v>0</v>
      </c>
      <c r="AW319" s="35">
        <f>F319*AO319</f>
        <v>0</v>
      </c>
      <c r="AX319" s="35">
        <f>F319*AP319</f>
        <v>0</v>
      </c>
      <c r="AY319" s="37" t="s">
        <v>692</v>
      </c>
      <c r="AZ319" s="37" t="s">
        <v>717</v>
      </c>
      <c r="BA319" s="10" t="s">
        <v>722</v>
      </c>
      <c r="BC319" s="35">
        <f>AW319+AX319</f>
        <v>0</v>
      </c>
      <c r="BD319" s="35">
        <f>G319/(100-BE319)*100</f>
        <v>0</v>
      </c>
      <c r="BE319" s="35">
        <v>0</v>
      </c>
      <c r="BF319" s="35">
        <f>L319</f>
        <v>4E-05</v>
      </c>
      <c r="BH319" s="50">
        <f>F319*AO319</f>
        <v>0</v>
      </c>
      <c r="BI319" s="50">
        <f>F319*AP319</f>
        <v>0</v>
      </c>
      <c r="BJ319" s="50">
        <f>F319*G319</f>
        <v>0</v>
      </c>
      <c r="BK319" s="50" t="s">
        <v>729</v>
      </c>
      <c r="BL319" s="35">
        <v>764</v>
      </c>
    </row>
    <row r="320" spans="1:14" ht="12.75">
      <c r="A320" s="2"/>
      <c r="D320" s="38" t="s">
        <v>615</v>
      </c>
      <c r="F320" s="39">
        <v>2</v>
      </c>
      <c r="M320" s="40"/>
      <c r="N320" s="2"/>
    </row>
    <row r="321" spans="1:64" ht="12.75">
      <c r="A321" s="31" t="s">
        <v>144</v>
      </c>
      <c r="B321" s="32" t="s">
        <v>162</v>
      </c>
      <c r="C321" s="32" t="s">
        <v>312</v>
      </c>
      <c r="D321" s="32" t="s">
        <v>616</v>
      </c>
      <c r="E321" s="32" t="s">
        <v>654</v>
      </c>
      <c r="F321" s="33">
        <v>1.1367</v>
      </c>
      <c r="G321" s="33">
        <f>J321/F321</f>
        <v>0</v>
      </c>
      <c r="H321" s="61">
        <v>0</v>
      </c>
      <c r="I321" s="61">
        <v>0</v>
      </c>
      <c r="J321" s="33">
        <f>H321+I321</f>
        <v>0</v>
      </c>
      <c r="K321" s="33">
        <v>0</v>
      </c>
      <c r="L321" s="33">
        <f>F321*K321</f>
        <v>0</v>
      </c>
      <c r="M321" s="34" t="s">
        <v>680</v>
      </c>
      <c r="N321" s="2"/>
      <c r="Z321" s="35">
        <f>H321+I321</f>
        <v>0</v>
      </c>
      <c r="AB321" s="35">
        <f>IF(AQ321="1",BH321,0)</f>
        <v>0</v>
      </c>
      <c r="AC321" s="35">
        <f>IF(AQ321="1",BI321,0)</f>
        <v>0</v>
      </c>
      <c r="AD321" s="35">
        <f>IF(AQ321="7",BH321,0)</f>
        <v>0</v>
      </c>
      <c r="AE321" s="35">
        <f>IF(AQ321="7",BI321,0)</f>
        <v>0</v>
      </c>
      <c r="AF321" s="35">
        <f>IF(AQ321="2",BH321,0)</f>
        <v>0</v>
      </c>
      <c r="AG321" s="35">
        <f>IF(AQ321="2",BI321,0)</f>
        <v>0</v>
      </c>
      <c r="AH321" s="35">
        <f>IF(AQ321="0",BJ321,0)</f>
        <v>0</v>
      </c>
      <c r="AI321" s="10" t="s">
        <v>162</v>
      </c>
      <c r="AJ321" s="33">
        <f>IF(AN321=0,J321,0)</f>
        <v>0</v>
      </c>
      <c r="AK321" s="33">
        <f>IF(AN321=15,J321,0)</f>
        <v>0</v>
      </c>
      <c r="AL321" s="33">
        <f>IF(AN321=21,J321,0)</f>
        <v>0</v>
      </c>
      <c r="AN321" s="35">
        <v>21</v>
      </c>
      <c r="AO321" s="35">
        <f>G321*0</f>
        <v>0</v>
      </c>
      <c r="AP321" s="35">
        <f>G321*(1-0)</f>
        <v>0</v>
      </c>
      <c r="AQ321" s="36" t="s">
        <v>10</v>
      </c>
      <c r="AV321" s="35">
        <f>AW321+AX321</f>
        <v>0</v>
      </c>
      <c r="AW321" s="35">
        <f>F321*AO321</f>
        <v>0</v>
      </c>
      <c r="AX321" s="35">
        <f>F321*AP321</f>
        <v>0</v>
      </c>
      <c r="AY321" s="37" t="s">
        <v>692</v>
      </c>
      <c r="AZ321" s="37" t="s">
        <v>717</v>
      </c>
      <c r="BA321" s="10" t="s">
        <v>722</v>
      </c>
      <c r="BC321" s="35">
        <f>AW321+AX321</f>
        <v>0</v>
      </c>
      <c r="BD321" s="35">
        <f>G321/(100-BE321)*100</f>
        <v>0</v>
      </c>
      <c r="BE321" s="35">
        <v>0</v>
      </c>
      <c r="BF321" s="35">
        <f>L321</f>
        <v>0</v>
      </c>
      <c r="BH321" s="33">
        <f>F321*AO321</f>
        <v>0</v>
      </c>
      <c r="BI321" s="33">
        <f>F321*AP321</f>
        <v>0</v>
      </c>
      <c r="BJ321" s="33">
        <f>F321*G321</f>
        <v>0</v>
      </c>
      <c r="BK321" s="33" t="s">
        <v>728</v>
      </c>
      <c r="BL321" s="35">
        <v>764</v>
      </c>
    </row>
    <row r="322" spans="1:14" ht="12.75">
      <c r="A322" s="2"/>
      <c r="D322" s="38" t="s">
        <v>617</v>
      </c>
      <c r="F322" s="39">
        <v>1.1367</v>
      </c>
      <c r="M322" s="40"/>
      <c r="N322" s="2"/>
    </row>
    <row r="323" spans="1:47" ht="12.75">
      <c r="A323" s="26"/>
      <c r="B323" s="27" t="s">
        <v>162</v>
      </c>
      <c r="C323" s="27" t="s">
        <v>183</v>
      </c>
      <c r="D323" s="27" t="s">
        <v>366</v>
      </c>
      <c r="E323" s="28" t="s">
        <v>5</v>
      </c>
      <c r="F323" s="28" t="s">
        <v>5</v>
      </c>
      <c r="G323" s="28" t="s">
        <v>5</v>
      </c>
      <c r="H323" s="29">
        <f>SUM(H324:H338)</f>
        <v>0</v>
      </c>
      <c r="I323" s="29">
        <f>SUM(I324:I338)</f>
        <v>0</v>
      </c>
      <c r="J323" s="29">
        <f>SUM(J324:J338)</f>
        <v>0</v>
      </c>
      <c r="K323" s="10"/>
      <c r="L323" s="29">
        <f>SUM(L324:L338)</f>
        <v>21.144136596</v>
      </c>
      <c r="M323" s="30"/>
      <c r="N323" s="2"/>
      <c r="AI323" s="10" t="s">
        <v>162</v>
      </c>
      <c r="AS323" s="29">
        <f>SUM(AJ324:AJ338)</f>
        <v>0</v>
      </c>
      <c r="AT323" s="29">
        <f>SUM(AK324:AK338)</f>
        <v>0</v>
      </c>
      <c r="AU323" s="29">
        <f>SUM(AL324:AL338)</f>
        <v>0</v>
      </c>
    </row>
    <row r="324" spans="1:64" ht="12.75">
      <c r="A324" s="31" t="s">
        <v>145</v>
      </c>
      <c r="B324" s="32" t="s">
        <v>162</v>
      </c>
      <c r="C324" s="32" t="s">
        <v>313</v>
      </c>
      <c r="D324" s="32" t="s">
        <v>618</v>
      </c>
      <c r="E324" s="32" t="s">
        <v>649</v>
      </c>
      <c r="F324" s="33">
        <v>2766.03652</v>
      </c>
      <c r="G324" s="33">
        <f>J324/F324</f>
        <v>0</v>
      </c>
      <c r="H324" s="61">
        <v>0</v>
      </c>
      <c r="I324" s="61">
        <v>0</v>
      </c>
      <c r="J324" s="33">
        <f>H324+I324</f>
        <v>0</v>
      </c>
      <c r="K324" s="33">
        <v>0.0073</v>
      </c>
      <c r="L324" s="33">
        <f>F324*K324</f>
        <v>20.192066596</v>
      </c>
      <c r="M324" s="34" t="s">
        <v>681</v>
      </c>
      <c r="N324" s="2"/>
      <c r="Z324" s="35">
        <f>IF(AQ324="5",BJ324,0)</f>
        <v>0</v>
      </c>
      <c r="AB324" s="35">
        <f>IF(AQ324="1",BH324,0)</f>
        <v>0</v>
      </c>
      <c r="AC324" s="35">
        <f>IF(AQ324="1",BI324,0)</f>
        <v>0</v>
      </c>
      <c r="AD324" s="35">
        <f>H324</f>
        <v>0</v>
      </c>
      <c r="AE324" s="35">
        <f>I324</f>
        <v>0</v>
      </c>
      <c r="AF324" s="35">
        <f>IF(AQ324="2",BH324,0)</f>
        <v>0</v>
      </c>
      <c r="AG324" s="35">
        <f>IF(AQ324="2",BI324,0)</f>
        <v>0</v>
      </c>
      <c r="AH324" s="35">
        <f>IF(AQ324="0",BJ324,0)</f>
        <v>0</v>
      </c>
      <c r="AI324" s="10" t="s">
        <v>162</v>
      </c>
      <c r="AJ324" s="33">
        <f>IF(AN324=0,J324,0)</f>
        <v>0</v>
      </c>
      <c r="AK324" s="33">
        <f>IF(AN324=15,J324,0)</f>
        <v>0</v>
      </c>
      <c r="AL324" s="33">
        <f>IF(AN324=21,J324,0)</f>
        <v>0</v>
      </c>
      <c r="AN324" s="35">
        <v>21</v>
      </c>
      <c r="AO324" s="35">
        <f>G324*0.717919729229535</f>
        <v>0</v>
      </c>
      <c r="AP324" s="35">
        <f>G324*(1-0.717919729229535)</f>
        <v>0</v>
      </c>
      <c r="AQ324" s="36" t="s">
        <v>12</v>
      </c>
      <c r="AV324" s="35">
        <f>AW324+AX324</f>
        <v>0</v>
      </c>
      <c r="AW324" s="35">
        <f>F324*AO324</f>
        <v>0</v>
      </c>
      <c r="AX324" s="35">
        <f>F324*AP324</f>
        <v>0</v>
      </c>
      <c r="AY324" s="37" t="s">
        <v>694</v>
      </c>
      <c r="AZ324" s="37" t="s">
        <v>717</v>
      </c>
      <c r="BA324" s="10" t="s">
        <v>722</v>
      </c>
      <c r="BC324" s="35">
        <f>AW324+AX324</f>
        <v>0</v>
      </c>
      <c r="BD324" s="35">
        <f>G324/(100-BE324)*100</f>
        <v>0</v>
      </c>
      <c r="BE324" s="35">
        <v>0</v>
      </c>
      <c r="BF324" s="35">
        <f>L324</f>
        <v>20.192066596</v>
      </c>
      <c r="BH324" s="33">
        <f>F324*AO324</f>
        <v>0</v>
      </c>
      <c r="BI324" s="33">
        <f>F324*AP324</f>
        <v>0</v>
      </c>
      <c r="BJ324" s="33">
        <f>F324*G324</f>
        <v>0</v>
      </c>
      <c r="BK324" s="33" t="s">
        <v>728</v>
      </c>
      <c r="BL324" s="35" t="s">
        <v>183</v>
      </c>
    </row>
    <row r="325" spans="1:14" ht="12.75">
      <c r="A325" s="2"/>
      <c r="D325" s="38" t="s">
        <v>619</v>
      </c>
      <c r="F325" s="39">
        <v>2532.255</v>
      </c>
      <c r="M325" s="40"/>
      <c r="N325" s="2"/>
    </row>
    <row r="326" spans="1:14" ht="12.75">
      <c r="A326" s="2"/>
      <c r="D326" s="38" t="s">
        <v>620</v>
      </c>
      <c r="F326" s="39">
        <v>184.47506</v>
      </c>
      <c r="M326" s="40"/>
      <c r="N326" s="2"/>
    </row>
    <row r="327" spans="1:14" ht="12.75">
      <c r="A327" s="2"/>
      <c r="D327" s="38" t="s">
        <v>621</v>
      </c>
      <c r="F327" s="39">
        <v>291.87146</v>
      </c>
      <c r="M327" s="40"/>
      <c r="N327" s="2"/>
    </row>
    <row r="328" spans="1:14" ht="12.75">
      <c r="A328" s="2"/>
      <c r="D328" s="38" t="s">
        <v>622</v>
      </c>
      <c r="F328" s="39">
        <v>-242.565</v>
      </c>
      <c r="M328" s="40"/>
      <c r="N328" s="2"/>
    </row>
    <row r="329" spans="1:64" ht="12.75">
      <c r="A329" s="31" t="s">
        <v>146</v>
      </c>
      <c r="B329" s="32" t="s">
        <v>162</v>
      </c>
      <c r="C329" s="32" t="s">
        <v>314</v>
      </c>
      <c r="D329" s="32" t="s">
        <v>623</v>
      </c>
      <c r="E329" s="32" t="s">
        <v>656</v>
      </c>
      <c r="F329" s="33">
        <v>2</v>
      </c>
      <c r="G329" s="33">
        <f>J329/F329</f>
        <v>0</v>
      </c>
      <c r="H329" s="61">
        <v>0</v>
      </c>
      <c r="I329" s="61">
        <v>0</v>
      </c>
      <c r="J329" s="33">
        <f>H329+I329</f>
        <v>0</v>
      </c>
      <c r="K329" s="33">
        <v>0.154</v>
      </c>
      <c r="L329" s="33">
        <f>F329*K329</f>
        <v>0.308</v>
      </c>
      <c r="M329" s="34" t="s">
        <v>681</v>
      </c>
      <c r="N329" s="2"/>
      <c r="Z329" s="35">
        <f>IF(AQ329="5",BJ329,0)</f>
        <v>0</v>
      </c>
      <c r="AB329" s="35">
        <f>IF(AQ329="1",BH329,0)</f>
        <v>0</v>
      </c>
      <c r="AC329" s="35">
        <f>IF(AQ329="1",BI329,0)</f>
        <v>0</v>
      </c>
      <c r="AD329" s="35">
        <f>H329</f>
        <v>0</v>
      </c>
      <c r="AE329" s="35">
        <f>I329</f>
        <v>0</v>
      </c>
      <c r="AF329" s="35">
        <f>IF(AQ329="2",BH329,0)</f>
        <v>0</v>
      </c>
      <c r="AG329" s="35">
        <f>IF(AQ329="2",BI329,0)</f>
        <v>0</v>
      </c>
      <c r="AH329" s="35">
        <f>IF(AQ329="0",BJ329,0)</f>
        <v>0</v>
      </c>
      <c r="AI329" s="10" t="s">
        <v>162</v>
      </c>
      <c r="AJ329" s="33">
        <f>IF(AN329=0,J329,0)</f>
        <v>0</v>
      </c>
      <c r="AK329" s="33">
        <f>IF(AN329=15,J329,0)</f>
        <v>0</v>
      </c>
      <c r="AL329" s="33">
        <f>IF(AN329=21,J329,0)</f>
        <v>0</v>
      </c>
      <c r="AN329" s="35">
        <v>21</v>
      </c>
      <c r="AO329" s="35">
        <f>G329*0.781739198497182</f>
        <v>0</v>
      </c>
      <c r="AP329" s="35">
        <f>G329*(1-0.781739198497182)</f>
        <v>0</v>
      </c>
      <c r="AQ329" s="36" t="s">
        <v>12</v>
      </c>
      <c r="AV329" s="35">
        <f>AW329+AX329</f>
        <v>0</v>
      </c>
      <c r="AW329" s="35">
        <f>F329*AO329</f>
        <v>0</v>
      </c>
      <c r="AX329" s="35">
        <f>F329*AP329</f>
        <v>0</v>
      </c>
      <c r="AY329" s="37" t="s">
        <v>694</v>
      </c>
      <c r="AZ329" s="37" t="s">
        <v>717</v>
      </c>
      <c r="BA329" s="10" t="s">
        <v>722</v>
      </c>
      <c r="BC329" s="35">
        <f>AW329+AX329</f>
        <v>0</v>
      </c>
      <c r="BD329" s="35">
        <f>G329/(100-BE329)*100</f>
        <v>0</v>
      </c>
      <c r="BE329" s="35">
        <v>0</v>
      </c>
      <c r="BF329" s="35">
        <f>L329</f>
        <v>0.308</v>
      </c>
      <c r="BH329" s="33">
        <f>F329*AO329</f>
        <v>0</v>
      </c>
      <c r="BI329" s="33">
        <f>F329*AP329</f>
        <v>0</v>
      </c>
      <c r="BJ329" s="33">
        <f>F329*G329</f>
        <v>0</v>
      </c>
      <c r="BK329" s="33" t="s">
        <v>728</v>
      </c>
      <c r="BL329" s="35" t="s">
        <v>183</v>
      </c>
    </row>
    <row r="330" spans="1:14" ht="12.75">
      <c r="A330" s="2"/>
      <c r="D330" s="38" t="s">
        <v>615</v>
      </c>
      <c r="F330" s="39">
        <v>2</v>
      </c>
      <c r="M330" s="40"/>
      <c r="N330" s="2"/>
    </row>
    <row r="331" spans="1:64" ht="12.75">
      <c r="A331" s="31" t="s">
        <v>147</v>
      </c>
      <c r="B331" s="32" t="s">
        <v>162</v>
      </c>
      <c r="C331" s="32" t="s">
        <v>315</v>
      </c>
      <c r="D331" s="32" t="s">
        <v>624</v>
      </c>
      <c r="E331" s="32" t="s">
        <v>656</v>
      </c>
      <c r="F331" s="33">
        <v>2</v>
      </c>
      <c r="G331" s="33">
        <f>J331/F331</f>
        <v>0</v>
      </c>
      <c r="H331" s="61">
        <v>0</v>
      </c>
      <c r="I331" s="61">
        <v>0</v>
      </c>
      <c r="J331" s="33">
        <f>H331+I331</f>
        <v>0</v>
      </c>
      <c r="K331" s="33">
        <v>0.187</v>
      </c>
      <c r="L331" s="33">
        <f>F331*K331</f>
        <v>0.374</v>
      </c>
      <c r="M331" s="34" t="s">
        <v>681</v>
      </c>
      <c r="N331" s="2"/>
      <c r="Z331" s="35">
        <f>IF(AQ331="5",BJ331,0)</f>
        <v>0</v>
      </c>
      <c r="AB331" s="35">
        <f>IF(AQ331="1",BH331,0)</f>
        <v>0</v>
      </c>
      <c r="AC331" s="35">
        <f>IF(AQ331="1",BI331,0)</f>
        <v>0</v>
      </c>
      <c r="AD331" s="35">
        <f>H331</f>
        <v>0</v>
      </c>
      <c r="AE331" s="35">
        <f>I331</f>
        <v>0</v>
      </c>
      <c r="AF331" s="35">
        <f>IF(AQ331="2",BH331,0)</f>
        <v>0</v>
      </c>
      <c r="AG331" s="35">
        <f>IF(AQ331="2",BI331,0)</f>
        <v>0</v>
      </c>
      <c r="AH331" s="35">
        <f>IF(AQ331="0",BJ331,0)</f>
        <v>0</v>
      </c>
      <c r="AI331" s="10" t="s">
        <v>162</v>
      </c>
      <c r="AJ331" s="33">
        <f>IF(AN331=0,J331,0)</f>
        <v>0</v>
      </c>
      <c r="AK331" s="33">
        <f>IF(AN331=15,J331,0)</f>
        <v>0</v>
      </c>
      <c r="AL331" s="33">
        <f>IF(AN331=21,J331,0)</f>
        <v>0</v>
      </c>
      <c r="AN331" s="35">
        <v>21</v>
      </c>
      <c r="AO331" s="35">
        <f>G331*0.781916381178774</f>
        <v>0</v>
      </c>
      <c r="AP331" s="35">
        <f>G331*(1-0.781916381178774)</f>
        <v>0</v>
      </c>
      <c r="AQ331" s="36" t="s">
        <v>12</v>
      </c>
      <c r="AV331" s="35">
        <f>AW331+AX331</f>
        <v>0</v>
      </c>
      <c r="AW331" s="35">
        <f>F331*AO331</f>
        <v>0</v>
      </c>
      <c r="AX331" s="35">
        <f>F331*AP331</f>
        <v>0</v>
      </c>
      <c r="AY331" s="37" t="s">
        <v>694</v>
      </c>
      <c r="AZ331" s="37" t="s">
        <v>717</v>
      </c>
      <c r="BA331" s="10" t="s">
        <v>722</v>
      </c>
      <c r="BC331" s="35">
        <f>AW331+AX331</f>
        <v>0</v>
      </c>
      <c r="BD331" s="35">
        <f>G331/(100-BE331)*100</f>
        <v>0</v>
      </c>
      <c r="BE331" s="35">
        <v>0</v>
      </c>
      <c r="BF331" s="35">
        <f>L331</f>
        <v>0.374</v>
      </c>
      <c r="BH331" s="33">
        <f>F331*AO331</f>
        <v>0</v>
      </c>
      <c r="BI331" s="33">
        <f>F331*AP331</f>
        <v>0</v>
      </c>
      <c r="BJ331" s="33">
        <f>F331*G331</f>
        <v>0</v>
      </c>
      <c r="BK331" s="33" t="s">
        <v>728</v>
      </c>
      <c r="BL331" s="35" t="s">
        <v>183</v>
      </c>
    </row>
    <row r="332" spans="1:14" ht="12.75">
      <c r="A332" s="2"/>
      <c r="D332" s="38" t="s">
        <v>615</v>
      </c>
      <c r="F332" s="39">
        <v>2</v>
      </c>
      <c r="M332" s="40"/>
      <c r="N332" s="2"/>
    </row>
    <row r="333" spans="1:64" ht="12.75">
      <c r="A333" s="31" t="s">
        <v>148</v>
      </c>
      <c r="B333" s="32" t="s">
        <v>162</v>
      </c>
      <c r="C333" s="32" t="s">
        <v>316</v>
      </c>
      <c r="D333" s="32" t="s">
        <v>625</v>
      </c>
      <c r="E333" s="32" t="s">
        <v>656</v>
      </c>
      <c r="F333" s="33">
        <v>5</v>
      </c>
      <c r="G333" s="33">
        <f>J333/F333</f>
        <v>0</v>
      </c>
      <c r="H333" s="61">
        <v>0</v>
      </c>
      <c r="I333" s="61">
        <v>0</v>
      </c>
      <c r="J333" s="33">
        <f>H333+I333</f>
        <v>0</v>
      </c>
      <c r="K333" s="33">
        <v>0.054</v>
      </c>
      <c r="L333" s="33">
        <f>F333*K333</f>
        <v>0.27</v>
      </c>
      <c r="M333" s="34" t="s">
        <v>681</v>
      </c>
      <c r="N333" s="2"/>
      <c r="Z333" s="35">
        <f>IF(AQ333="5",BJ333,0)</f>
        <v>0</v>
      </c>
      <c r="AB333" s="35">
        <f>IF(AQ333="1",BH333,0)</f>
        <v>0</v>
      </c>
      <c r="AC333" s="35">
        <f>IF(AQ333="1",BI333,0)</f>
        <v>0</v>
      </c>
      <c r="AD333" s="35">
        <f>H333</f>
        <v>0</v>
      </c>
      <c r="AE333" s="35">
        <f>I333</f>
        <v>0</v>
      </c>
      <c r="AF333" s="35">
        <f>IF(AQ333="2",BH333,0)</f>
        <v>0</v>
      </c>
      <c r="AG333" s="35">
        <f>IF(AQ333="2",BI333,0)</f>
        <v>0</v>
      </c>
      <c r="AH333" s="35">
        <f>IF(AQ333="0",BJ333,0)</f>
        <v>0</v>
      </c>
      <c r="AI333" s="10" t="s">
        <v>162</v>
      </c>
      <c r="AJ333" s="33">
        <f>IF(AN333=0,J333,0)</f>
        <v>0</v>
      </c>
      <c r="AK333" s="33">
        <f>IF(AN333=15,J333,0)</f>
        <v>0</v>
      </c>
      <c r="AL333" s="33">
        <f>IF(AN333=21,J333,0)</f>
        <v>0</v>
      </c>
      <c r="AN333" s="35">
        <v>21</v>
      </c>
      <c r="AO333" s="35">
        <f>G333*0.784731091244501</f>
        <v>0</v>
      </c>
      <c r="AP333" s="35">
        <f>G333*(1-0.784731091244501)</f>
        <v>0</v>
      </c>
      <c r="AQ333" s="36" t="s">
        <v>12</v>
      </c>
      <c r="AV333" s="35">
        <f>AW333+AX333</f>
        <v>0</v>
      </c>
      <c r="AW333" s="35">
        <f>F333*AO333</f>
        <v>0</v>
      </c>
      <c r="AX333" s="35">
        <f>F333*AP333</f>
        <v>0</v>
      </c>
      <c r="AY333" s="37" t="s">
        <v>694</v>
      </c>
      <c r="AZ333" s="37" t="s">
        <v>717</v>
      </c>
      <c r="BA333" s="10" t="s">
        <v>722</v>
      </c>
      <c r="BC333" s="35">
        <f>AW333+AX333</f>
        <v>0</v>
      </c>
      <c r="BD333" s="35">
        <f>G333/(100-BE333)*100</f>
        <v>0</v>
      </c>
      <c r="BE333" s="35">
        <v>0</v>
      </c>
      <c r="BF333" s="35">
        <f>L333</f>
        <v>0.27</v>
      </c>
      <c r="BH333" s="33">
        <f>F333*AO333</f>
        <v>0</v>
      </c>
      <c r="BI333" s="33">
        <f>F333*AP333</f>
        <v>0</v>
      </c>
      <c r="BJ333" s="33">
        <f>F333*G333</f>
        <v>0</v>
      </c>
      <c r="BK333" s="33" t="s">
        <v>728</v>
      </c>
      <c r="BL333" s="35" t="s">
        <v>183</v>
      </c>
    </row>
    <row r="334" spans="1:14" ht="12.75">
      <c r="A334" s="2"/>
      <c r="D334" s="38" t="s">
        <v>626</v>
      </c>
      <c r="F334" s="39">
        <v>5</v>
      </c>
      <c r="M334" s="40"/>
      <c r="N334" s="2"/>
    </row>
    <row r="335" spans="1:64" ht="12.75">
      <c r="A335" s="31" t="s">
        <v>149</v>
      </c>
      <c r="B335" s="32" t="s">
        <v>162</v>
      </c>
      <c r="C335" s="32" t="s">
        <v>317</v>
      </c>
      <c r="D335" s="32" t="s">
        <v>627</v>
      </c>
      <c r="E335" s="32" t="s">
        <v>657</v>
      </c>
      <c r="F335" s="33">
        <v>1</v>
      </c>
      <c r="G335" s="33">
        <f>J335/F335</f>
        <v>0</v>
      </c>
      <c r="H335" s="61">
        <v>0</v>
      </c>
      <c r="I335" s="61">
        <v>0</v>
      </c>
      <c r="J335" s="33">
        <f>H335+I335</f>
        <v>0</v>
      </c>
      <c r="K335" s="33">
        <v>7E-05</v>
      </c>
      <c r="L335" s="33">
        <f>F335*K335</f>
        <v>7E-05</v>
      </c>
      <c r="M335" s="34" t="s">
        <v>680</v>
      </c>
      <c r="N335" s="2"/>
      <c r="Z335" s="35">
        <f>IF(AQ335="5",BJ335,0)</f>
        <v>0</v>
      </c>
      <c r="AB335" s="35">
        <f>IF(AQ335="1",BH335,0)</f>
        <v>0</v>
      </c>
      <c r="AC335" s="35">
        <f>IF(AQ335="1",BI335,0)</f>
        <v>0</v>
      </c>
      <c r="AD335" s="35">
        <f>H335</f>
        <v>0</v>
      </c>
      <c r="AE335" s="35">
        <f>I335</f>
        <v>0</v>
      </c>
      <c r="AF335" s="35">
        <f>IF(AQ335="2",BH335,0)</f>
        <v>0</v>
      </c>
      <c r="AG335" s="35">
        <f>IF(AQ335="2",BI335,0)</f>
        <v>0</v>
      </c>
      <c r="AH335" s="35">
        <f>IF(AQ335="0",BJ335,0)</f>
        <v>0</v>
      </c>
      <c r="AI335" s="10" t="s">
        <v>162</v>
      </c>
      <c r="AJ335" s="33">
        <f>IF(AN335=0,J335,0)</f>
        <v>0</v>
      </c>
      <c r="AK335" s="33">
        <f>IF(AN335=15,J335,0)</f>
        <v>0</v>
      </c>
      <c r="AL335" s="33">
        <f>IF(AN335=21,J335,0)</f>
        <v>0</v>
      </c>
      <c r="AN335" s="35">
        <v>21</v>
      </c>
      <c r="AO335" s="35">
        <f>G335*0.0319702602230483</f>
        <v>0</v>
      </c>
      <c r="AP335" s="35">
        <f>G335*(1-0.0319702602230483)</f>
        <v>0</v>
      </c>
      <c r="AQ335" s="36" t="s">
        <v>12</v>
      </c>
      <c r="AV335" s="35">
        <f>AW335+AX335</f>
        <v>0</v>
      </c>
      <c r="AW335" s="35">
        <f>F335*AO335</f>
        <v>0</v>
      </c>
      <c r="AX335" s="35">
        <f>F335*AP335</f>
        <v>0</v>
      </c>
      <c r="AY335" s="37" t="s">
        <v>694</v>
      </c>
      <c r="AZ335" s="37" t="s">
        <v>717</v>
      </c>
      <c r="BA335" s="10" t="s">
        <v>722</v>
      </c>
      <c r="BC335" s="35">
        <f>AW335+AX335</f>
        <v>0</v>
      </c>
      <c r="BD335" s="35">
        <f>G335/(100-BE335)*100</f>
        <v>0</v>
      </c>
      <c r="BE335" s="35">
        <v>0</v>
      </c>
      <c r="BF335" s="35">
        <f>L335</f>
        <v>7E-05</v>
      </c>
      <c r="BH335" s="33">
        <f>F335*AO335</f>
        <v>0</v>
      </c>
      <c r="BI335" s="33">
        <f>F335*AP335</f>
        <v>0</v>
      </c>
      <c r="BJ335" s="33">
        <f>F335*G335</f>
        <v>0</v>
      </c>
      <c r="BK335" s="33" t="s">
        <v>728</v>
      </c>
      <c r="BL335" s="35" t="s">
        <v>183</v>
      </c>
    </row>
    <row r="336" spans="1:14" ht="12.75">
      <c r="A336" s="2"/>
      <c r="D336" s="38" t="s">
        <v>628</v>
      </c>
      <c r="F336" s="39">
        <v>1</v>
      </c>
      <c r="M336" s="40"/>
      <c r="N336" s="2"/>
    </row>
    <row r="337" spans="1:64" ht="12.75">
      <c r="A337" s="48" t="s">
        <v>150</v>
      </c>
      <c r="B337" s="49" t="s">
        <v>162</v>
      </c>
      <c r="C337" s="49" t="s">
        <v>318</v>
      </c>
      <c r="D337" s="49" t="s">
        <v>629</v>
      </c>
      <c r="E337" s="49" t="s">
        <v>657</v>
      </c>
      <c r="F337" s="50">
        <v>1</v>
      </c>
      <c r="G337" s="33">
        <f>J337/F337</f>
        <v>0</v>
      </c>
      <c r="H337" s="61">
        <v>0</v>
      </c>
      <c r="I337" s="61">
        <v>0</v>
      </c>
      <c r="J337" s="33">
        <f>H337+I337</f>
        <v>0</v>
      </c>
      <c r="K337" s="50">
        <v>0</v>
      </c>
      <c r="L337" s="50">
        <f>F337*K337</f>
        <v>0</v>
      </c>
      <c r="M337" s="51" t="s">
        <v>680</v>
      </c>
      <c r="N337" s="2"/>
      <c r="Z337" s="35">
        <f>IF(AQ337="5",BJ337,0)</f>
        <v>0</v>
      </c>
      <c r="AB337" s="35">
        <f>IF(AQ337="1",BH337,0)</f>
        <v>0</v>
      </c>
      <c r="AC337" s="35">
        <f>IF(AQ337="1",BI337,0)</f>
        <v>0</v>
      </c>
      <c r="AD337" s="35">
        <f>H337</f>
        <v>0</v>
      </c>
      <c r="AE337" s="35">
        <f>I337</f>
        <v>0</v>
      </c>
      <c r="AF337" s="35">
        <f>IF(AQ337="2",BH337,0)</f>
        <v>0</v>
      </c>
      <c r="AG337" s="35">
        <f>IF(AQ337="2",BI337,0)</f>
        <v>0</v>
      </c>
      <c r="AH337" s="35">
        <f>IF(AQ337="0",BJ337,0)</f>
        <v>0</v>
      </c>
      <c r="AI337" s="10" t="s">
        <v>162</v>
      </c>
      <c r="AJ337" s="50">
        <f>IF(AN337=0,J337,0)</f>
        <v>0</v>
      </c>
      <c r="AK337" s="50">
        <f>IF(AN337=15,J337,0)</f>
        <v>0</v>
      </c>
      <c r="AL337" s="50">
        <f>IF(AN337=21,J337,0)</f>
        <v>0</v>
      </c>
      <c r="AN337" s="35">
        <v>21</v>
      </c>
      <c r="AO337" s="35">
        <f>G337*1</f>
        <v>0</v>
      </c>
      <c r="AP337" s="35">
        <f>G337*(1-1)</f>
        <v>0</v>
      </c>
      <c r="AQ337" s="52" t="s">
        <v>12</v>
      </c>
      <c r="AV337" s="35">
        <f>AW337+AX337</f>
        <v>0</v>
      </c>
      <c r="AW337" s="35">
        <f>F337*AO337</f>
        <v>0</v>
      </c>
      <c r="AX337" s="35">
        <f>F337*AP337</f>
        <v>0</v>
      </c>
      <c r="AY337" s="37" t="s">
        <v>694</v>
      </c>
      <c r="AZ337" s="37" t="s">
        <v>717</v>
      </c>
      <c r="BA337" s="10" t="s">
        <v>722</v>
      </c>
      <c r="BC337" s="35">
        <f>AW337+AX337</f>
        <v>0</v>
      </c>
      <c r="BD337" s="35">
        <f>G337/(100-BE337)*100</f>
        <v>0</v>
      </c>
      <c r="BE337" s="35">
        <v>0</v>
      </c>
      <c r="BF337" s="35">
        <f>L337</f>
        <v>0</v>
      </c>
      <c r="BH337" s="50">
        <f>F337*AO337</f>
        <v>0</v>
      </c>
      <c r="BI337" s="50">
        <f>F337*AP337</f>
        <v>0</v>
      </c>
      <c r="BJ337" s="50">
        <f>F337*G337</f>
        <v>0</v>
      </c>
      <c r="BK337" s="50" t="s">
        <v>729</v>
      </c>
      <c r="BL337" s="35" t="s">
        <v>183</v>
      </c>
    </row>
    <row r="338" spans="1:64" ht="12.75">
      <c r="A338" s="31" t="s">
        <v>151</v>
      </c>
      <c r="B338" s="32" t="s">
        <v>162</v>
      </c>
      <c r="C338" s="32" t="s">
        <v>319</v>
      </c>
      <c r="D338" s="32" t="s">
        <v>630</v>
      </c>
      <c r="E338" s="32" t="s">
        <v>654</v>
      </c>
      <c r="F338" s="33">
        <v>21.1441</v>
      </c>
      <c r="G338" s="33">
        <f>J338/F338</f>
        <v>0</v>
      </c>
      <c r="H338" s="61">
        <v>0</v>
      </c>
      <c r="I338" s="61">
        <v>0</v>
      </c>
      <c r="J338" s="33">
        <f>H338+I338</f>
        <v>0</v>
      </c>
      <c r="K338" s="33">
        <v>0</v>
      </c>
      <c r="L338" s="33">
        <f>F338*K338</f>
        <v>0</v>
      </c>
      <c r="M338" s="34" t="s">
        <v>680</v>
      </c>
      <c r="N338" s="2"/>
      <c r="Z338" s="35">
        <f>H338+I338</f>
        <v>0</v>
      </c>
      <c r="AB338" s="35">
        <f>IF(AQ338="1",BH338,0)</f>
        <v>0</v>
      </c>
      <c r="AC338" s="35">
        <f>IF(AQ338="1",BI338,0)</f>
        <v>0</v>
      </c>
      <c r="AD338" s="35">
        <f>IF(AQ338="7",BH338,0)</f>
        <v>0</v>
      </c>
      <c r="AE338" s="35">
        <f>IF(AQ338="7",BI338,0)</f>
        <v>0</v>
      </c>
      <c r="AF338" s="35">
        <f>IF(AQ338="2",BH338,0)</f>
        <v>0</v>
      </c>
      <c r="AG338" s="35">
        <f>IF(AQ338="2",BI338,0)</f>
        <v>0</v>
      </c>
      <c r="AH338" s="35">
        <f>IF(AQ338="0",BJ338,0)</f>
        <v>0</v>
      </c>
      <c r="AI338" s="10" t="s">
        <v>162</v>
      </c>
      <c r="AJ338" s="33">
        <f>IF(AN338=0,J338,0)</f>
        <v>0</v>
      </c>
      <c r="AK338" s="33">
        <f>IF(AN338=15,J338,0)</f>
        <v>0</v>
      </c>
      <c r="AL338" s="33">
        <f>IF(AN338=21,J338,0)</f>
        <v>0</v>
      </c>
      <c r="AN338" s="35">
        <v>21</v>
      </c>
      <c r="AO338" s="35">
        <f>G338*0</f>
        <v>0</v>
      </c>
      <c r="AP338" s="35">
        <f>G338*(1-0)</f>
        <v>0</v>
      </c>
      <c r="AQ338" s="36" t="s">
        <v>10</v>
      </c>
      <c r="AV338" s="35">
        <f>AW338+AX338</f>
        <v>0</v>
      </c>
      <c r="AW338" s="35">
        <f>F338*AO338</f>
        <v>0</v>
      </c>
      <c r="AX338" s="35">
        <f>F338*AP338</f>
        <v>0</v>
      </c>
      <c r="AY338" s="37" t="s">
        <v>694</v>
      </c>
      <c r="AZ338" s="37" t="s">
        <v>717</v>
      </c>
      <c r="BA338" s="10" t="s">
        <v>722</v>
      </c>
      <c r="BC338" s="35">
        <f>AW338+AX338</f>
        <v>0</v>
      </c>
      <c r="BD338" s="35">
        <f>G338/(100-BE338)*100</f>
        <v>0</v>
      </c>
      <c r="BE338" s="35">
        <v>0</v>
      </c>
      <c r="BF338" s="35">
        <f>L338</f>
        <v>0</v>
      </c>
      <c r="BH338" s="33">
        <f>F338*AO338</f>
        <v>0</v>
      </c>
      <c r="BI338" s="33">
        <f>F338*AP338</f>
        <v>0</v>
      </c>
      <c r="BJ338" s="33">
        <f>F338*G338</f>
        <v>0</v>
      </c>
      <c r="BK338" s="33" t="s">
        <v>728</v>
      </c>
      <c r="BL338" s="35" t="s">
        <v>183</v>
      </c>
    </row>
    <row r="339" spans="1:14" ht="12.75">
      <c r="A339" s="2"/>
      <c r="D339" s="38" t="s">
        <v>631</v>
      </c>
      <c r="F339" s="39">
        <v>21.1441</v>
      </c>
      <c r="M339" s="40"/>
      <c r="N339" s="2"/>
    </row>
    <row r="340" spans="1:47" ht="12.75">
      <c r="A340" s="26"/>
      <c r="B340" s="27" t="s">
        <v>162</v>
      </c>
      <c r="C340" s="27" t="s">
        <v>99</v>
      </c>
      <c r="D340" s="27" t="s">
        <v>632</v>
      </c>
      <c r="E340" s="28" t="s">
        <v>5</v>
      </c>
      <c r="F340" s="28" t="s">
        <v>5</v>
      </c>
      <c r="G340" s="28" t="s">
        <v>5</v>
      </c>
      <c r="H340" s="29">
        <f>SUM(H341:H345)</f>
        <v>0</v>
      </c>
      <c r="I340" s="29">
        <f>SUM(I341:I345)</f>
        <v>0</v>
      </c>
      <c r="J340" s="29">
        <f>SUM(J341:J345)</f>
        <v>0</v>
      </c>
      <c r="K340" s="10"/>
      <c r="L340" s="29">
        <f>SUM(L341:L345)</f>
        <v>45.794322</v>
      </c>
      <c r="M340" s="30"/>
      <c r="N340" s="2"/>
      <c r="AI340" s="10" t="s">
        <v>162</v>
      </c>
      <c r="AS340" s="29">
        <f>SUM(AJ341:AJ345)</f>
        <v>0</v>
      </c>
      <c r="AT340" s="29">
        <f>SUM(AK341:AK345)</f>
        <v>0</v>
      </c>
      <c r="AU340" s="29">
        <f>SUM(AL341:AL345)</f>
        <v>0</v>
      </c>
    </row>
    <row r="341" spans="1:64" ht="12.75">
      <c r="A341" s="31" t="s">
        <v>152</v>
      </c>
      <c r="B341" s="32" t="s">
        <v>162</v>
      </c>
      <c r="C341" s="32" t="s">
        <v>320</v>
      </c>
      <c r="D341" s="32" t="s">
        <v>633</v>
      </c>
      <c r="E341" s="32" t="s">
        <v>649</v>
      </c>
      <c r="F341" s="33">
        <v>2381.4</v>
      </c>
      <c r="G341" s="33">
        <f>J341/F341</f>
        <v>0</v>
      </c>
      <c r="H341" s="61">
        <v>0</v>
      </c>
      <c r="I341" s="61">
        <v>0</v>
      </c>
      <c r="J341" s="33">
        <f>H341+I341</f>
        <v>0</v>
      </c>
      <c r="K341" s="33">
        <v>0.01838</v>
      </c>
      <c r="L341" s="33">
        <f>F341*K341</f>
        <v>43.770132000000004</v>
      </c>
      <c r="M341" s="34" t="s">
        <v>680</v>
      </c>
      <c r="N341" s="2"/>
      <c r="Z341" s="35">
        <f>IF(AQ341="5",BJ341,0)</f>
        <v>0</v>
      </c>
      <c r="AB341" s="35">
        <f>H341</f>
        <v>0</v>
      </c>
      <c r="AC341" s="35">
        <f>I341</f>
        <v>0</v>
      </c>
      <c r="AD341" s="35">
        <f>IF(AQ341="7",BH341,0)</f>
        <v>0</v>
      </c>
      <c r="AE341" s="35">
        <f>IF(AQ341="7",BI341,0)</f>
        <v>0</v>
      </c>
      <c r="AF341" s="35">
        <f>IF(AQ341="2",BH341,0)</f>
        <v>0</v>
      </c>
      <c r="AG341" s="35">
        <f>IF(AQ341="2",BI341,0)</f>
        <v>0</v>
      </c>
      <c r="AH341" s="35">
        <f>IF(AQ341="0",BJ341,0)</f>
        <v>0</v>
      </c>
      <c r="AI341" s="10" t="s">
        <v>162</v>
      </c>
      <c r="AJ341" s="33">
        <f>IF(AN341=0,J341,0)</f>
        <v>0</v>
      </c>
      <c r="AK341" s="33">
        <f>IF(AN341=15,J341,0)</f>
        <v>0</v>
      </c>
      <c r="AL341" s="33">
        <f>IF(AN341=21,J341,0)</f>
        <v>0</v>
      </c>
      <c r="AN341" s="35">
        <v>21</v>
      </c>
      <c r="AO341" s="35">
        <f>G341*0.000318471337579618</f>
        <v>0</v>
      </c>
      <c r="AP341" s="35">
        <f>G341*(1-0.000318471337579618)</f>
        <v>0</v>
      </c>
      <c r="AQ341" s="36" t="s">
        <v>6</v>
      </c>
      <c r="AV341" s="35">
        <f>AW341+AX341</f>
        <v>0</v>
      </c>
      <c r="AW341" s="35">
        <f>F341*AO341</f>
        <v>0</v>
      </c>
      <c r="AX341" s="35">
        <f>F341*AP341</f>
        <v>0</v>
      </c>
      <c r="AY341" s="37" t="s">
        <v>705</v>
      </c>
      <c r="AZ341" s="37" t="s">
        <v>718</v>
      </c>
      <c r="BA341" s="10" t="s">
        <v>722</v>
      </c>
      <c r="BC341" s="35">
        <f>AW341+AX341</f>
        <v>0</v>
      </c>
      <c r="BD341" s="35">
        <f>G341/(100-BE341)*100</f>
        <v>0</v>
      </c>
      <c r="BE341" s="35">
        <v>0</v>
      </c>
      <c r="BF341" s="35">
        <f>L341</f>
        <v>43.770132000000004</v>
      </c>
      <c r="BH341" s="33">
        <f>F341*AO341</f>
        <v>0</v>
      </c>
      <c r="BI341" s="33">
        <f>F341*AP341</f>
        <v>0</v>
      </c>
      <c r="BJ341" s="33">
        <f>F341*G341</f>
        <v>0</v>
      </c>
      <c r="BK341" s="33" t="s">
        <v>728</v>
      </c>
      <c r="BL341" s="35">
        <v>94</v>
      </c>
    </row>
    <row r="342" spans="1:28" ht="12.75">
      <c r="A342" s="2"/>
      <c r="D342" s="38" t="s">
        <v>634</v>
      </c>
      <c r="F342" s="39">
        <v>2381.4</v>
      </c>
      <c r="M342" s="40"/>
      <c r="N342" s="2"/>
      <c r="AB342" s="41"/>
    </row>
    <row r="343" spans="1:64" ht="12.75">
      <c r="A343" s="31" t="s">
        <v>153</v>
      </c>
      <c r="B343" s="32" t="s">
        <v>162</v>
      </c>
      <c r="C343" s="32" t="s">
        <v>321</v>
      </c>
      <c r="D343" s="32" t="s">
        <v>635</v>
      </c>
      <c r="E343" s="32" t="s">
        <v>649</v>
      </c>
      <c r="F343" s="33">
        <v>2381.4</v>
      </c>
      <c r="G343" s="33">
        <f>J343/F343</f>
        <v>0</v>
      </c>
      <c r="H343" s="61">
        <v>0</v>
      </c>
      <c r="I343" s="61">
        <v>0</v>
      </c>
      <c r="J343" s="33">
        <f>H343+I343</f>
        <v>0</v>
      </c>
      <c r="K343" s="33">
        <v>0.00085</v>
      </c>
      <c r="L343" s="33">
        <f>F343*K343</f>
        <v>2.02419</v>
      </c>
      <c r="M343" s="34" t="s">
        <v>680</v>
      </c>
      <c r="N343" s="2"/>
      <c r="Z343" s="35">
        <f>IF(AQ343="5",BJ343,0)</f>
        <v>0</v>
      </c>
      <c r="AB343" s="35">
        <f>H343</f>
        <v>0</v>
      </c>
      <c r="AC343" s="35">
        <f>I343</f>
        <v>0</v>
      </c>
      <c r="AD343" s="35">
        <f>IF(AQ343="7",BH343,0)</f>
        <v>0</v>
      </c>
      <c r="AE343" s="35">
        <f>IF(AQ343="7",BI343,0)</f>
        <v>0</v>
      </c>
      <c r="AF343" s="35">
        <f>IF(AQ343="2",BH343,0)</f>
        <v>0</v>
      </c>
      <c r="AG343" s="35">
        <f>IF(AQ343="2",BI343,0)</f>
        <v>0</v>
      </c>
      <c r="AH343" s="35">
        <f>IF(AQ343="0",BJ343,0)</f>
        <v>0</v>
      </c>
      <c r="AI343" s="10" t="s">
        <v>162</v>
      </c>
      <c r="AJ343" s="33">
        <f>IF(AN343=0,J343,0)</f>
        <v>0</v>
      </c>
      <c r="AK343" s="33">
        <f>IF(AN343=15,J343,0)</f>
        <v>0</v>
      </c>
      <c r="AL343" s="33">
        <f>IF(AN343=21,J343,0)</f>
        <v>0</v>
      </c>
      <c r="AN343" s="35">
        <v>21</v>
      </c>
      <c r="AO343" s="35">
        <f>G343*0.91021897810219</f>
        <v>0</v>
      </c>
      <c r="AP343" s="35">
        <f>G343*(1-0.91021897810219)</f>
        <v>0</v>
      </c>
      <c r="AQ343" s="36" t="s">
        <v>6</v>
      </c>
      <c r="AV343" s="35">
        <f>AW343+AX343</f>
        <v>0</v>
      </c>
      <c r="AW343" s="35">
        <f>F343*AO343</f>
        <v>0</v>
      </c>
      <c r="AX343" s="35">
        <f>F343*AP343</f>
        <v>0</v>
      </c>
      <c r="AY343" s="37" t="s">
        <v>705</v>
      </c>
      <c r="AZ343" s="37" t="s">
        <v>718</v>
      </c>
      <c r="BA343" s="10" t="s">
        <v>722</v>
      </c>
      <c r="BC343" s="35">
        <f>AW343+AX343</f>
        <v>0</v>
      </c>
      <c r="BD343" s="35">
        <f>G343/(100-BE343)*100</f>
        <v>0</v>
      </c>
      <c r="BE343" s="35">
        <v>0</v>
      </c>
      <c r="BF343" s="35">
        <f>L343</f>
        <v>2.02419</v>
      </c>
      <c r="BH343" s="33">
        <f>F343*AO343</f>
        <v>0</v>
      </c>
      <c r="BI343" s="33">
        <f>F343*AP343</f>
        <v>0</v>
      </c>
      <c r="BJ343" s="33">
        <f>F343*G343</f>
        <v>0</v>
      </c>
      <c r="BK343" s="33" t="s">
        <v>728</v>
      </c>
      <c r="BL343" s="35">
        <v>94</v>
      </c>
    </row>
    <row r="344" spans="1:28" ht="12.75">
      <c r="A344" s="2"/>
      <c r="D344" s="38" t="s">
        <v>634</v>
      </c>
      <c r="F344" s="39">
        <v>2381.4</v>
      </c>
      <c r="M344" s="40"/>
      <c r="N344" s="2"/>
      <c r="AB344" s="41"/>
    </row>
    <row r="345" spans="1:64" ht="12.75">
      <c r="A345" s="31" t="s">
        <v>154</v>
      </c>
      <c r="B345" s="32" t="s">
        <v>162</v>
      </c>
      <c r="C345" s="32" t="s">
        <v>322</v>
      </c>
      <c r="D345" s="32" t="s">
        <v>636</v>
      </c>
      <c r="E345" s="32" t="s">
        <v>649</v>
      </c>
      <c r="F345" s="33">
        <v>2381.4</v>
      </c>
      <c r="G345" s="33">
        <f>J345/F345</f>
        <v>0</v>
      </c>
      <c r="H345" s="61">
        <v>0</v>
      </c>
      <c r="I345" s="61">
        <v>0</v>
      </c>
      <c r="J345" s="33">
        <f>H345+I345</f>
        <v>0</v>
      </c>
      <c r="K345" s="33">
        <v>0</v>
      </c>
      <c r="L345" s="33">
        <f>F345*K345</f>
        <v>0</v>
      </c>
      <c r="M345" s="34" t="s">
        <v>680</v>
      </c>
      <c r="N345" s="2"/>
      <c r="Z345" s="35">
        <f>IF(AQ345="5",BJ345,0)</f>
        <v>0</v>
      </c>
      <c r="AB345" s="35">
        <f>H345</f>
        <v>0</v>
      </c>
      <c r="AC345" s="35">
        <f>I345</f>
        <v>0</v>
      </c>
      <c r="AD345" s="35">
        <f>IF(AQ345="7",BH345,0)</f>
        <v>0</v>
      </c>
      <c r="AE345" s="35">
        <f>IF(AQ345="7",BI345,0)</f>
        <v>0</v>
      </c>
      <c r="AF345" s="35">
        <f>IF(AQ345="2",BH345,0)</f>
        <v>0</v>
      </c>
      <c r="AG345" s="35">
        <f>IF(AQ345="2",BI345,0)</f>
        <v>0</v>
      </c>
      <c r="AH345" s="35">
        <f>IF(AQ345="0",BJ345,0)</f>
        <v>0</v>
      </c>
      <c r="AI345" s="10" t="s">
        <v>162</v>
      </c>
      <c r="AJ345" s="33">
        <f>IF(AN345=0,J345,0)</f>
        <v>0</v>
      </c>
      <c r="AK345" s="33">
        <f>IF(AN345=15,J345,0)</f>
        <v>0</v>
      </c>
      <c r="AL345" s="33">
        <f>IF(AN345=21,J345,0)</f>
        <v>0</v>
      </c>
      <c r="AN345" s="35">
        <v>21</v>
      </c>
      <c r="AO345" s="35">
        <f>G345*0</f>
        <v>0</v>
      </c>
      <c r="AP345" s="35">
        <f>G345*(1-0)</f>
        <v>0</v>
      </c>
      <c r="AQ345" s="36" t="s">
        <v>6</v>
      </c>
      <c r="AV345" s="35">
        <f>AW345+AX345</f>
        <v>0</v>
      </c>
      <c r="AW345" s="35">
        <f>F345*AO345</f>
        <v>0</v>
      </c>
      <c r="AX345" s="35">
        <f>F345*AP345</f>
        <v>0</v>
      </c>
      <c r="AY345" s="37" t="s">
        <v>705</v>
      </c>
      <c r="AZ345" s="37" t="s">
        <v>718</v>
      </c>
      <c r="BA345" s="10" t="s">
        <v>722</v>
      </c>
      <c r="BC345" s="35">
        <f>AW345+AX345</f>
        <v>0</v>
      </c>
      <c r="BD345" s="35">
        <f>G345/(100-BE345)*100</f>
        <v>0</v>
      </c>
      <c r="BE345" s="35">
        <v>0</v>
      </c>
      <c r="BF345" s="35">
        <f>L345</f>
        <v>0</v>
      </c>
      <c r="BH345" s="33">
        <f>F345*AO345</f>
        <v>0</v>
      </c>
      <c r="BI345" s="33">
        <f>F345*AP345</f>
        <v>0</v>
      </c>
      <c r="BJ345" s="33">
        <f>F345*G345</f>
        <v>0</v>
      </c>
      <c r="BK345" s="33" t="s">
        <v>728</v>
      </c>
      <c r="BL345" s="35">
        <v>94</v>
      </c>
    </row>
    <row r="346" spans="1:14" ht="12.75">
      <c r="A346" s="2"/>
      <c r="D346" s="38" t="s">
        <v>637</v>
      </c>
      <c r="F346" s="39">
        <v>2381.4</v>
      </c>
      <c r="M346" s="40"/>
      <c r="N346" s="2"/>
    </row>
    <row r="347" spans="1:47" ht="12.75">
      <c r="A347" s="26"/>
      <c r="B347" s="27" t="s">
        <v>162</v>
      </c>
      <c r="C347" s="27" t="s">
        <v>323</v>
      </c>
      <c r="D347" s="27" t="s">
        <v>638</v>
      </c>
      <c r="E347" s="28" t="s">
        <v>5</v>
      </c>
      <c r="F347" s="28" t="s">
        <v>5</v>
      </c>
      <c r="G347" s="28" t="s">
        <v>5</v>
      </c>
      <c r="H347" s="29">
        <f>SUM(H348:H348)</f>
        <v>0</v>
      </c>
      <c r="I347" s="29">
        <f>SUM(I348:I348)</f>
        <v>0</v>
      </c>
      <c r="J347" s="29">
        <f>SUM(J348:J348)</f>
        <v>0</v>
      </c>
      <c r="K347" s="10"/>
      <c r="L347" s="29">
        <f>SUM(L348:L348)</f>
        <v>0</v>
      </c>
      <c r="M347" s="30"/>
      <c r="N347" s="2"/>
      <c r="AI347" s="10" t="s">
        <v>162</v>
      </c>
      <c r="AS347" s="29">
        <f>SUM(AJ348:AJ348)</f>
        <v>0</v>
      </c>
      <c r="AT347" s="29">
        <f>SUM(AK348:AK348)</f>
        <v>0</v>
      </c>
      <c r="AU347" s="29">
        <f>SUM(AL348:AL348)</f>
        <v>0</v>
      </c>
    </row>
    <row r="348" spans="1:64" ht="12.75">
      <c r="A348" s="31" t="s">
        <v>155</v>
      </c>
      <c r="B348" s="32" t="s">
        <v>162</v>
      </c>
      <c r="C348" s="32" t="s">
        <v>324</v>
      </c>
      <c r="D348" s="32" t="s">
        <v>639</v>
      </c>
      <c r="E348" s="32" t="s">
        <v>654</v>
      </c>
      <c r="F348" s="33">
        <v>45.7943</v>
      </c>
      <c r="G348" s="33">
        <f>J348/F348</f>
        <v>0</v>
      </c>
      <c r="H348" s="61">
        <v>0</v>
      </c>
      <c r="I348" s="61">
        <v>0</v>
      </c>
      <c r="J348" s="33">
        <f>H348+I348</f>
        <v>0</v>
      </c>
      <c r="K348" s="33">
        <v>0</v>
      </c>
      <c r="L348" s="33">
        <f>F348*K348</f>
        <v>0</v>
      </c>
      <c r="M348" s="34" t="s">
        <v>680</v>
      </c>
      <c r="N348" s="2"/>
      <c r="Z348" s="35">
        <f>H348+I348</f>
        <v>0</v>
      </c>
      <c r="AB348" s="35">
        <f>IF(AQ348="1",BH348,0)</f>
        <v>0</v>
      </c>
      <c r="AC348" s="35">
        <f>IF(AQ348="1",BI348,0)</f>
        <v>0</v>
      </c>
      <c r="AD348" s="35">
        <f>IF(AQ348="7",BH348,0)</f>
        <v>0</v>
      </c>
      <c r="AE348" s="35">
        <f>IF(AQ348="7",BI348,0)</f>
        <v>0</v>
      </c>
      <c r="AF348" s="35">
        <f>IF(AQ348="2",BH348,0)</f>
        <v>0</v>
      </c>
      <c r="AG348" s="35">
        <f>IF(AQ348="2",BI348,0)</f>
        <v>0</v>
      </c>
      <c r="AH348" s="35">
        <f>IF(AQ348="0",BJ348,0)</f>
        <v>0</v>
      </c>
      <c r="AI348" s="10" t="s">
        <v>162</v>
      </c>
      <c r="AJ348" s="33">
        <f>IF(AN348=0,J348,0)</f>
        <v>0</v>
      </c>
      <c r="AK348" s="33">
        <f>IF(AN348=15,J348,0)</f>
        <v>0</v>
      </c>
      <c r="AL348" s="33">
        <f>IF(AN348=21,J348,0)</f>
        <v>0</v>
      </c>
      <c r="AN348" s="35">
        <v>21</v>
      </c>
      <c r="AO348" s="35">
        <f>G348*0</f>
        <v>0</v>
      </c>
      <c r="AP348" s="35">
        <f>G348*(1-0)</f>
        <v>0</v>
      </c>
      <c r="AQ348" s="36" t="s">
        <v>10</v>
      </c>
      <c r="AV348" s="35">
        <f>AW348+AX348</f>
        <v>0</v>
      </c>
      <c r="AW348" s="35">
        <f>F348*AO348</f>
        <v>0</v>
      </c>
      <c r="AX348" s="35">
        <f>F348*AP348</f>
        <v>0</v>
      </c>
      <c r="AY348" s="37" t="s">
        <v>706</v>
      </c>
      <c r="AZ348" s="37" t="s">
        <v>718</v>
      </c>
      <c r="BA348" s="10" t="s">
        <v>722</v>
      </c>
      <c r="BC348" s="35">
        <f>AW348+AX348</f>
        <v>0</v>
      </c>
      <c r="BD348" s="35">
        <f>G348/(100-BE348)*100</f>
        <v>0</v>
      </c>
      <c r="BE348" s="35">
        <v>0</v>
      </c>
      <c r="BF348" s="35">
        <f>L348</f>
        <v>0</v>
      </c>
      <c r="BH348" s="33">
        <f>F348*AO348</f>
        <v>0</v>
      </c>
      <c r="BI348" s="33">
        <f>F348*AP348</f>
        <v>0</v>
      </c>
      <c r="BJ348" s="33">
        <f>F348*G348</f>
        <v>0</v>
      </c>
      <c r="BK348" s="33" t="s">
        <v>728</v>
      </c>
      <c r="BL348" s="35" t="s">
        <v>323</v>
      </c>
    </row>
    <row r="349" spans="1:14" ht="12.75">
      <c r="A349" s="2"/>
      <c r="D349" s="38" t="s">
        <v>640</v>
      </c>
      <c r="F349" s="39">
        <v>45.7943</v>
      </c>
      <c r="M349" s="40"/>
      <c r="N349" s="2"/>
    </row>
    <row r="350" spans="1:14" ht="12.75">
      <c r="A350" s="42"/>
      <c r="B350" s="43" t="s">
        <v>163</v>
      </c>
      <c r="C350" s="43"/>
      <c r="D350" s="43" t="s">
        <v>642</v>
      </c>
      <c r="E350" s="44" t="s">
        <v>5</v>
      </c>
      <c r="F350" s="44" t="s">
        <v>5</v>
      </c>
      <c r="G350" s="44" t="s">
        <v>5</v>
      </c>
      <c r="H350" s="45">
        <f>H351</f>
        <v>0</v>
      </c>
      <c r="I350" s="45">
        <f>I351</f>
        <v>0</v>
      </c>
      <c r="J350" s="45">
        <f>J351</f>
        <v>0</v>
      </c>
      <c r="K350" s="46"/>
      <c r="L350" s="45">
        <f>L351</f>
        <v>0.29943</v>
      </c>
      <c r="M350" s="47"/>
      <c r="N350" s="2"/>
    </row>
    <row r="351" spans="1:47" ht="12.75">
      <c r="A351" s="26"/>
      <c r="B351" s="27" t="s">
        <v>163</v>
      </c>
      <c r="C351" s="27" t="s">
        <v>325</v>
      </c>
      <c r="D351" s="27" t="s">
        <v>641</v>
      </c>
      <c r="E351" s="28" t="s">
        <v>5</v>
      </c>
      <c r="F351" s="28" t="s">
        <v>5</v>
      </c>
      <c r="G351" s="28" t="s">
        <v>5</v>
      </c>
      <c r="H351" s="29">
        <f>SUM(H352:H352)</f>
        <v>0</v>
      </c>
      <c r="I351" s="29">
        <f>SUM(I352:I352)</f>
        <v>0</v>
      </c>
      <c r="J351" s="29">
        <f>SUM(J352:J352)</f>
        <v>0</v>
      </c>
      <c r="K351" s="10"/>
      <c r="L351" s="29">
        <f>SUM(L352:L352)</f>
        <v>0.29943</v>
      </c>
      <c r="M351" s="30"/>
      <c r="N351" s="2"/>
      <c r="AI351" s="10" t="s">
        <v>164</v>
      </c>
      <c r="AS351" s="29">
        <f>SUM(AJ352:AJ352)</f>
        <v>0</v>
      </c>
      <c r="AT351" s="29">
        <f>SUM(AK352:AK352)</f>
        <v>0</v>
      </c>
      <c r="AU351" s="29">
        <f>SUM(AL352:AL352)</f>
        <v>0</v>
      </c>
    </row>
    <row r="352" spans="1:64" ht="12.75">
      <c r="A352" s="31" t="s">
        <v>156</v>
      </c>
      <c r="B352" s="32" t="s">
        <v>163</v>
      </c>
      <c r="C352" s="32" t="s">
        <v>326</v>
      </c>
      <c r="D352" s="32" t="s">
        <v>642</v>
      </c>
      <c r="E352" s="32" t="s">
        <v>658</v>
      </c>
      <c r="F352" s="33">
        <v>1</v>
      </c>
      <c r="G352" s="33">
        <f>J352/F352</f>
        <v>0</v>
      </c>
      <c r="H352" s="33">
        <f>'Hromosvod rozpočet'!E32</f>
        <v>0</v>
      </c>
      <c r="I352" s="33">
        <f>'Hromosvod rozpočet'!E25</f>
        <v>0</v>
      </c>
      <c r="J352" s="33">
        <f>H352+I352</f>
        <v>0</v>
      </c>
      <c r="K352" s="33">
        <v>0.29943</v>
      </c>
      <c r="L352" s="33">
        <f>F352*K352</f>
        <v>0.29943</v>
      </c>
      <c r="M352" s="34" t="s">
        <v>680</v>
      </c>
      <c r="N352" s="2"/>
      <c r="Z352" s="35">
        <f>IF(AQ352="5",BJ352,0)</f>
        <v>0</v>
      </c>
      <c r="AB352" s="35">
        <f>IF(AQ352="1",BH352,0)</f>
        <v>0</v>
      </c>
      <c r="AC352" s="35">
        <f>IF(AQ352="1",BI352,0)</f>
        <v>0</v>
      </c>
      <c r="AD352" s="35">
        <f>IF(AQ352="7",BH352,0)</f>
        <v>0</v>
      </c>
      <c r="AE352" s="35">
        <f>IF(AQ352="7",BI352,0)</f>
        <v>0</v>
      </c>
      <c r="AF352" s="35">
        <f>H352</f>
        <v>0</v>
      </c>
      <c r="AG352" s="35">
        <f>I352</f>
        <v>0</v>
      </c>
      <c r="AH352" s="35">
        <f>IF(AQ352="0",BJ352,0)</f>
        <v>0</v>
      </c>
      <c r="AI352" s="10" t="s">
        <v>164</v>
      </c>
      <c r="AJ352" s="33">
        <f>IF(AN352=0,J352,0)</f>
        <v>0</v>
      </c>
      <c r="AK352" s="33">
        <f>IF(AN352=15,J352,0)</f>
        <v>0</v>
      </c>
      <c r="AL352" s="33">
        <f>IF(AN352=21,J352,0)</f>
        <v>0</v>
      </c>
      <c r="AN352" s="35">
        <v>21</v>
      </c>
      <c r="AO352" s="35">
        <f>G352*0.162440347423674</f>
        <v>0</v>
      </c>
      <c r="AP352" s="35">
        <f>G352*(1-0.162440347423674)</f>
        <v>0</v>
      </c>
      <c r="AQ352" s="36" t="s">
        <v>7</v>
      </c>
      <c r="AV352" s="35">
        <f>AW352+AX352</f>
        <v>0</v>
      </c>
      <c r="AW352" s="35">
        <f>F352*AO352</f>
        <v>0</v>
      </c>
      <c r="AX352" s="35">
        <f>F352*AP352</f>
        <v>0</v>
      </c>
      <c r="AY352" s="37" t="s">
        <v>707</v>
      </c>
      <c r="AZ352" s="37" t="s">
        <v>719</v>
      </c>
      <c r="BA352" s="10" t="s">
        <v>723</v>
      </c>
      <c r="BC352" s="35">
        <f>AW352+AX352</f>
        <v>0</v>
      </c>
      <c r="BD352" s="35">
        <f>G352/(100-BE352)*100</f>
        <v>0</v>
      </c>
      <c r="BE352" s="35">
        <v>0</v>
      </c>
      <c r="BF352" s="35">
        <f>L352</f>
        <v>0.29943</v>
      </c>
      <c r="BH352" s="33">
        <f>F352*AO352</f>
        <v>0</v>
      </c>
      <c r="BI352" s="33">
        <f>F352*AP352</f>
        <v>0</v>
      </c>
      <c r="BJ352" s="33">
        <f>F352*G352</f>
        <v>0</v>
      </c>
      <c r="BK352" s="33" t="s">
        <v>728</v>
      </c>
      <c r="BL352" s="35" t="s">
        <v>325</v>
      </c>
    </row>
    <row r="353" spans="1:14" ht="12.75">
      <c r="A353" s="53"/>
      <c r="B353" s="54"/>
      <c r="C353" s="54"/>
      <c r="D353" s="55" t="s">
        <v>643</v>
      </c>
      <c r="E353" s="54"/>
      <c r="F353" s="56">
        <v>1</v>
      </c>
      <c r="G353" s="54"/>
      <c r="H353" s="54"/>
      <c r="I353" s="54"/>
      <c r="J353" s="54"/>
      <c r="K353" s="54"/>
      <c r="L353" s="54"/>
      <c r="M353" s="57"/>
      <c r="N353" s="2"/>
    </row>
    <row r="354" spans="1:13" ht="12.75">
      <c r="A354" s="58"/>
      <c r="B354" s="58"/>
      <c r="C354" s="58"/>
      <c r="D354" s="58"/>
      <c r="E354" s="58"/>
      <c r="F354" s="58"/>
      <c r="G354" s="58"/>
      <c r="H354" s="191" t="s">
        <v>669</v>
      </c>
      <c r="I354" s="150"/>
      <c r="J354" s="59">
        <f>ROUND(J13+J16+J29+J47+J54+J57+J82+J85+J104+J124+J137+J152+J168+J177+J232+J263+J276+J323+J340+J347+J351,0)</f>
        <v>0</v>
      </c>
      <c r="K354" s="58"/>
      <c r="L354" s="58"/>
      <c r="M354" s="58"/>
    </row>
    <row r="355" ht="11.25" customHeight="1">
      <c r="A355" s="60" t="s">
        <v>158</v>
      </c>
    </row>
    <row r="356" spans="1:13" ht="12.75">
      <c r="A356" s="156"/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8"/>
      <c r="M356" s="148"/>
    </row>
  </sheetData>
  <sheetProtection password="9C66" sheet="1" objects="1" scenarios="1" selectLockedCells="1"/>
  <protectedRanges>
    <protectedRange sqref="H324:I324 H329:I329 H331:I331 H333:I333 H335:I335 H337:I338 H341:I341 H343:I343 H345:I345 H348:I348" name="Oblast9"/>
    <protectedRange sqref="H289:I289 H291:I291 H293:I293 H295:I295 H297:I297 H299:I299 H301:I301 H303:I303 H305:I305 H307:I307 H309:I309 H311:I311 H313:I313 H315:I315 H317:I317 H319:I319 H321:I321" name="Oblast8"/>
    <protectedRange sqref="H245:I245 H247:I247 H249:I249 H251:I251 H254:I254 H258:I258 H261:I261 H264:I264 H266:I266 H268:I268 H271:I271 H273:I273 H277:I277 H279:I279 H281:I281 H283:I283 H285:I285 H287:I287" name="Oblast7"/>
    <protectedRange sqref="H208:I208 H210:I210 H212:I212 H214:I214 H216:I216 H218:I218 H220:I220 H222:I222 H224:I224 H226:I226 H228:I228 H230:I230 H233:I233 H235:I235 H237:I237 H239:I239 H241:I241 H243:I243" name="Oblast6"/>
    <protectedRange sqref="H178:I178 H180:I180 H182:I182 H184:I184 H186:I186 H188:I188 H190:I190 H192:I192 H194:I194 H196:I196 H198:I198 H200:I200 H202:I202 H204:I204 H206:I206" name="Oblast5"/>
    <protectedRange sqref="H125:I125 H127:I127 H129:I129 H131:I131 H133:I133 H135:I135 H138:I138 H143:I143 H148:I148 H150:I150 H153:I153 H157:I157 H159:I159 H162:I162 H164:I164 H166:I166 H169:I169 H171:I171 H173:I173 H175:I175" name="Oblast4"/>
    <protectedRange sqref="H48:I48 H50:I50 H52:I52 H55:I55 H58:I58 H60:I60 H62:I62 H64:I64 H66:I66 H68:I68 H70:I70 H72:I72 H74:I74 H76:I76 H78:I78 H80:I80 H83:I83" name="Oblast2"/>
    <protectedRange sqref="H14:I14 H17:I17 H19:I19 H21:I21 H23:I23 H25:I25 H27:I27 H30:I30 H32:I32 H34:I34 H36:I36 H38:I38 H40:I40 H43:I43 H45:I45" name="Oblast1"/>
    <protectedRange sqref="H86:I86 H90:I90 H92:I92 H94:I94 H96:I96 H98:I98 H100:I100 H102:I102 H105:I106 H108:I108 H110:I110 H112:I112 H114:I114 H116:I119 H121:I121" name="Oblast3"/>
  </protectedRanges>
  <mergeCells count="29">
    <mergeCell ref="H10:J10"/>
    <mergeCell ref="K10:L10"/>
    <mergeCell ref="H354:I354"/>
    <mergeCell ref="A356:M356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1">
      <selection activeCell="D22" sqref="D22"/>
    </sheetView>
  </sheetViews>
  <sheetFormatPr defaultColWidth="9.140625" defaultRowHeight="12.75"/>
  <cols>
    <col min="1" max="1" width="74.8515625" style="1" customWidth="1"/>
    <col min="2" max="3" width="9.140625" style="1" customWidth="1"/>
    <col min="4" max="4" width="16.421875" style="1" customWidth="1"/>
    <col min="5" max="5" width="20.28125" style="1" customWidth="1"/>
    <col min="6" max="16384" width="9.140625" style="1" customWidth="1"/>
  </cols>
  <sheetData>
    <row r="1" spans="1:5" ht="18.75" thickBot="1">
      <c r="A1" s="62" t="s">
        <v>817</v>
      </c>
      <c r="B1" s="63"/>
      <c r="C1" s="63"/>
      <c r="D1" s="63"/>
      <c r="E1" s="64" t="s">
        <v>818</v>
      </c>
    </row>
    <row r="2" spans="1:5" ht="18.75" thickBot="1">
      <c r="A2" s="62" t="s">
        <v>780</v>
      </c>
      <c r="B2" s="63"/>
      <c r="C2" s="63"/>
      <c r="D2" s="63"/>
      <c r="E2" s="65"/>
    </row>
    <row r="3" spans="1:5" ht="18.75" thickBot="1">
      <c r="A3" s="62" t="s">
        <v>781</v>
      </c>
      <c r="B3" s="63"/>
      <c r="C3" s="63"/>
      <c r="D3" s="63"/>
      <c r="E3" s="65"/>
    </row>
    <row r="4" spans="1:5" ht="18.75" thickBot="1">
      <c r="A4" s="62" t="s">
        <v>782</v>
      </c>
      <c r="B4" s="63"/>
      <c r="C4" s="63"/>
      <c r="D4" s="63"/>
      <c r="E4" s="65"/>
    </row>
    <row r="5" spans="1:5" ht="18.75" thickBot="1">
      <c r="A5" s="66" t="s">
        <v>783</v>
      </c>
      <c r="B5" s="67" t="s">
        <v>784</v>
      </c>
      <c r="C5" s="68" t="s">
        <v>648</v>
      </c>
      <c r="D5" s="68" t="s">
        <v>785</v>
      </c>
      <c r="E5" s="69" t="s">
        <v>786</v>
      </c>
    </row>
    <row r="6" spans="1:5" ht="13.5" thickBot="1">
      <c r="A6" s="70" t="s">
        <v>5</v>
      </c>
      <c r="B6" s="71"/>
      <c r="C6" s="71"/>
      <c r="D6" s="71"/>
      <c r="E6" s="72"/>
    </row>
    <row r="7" spans="1:5" ht="13.5" thickBot="1">
      <c r="A7" s="73" t="s">
        <v>787</v>
      </c>
      <c r="B7" s="74"/>
      <c r="C7" s="74"/>
      <c r="D7" s="74"/>
      <c r="E7" s="75"/>
    </row>
    <row r="8" spans="1:5" ht="12.75">
      <c r="A8" s="76" t="s">
        <v>788</v>
      </c>
      <c r="B8" s="77">
        <v>84</v>
      </c>
      <c r="C8" s="78" t="s">
        <v>656</v>
      </c>
      <c r="D8" s="101">
        <v>0</v>
      </c>
      <c r="E8" s="79">
        <f>D8*B8</f>
        <v>0</v>
      </c>
    </row>
    <row r="9" spans="1:5" ht="12.75">
      <c r="A9" s="80" t="s">
        <v>789</v>
      </c>
      <c r="B9" s="77">
        <v>504</v>
      </c>
      <c r="C9" s="78" t="s">
        <v>656</v>
      </c>
      <c r="D9" s="101">
        <v>0</v>
      </c>
      <c r="E9" s="79">
        <f>D9*B9</f>
        <v>0</v>
      </c>
    </row>
    <row r="10" spans="1:5" ht="12.75">
      <c r="A10" s="80" t="s">
        <v>790</v>
      </c>
      <c r="B10" s="81">
        <v>25</v>
      </c>
      <c r="C10" s="82" t="s">
        <v>656</v>
      </c>
      <c r="D10" s="101">
        <v>0</v>
      </c>
      <c r="E10" s="79">
        <f aca="true" t="shared" si="0" ref="E10:E24">D10*B10</f>
        <v>0</v>
      </c>
    </row>
    <row r="11" spans="1:5" ht="12.75">
      <c r="A11" s="80" t="s">
        <v>791</v>
      </c>
      <c r="B11" s="77">
        <v>25</v>
      </c>
      <c r="C11" s="78" t="s">
        <v>656</v>
      </c>
      <c r="D11" s="101">
        <v>0</v>
      </c>
      <c r="E11" s="79">
        <f t="shared" si="0"/>
        <v>0</v>
      </c>
    </row>
    <row r="12" spans="1:5" ht="12.75">
      <c r="A12" s="80" t="s">
        <v>792</v>
      </c>
      <c r="B12" s="77">
        <v>10</v>
      </c>
      <c r="C12" s="78" t="s">
        <v>656</v>
      </c>
      <c r="D12" s="101">
        <v>0</v>
      </c>
      <c r="E12" s="79">
        <f t="shared" si="0"/>
        <v>0</v>
      </c>
    </row>
    <row r="13" spans="1:5" ht="12.75">
      <c r="A13" s="80" t="s">
        <v>793</v>
      </c>
      <c r="B13" s="77">
        <v>20</v>
      </c>
      <c r="C13" s="82" t="s">
        <v>656</v>
      </c>
      <c r="D13" s="101">
        <v>0</v>
      </c>
      <c r="E13" s="79">
        <f t="shared" si="0"/>
        <v>0</v>
      </c>
    </row>
    <row r="14" spans="1:5" ht="12.75">
      <c r="A14" s="80" t="s">
        <v>794</v>
      </c>
      <c r="B14" s="77">
        <v>28</v>
      </c>
      <c r="C14" s="78" t="s">
        <v>656</v>
      </c>
      <c r="D14" s="101">
        <v>0</v>
      </c>
      <c r="E14" s="79">
        <f t="shared" si="0"/>
        <v>0</v>
      </c>
    </row>
    <row r="15" spans="1:5" ht="12.75">
      <c r="A15" s="80" t="s">
        <v>795</v>
      </c>
      <c r="B15" s="77">
        <v>966</v>
      </c>
      <c r="C15" s="82" t="s">
        <v>656</v>
      </c>
      <c r="D15" s="101">
        <v>0</v>
      </c>
      <c r="E15" s="79">
        <f t="shared" si="0"/>
        <v>0</v>
      </c>
    </row>
    <row r="16" spans="1:5" ht="12.75">
      <c r="A16" s="80" t="s">
        <v>796</v>
      </c>
      <c r="B16" s="77">
        <v>42</v>
      </c>
      <c r="C16" s="82" t="s">
        <v>656</v>
      </c>
      <c r="D16" s="101">
        <v>0</v>
      </c>
      <c r="E16" s="79">
        <f t="shared" si="0"/>
        <v>0</v>
      </c>
    </row>
    <row r="17" spans="1:5" ht="12.75">
      <c r="A17" s="80" t="s">
        <v>797</v>
      </c>
      <c r="B17" s="77">
        <v>65</v>
      </c>
      <c r="C17" s="82" t="s">
        <v>656</v>
      </c>
      <c r="D17" s="101">
        <v>0</v>
      </c>
      <c r="E17" s="79">
        <f t="shared" si="0"/>
        <v>0</v>
      </c>
    </row>
    <row r="18" spans="1:5" ht="12.75">
      <c r="A18" s="80" t="s">
        <v>798</v>
      </c>
      <c r="B18" s="81">
        <v>34</v>
      </c>
      <c r="C18" s="82" t="s">
        <v>656</v>
      </c>
      <c r="D18" s="101">
        <v>0</v>
      </c>
      <c r="E18" s="79">
        <f t="shared" si="0"/>
        <v>0</v>
      </c>
    </row>
    <row r="19" spans="1:5" ht="12.75">
      <c r="A19" s="80" t="s">
        <v>799</v>
      </c>
      <c r="B19" s="81">
        <v>25</v>
      </c>
      <c r="C19" s="82" t="s">
        <v>656</v>
      </c>
      <c r="D19" s="101">
        <v>0</v>
      </c>
      <c r="E19" s="79">
        <f t="shared" si="0"/>
        <v>0</v>
      </c>
    </row>
    <row r="20" spans="1:5" ht="12.75">
      <c r="A20" s="80" t="s">
        <v>800</v>
      </c>
      <c r="B20" s="83">
        <v>12</v>
      </c>
      <c r="C20" s="84" t="s">
        <v>656</v>
      </c>
      <c r="D20" s="102">
        <v>0</v>
      </c>
      <c r="E20" s="79">
        <f t="shared" si="0"/>
        <v>0</v>
      </c>
    </row>
    <row r="21" spans="1:5" ht="12.75">
      <c r="A21" s="80" t="s">
        <v>801</v>
      </c>
      <c r="B21" s="77">
        <v>1215</v>
      </c>
      <c r="C21" s="78" t="s">
        <v>650</v>
      </c>
      <c r="D21" s="101">
        <v>0</v>
      </c>
      <c r="E21" s="79">
        <f t="shared" si="0"/>
        <v>0</v>
      </c>
    </row>
    <row r="22" spans="1:5" ht="12.75">
      <c r="A22" s="80" t="s">
        <v>802</v>
      </c>
      <c r="B22" s="77">
        <v>20</v>
      </c>
      <c r="C22" s="78" t="s">
        <v>650</v>
      </c>
      <c r="D22" s="101">
        <v>0</v>
      </c>
      <c r="E22" s="79">
        <f t="shared" si="0"/>
        <v>0</v>
      </c>
    </row>
    <row r="23" spans="1:5" ht="12.75">
      <c r="A23" s="80" t="s">
        <v>803</v>
      </c>
      <c r="B23" s="77">
        <v>105</v>
      </c>
      <c r="C23" s="78" t="s">
        <v>650</v>
      </c>
      <c r="D23" s="101">
        <v>0</v>
      </c>
      <c r="E23" s="79">
        <f t="shared" si="0"/>
        <v>0</v>
      </c>
    </row>
    <row r="24" spans="1:5" ht="12.75">
      <c r="A24" s="85" t="s">
        <v>804</v>
      </c>
      <c r="B24" s="86">
        <v>7</v>
      </c>
      <c r="C24" s="87" t="s">
        <v>656</v>
      </c>
      <c r="D24" s="103">
        <v>0</v>
      </c>
      <c r="E24" s="79">
        <f t="shared" si="0"/>
        <v>0</v>
      </c>
    </row>
    <row r="25" spans="1:5" ht="13.5" thickBot="1">
      <c r="A25" s="88" t="s">
        <v>805</v>
      </c>
      <c r="B25" s="89"/>
      <c r="C25" s="89"/>
      <c r="D25" s="90"/>
      <c r="E25" s="91">
        <f>SUM(E8:E24)</f>
        <v>0</v>
      </c>
    </row>
    <row r="26" spans="1:5" ht="13.5" thickBot="1">
      <c r="A26" s="70" t="s">
        <v>5</v>
      </c>
      <c r="B26" s="71"/>
      <c r="C26" s="71"/>
      <c r="D26" s="71"/>
      <c r="E26" s="72"/>
    </row>
    <row r="27" spans="1:5" ht="13.5" thickBot="1">
      <c r="A27" s="92" t="s">
        <v>806</v>
      </c>
      <c r="B27" s="93"/>
      <c r="C27" s="93"/>
      <c r="D27" s="93"/>
      <c r="E27" s="94"/>
    </row>
    <row r="28" spans="1:5" ht="12.75">
      <c r="A28" s="95" t="s">
        <v>807</v>
      </c>
      <c r="B28" s="81">
        <v>1</v>
      </c>
      <c r="C28" s="82" t="s">
        <v>808</v>
      </c>
      <c r="D28" s="104">
        <v>0</v>
      </c>
      <c r="E28" s="96">
        <f>B28*D28</f>
        <v>0</v>
      </c>
    </row>
    <row r="29" spans="1:5" ht="12.75">
      <c r="A29" s="97" t="s">
        <v>809</v>
      </c>
      <c r="B29" s="98">
        <v>90</v>
      </c>
      <c r="C29" s="98" t="s">
        <v>650</v>
      </c>
      <c r="D29" s="104">
        <v>0</v>
      </c>
      <c r="E29" s="96">
        <f>B29*D29</f>
        <v>0</v>
      </c>
    </row>
    <row r="30" spans="1:5" ht="12.75">
      <c r="A30" s="97" t="s">
        <v>810</v>
      </c>
      <c r="B30" s="81">
        <v>56</v>
      </c>
      <c r="C30" s="82" t="s">
        <v>811</v>
      </c>
      <c r="D30" s="104">
        <v>0</v>
      </c>
      <c r="E30" s="96">
        <f>B30*D30</f>
        <v>0</v>
      </c>
    </row>
    <row r="31" spans="1:5" ht="12.75">
      <c r="A31" s="99" t="s">
        <v>812</v>
      </c>
      <c r="B31" s="81">
        <v>32</v>
      </c>
      <c r="C31" s="82" t="s">
        <v>811</v>
      </c>
      <c r="D31" s="104">
        <v>0</v>
      </c>
      <c r="E31" s="96">
        <f>B31*D31</f>
        <v>0</v>
      </c>
    </row>
    <row r="32" spans="1:5" ht="13.5" thickBot="1">
      <c r="A32" s="88" t="s">
        <v>805</v>
      </c>
      <c r="B32" s="89"/>
      <c r="C32" s="89"/>
      <c r="D32" s="90"/>
      <c r="E32" s="91">
        <f>SUM(E28:E31)</f>
        <v>0</v>
      </c>
    </row>
    <row r="33" spans="1:5" ht="13.5" thickBot="1">
      <c r="A33" s="70"/>
      <c r="B33" s="71"/>
      <c r="C33" s="71"/>
      <c r="D33" s="71"/>
      <c r="E33" s="72"/>
    </row>
    <row r="34" spans="1:5" ht="13.5" thickBot="1">
      <c r="A34" s="73" t="s">
        <v>813</v>
      </c>
      <c r="B34" s="74"/>
      <c r="C34" s="74"/>
      <c r="D34" s="75"/>
      <c r="E34" s="100">
        <f>E25+E32</f>
        <v>0</v>
      </c>
    </row>
  </sheetData>
  <sheetProtection password="9C66" sheet="1" objects="1" scenarios="1" selectLockedCells="1"/>
  <protectedRanges>
    <protectedRange sqref="D8:D24" name="Oblast1"/>
    <protectedRange sqref="D28:D31" name="Oblast2"/>
  </protectedRanges>
  <printOptions/>
  <pageMargins left="0.7" right="0.7" top="0.787401575" bottom="0.787401575" header="0.3" footer="0.3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Jindra</cp:lastModifiedBy>
  <cp:lastPrinted>2021-05-26T15:45:20Z</cp:lastPrinted>
  <dcterms:created xsi:type="dcterms:W3CDTF">2021-05-01T18:55:14Z</dcterms:created>
  <dcterms:modified xsi:type="dcterms:W3CDTF">2023-07-11T11:59:59Z</dcterms:modified>
  <cp:category/>
  <cp:version/>
  <cp:contentType/>
  <cp:contentStatus/>
</cp:coreProperties>
</file>